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2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trlProps/ctrlProp3.xml" ContentType="application/vnd.ms-excel.controlpropertie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tables/table9.xml" ContentType="application/vnd.openxmlformats-officedocument.spreadsheetml.table+xml"/>
  <Override PartName="/xl/comments9.xml" ContentType="application/vnd.openxmlformats-officedocument.spreadsheetml.comments+xml"/>
  <Override PartName="/xl/drawings/drawing7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0.xml" ContentType="application/vnd.openxmlformats-officedocument.spreadsheetml.comments+xml"/>
  <Override PartName="/xl/drawings/drawing8.xml" ContentType="application/vnd.openxmlformats-officedocument.drawing+xml"/>
  <Override PartName="/xl/tables/table10.xml" ContentType="application/vnd.openxmlformats-officedocument.spreadsheetml.table+xml"/>
  <Override PartName="/xl/drawings/drawing9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11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1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showInkAnnotation="0" codeName="EstaPasta_de_trabalho"/>
  <mc:AlternateContent xmlns:mc="http://schemas.openxmlformats.org/markup-compatibility/2006">
    <mc:Choice Requires="x15">
      <x15ac:absPath xmlns:x15ac="http://schemas.microsoft.com/office/spreadsheetml/2010/11/ac" url="C:\Users\dwanderley\Digicorner\Installation Analysis Subsea - Daniel Wanderley\tcc\fleet_dvc\"/>
    </mc:Choice>
  </mc:AlternateContent>
  <xr:revisionPtr revIDLastSave="0" documentId="13_ncr:1_{423A0B92-E41A-4481-B84C-C0220510353E}" xr6:coauthVersionLast="47" xr6:coauthVersionMax="47" xr10:uidLastSave="{00000000-0000-0000-0000-000000000000}"/>
  <bookViews>
    <workbookView xWindow="-120" yWindow="-120" windowWidth="29040" windowHeight="15840" firstSheet="2" activeTab="5" xr2:uid="{5082B97B-A14B-438A-BC7B-4F1D2164D24B}"/>
  </bookViews>
  <sheets>
    <sheet name="Histórico" sheetId="33" r:id="rId1"/>
    <sheet name="Main" sheetId="59" state="hidden" r:id="rId2"/>
    <sheet name="Values" sheetId="52" r:id="rId3"/>
    <sheet name="MCV e Guindaste" sheetId="54" r:id="rId4"/>
    <sheet name="Bending Stiffness" sheetId="19" r:id="rId5"/>
    <sheet name="1st_Script_Table" sheetId="57" r:id="rId6"/>
    <sheet name="1st_Post_Processing" sheetId="60" r:id="rId7"/>
    <sheet name="2nd_Script_Table" sheetId="23" state="hidden" r:id="rId8"/>
    <sheet name="2nd_Post_Processing" sheetId="20" r:id="rId9"/>
    <sheet name="Auxiliar1" sheetId="56" state="hidden" r:id="rId10"/>
    <sheet name="Auxiliar2" sheetId="30" state="hidden" r:id="rId11"/>
    <sheet name="Auxiliar3" sheetId="31" state="hidden" r:id="rId12"/>
    <sheet name="Auxiliar4" sheetId="32" state="hidden" r:id="rId13"/>
    <sheet name="1st_Py1" sheetId="61" state="hidden" r:id="rId14"/>
    <sheet name="1st_Py2" sheetId="62" state="hidden" r:id="rId15"/>
    <sheet name="1st_Py3" sheetId="63" state="hidden" r:id="rId16"/>
    <sheet name="2nd_Py1" sheetId="38" state="hidden" r:id="rId17"/>
    <sheet name="2nd_Py2" sheetId="39" state="hidden" r:id="rId18"/>
    <sheet name="2nd_Py3" sheetId="40" state="hidden" r:id="rId19"/>
    <sheet name="2nd_Py4" sheetId="41" state="hidden" r:id="rId20"/>
    <sheet name="2nd_Py5" sheetId="44" state="hidden" r:id="rId21"/>
    <sheet name="2nd_Py6" sheetId="46" state="hidden" r:id="rId22"/>
    <sheet name="Data" sheetId="58" state="hidden" r:id="rId23"/>
    <sheet name="Results" sheetId="21" r:id="rId24"/>
    <sheet name="Esforços" sheetId="36" r:id="rId25"/>
    <sheet name="TQF" sheetId="43" state="hidden" r:id="rId26"/>
    <sheet name="1st_A4Report" sheetId="65" r:id="rId27"/>
    <sheet name="1st_A3Report" sheetId="64" r:id="rId28"/>
    <sheet name="2nd_A4Report" sheetId="50" state="hidden" r:id="rId29"/>
    <sheet name="2nd_A3Report" sheetId="51" state="hidden" r:id="rId30"/>
    <sheet name="2nd_PuxadaReport" sheetId="49" state="hidden" r:id="rId31"/>
    <sheet name="__$Orcina_Hidden_Sheet$__" sheetId="5" state="veryHidden" r:id="rId32"/>
  </sheets>
  <functionGroups builtInGroupCount="19"/>
  <definedNames>
    <definedName name="bs_is_reduction_hid">'Bending Stiffness'!$K$5</definedName>
    <definedName name="bs_is_reduction_lan">'Bending Stiffness'!$D$5</definedName>
    <definedName name="bs_is_reduction_ope">'Bending Stiffness'!$R$5</definedName>
    <definedName name="bs_npoints_hid">'Bending Stiffness'!$K$4</definedName>
    <definedName name="bs_npoints_lan">'Bending Stiffness'!$D$4</definedName>
    <definedName name="bs_npoints_ope">'Bending Stiffness'!$R$4</definedName>
    <definedName name="bs_reduction_percentage_hid">'Bending Stiffness'!$K$6</definedName>
    <definedName name="bs_reduction_percentage_lan">'Bending Stiffness'!$D$6</definedName>
    <definedName name="bs_reduction_percentage_ope">'Bending Stiffness'!$R$6</definedName>
    <definedName name="case2_est_altura_corc">Data!$D$9</definedName>
    <definedName name="case2_est_bm_vert">Data!$D$35</definedName>
    <definedName name="case2_est_comp_lingada1">Data!$D$40</definedName>
    <definedName name="case2_est_comp_lingada2">Data!$D$41</definedName>
    <definedName name="case2_est_comp_susp">Data!$D$10</definedName>
    <definedName name="case2_est_dist_flange">Data!$D$12</definedName>
    <definedName name="case2_est_dist_flange_cabrestante">Data!$D$13</definedName>
    <definedName name="case2_est_dist_tdp_flange">Data!$D$11</definedName>
    <definedName name="case2_est_ex_shear_force">Data!$D$31</definedName>
    <definedName name="case2_est_ey_moment">Data!$D$32</definedName>
    <definedName name="case2_est_ez_axial">Data!$D$30</definedName>
    <definedName name="case2_est_inclinacao_mcv">Data!$D$27</definedName>
    <definedName name="case2_est_lda">Data!$D$28</definedName>
    <definedName name="case2_est_mbr_linha">Data!$D$33</definedName>
    <definedName name="case2_est_mbr_vert">Data!$D$34</definedName>
    <definedName name="case2_est_overlength">Data!$D$14</definedName>
    <definedName name="case2_est_position_corc1">Data!$D$37</definedName>
    <definedName name="case2_est_position_corc2">Data!$D$38</definedName>
    <definedName name="case2_est_sbed_clear">Data!$D$6</definedName>
    <definedName name="case2_est_sbed_clear_linha">Data!$D$8</definedName>
    <definedName name="case2_est_sbed_clear_vert">Data!$D$7</definedName>
    <definedName name="case2_est_sf_vert">Data!$D$36</definedName>
    <definedName name="case2_est_stage_value_ar">Data!$D$39</definedName>
    <definedName name="case3i_din_altura_corc">Data!$J$6</definedName>
    <definedName name="case3i_din_axial_force_cabr1">Data!$J$32</definedName>
    <definedName name="case3i_din_axial_force_cabr2">Data!$J$33</definedName>
    <definedName name="case3i_din_bm_vert">Data!$J$30</definedName>
    <definedName name="case3i_din_ex_shear_force_max">Data!$W$6</definedName>
    <definedName name="case3i_din_ex_shear_force_min">Data!$W$7</definedName>
    <definedName name="case3i_din_ey_moment_max">Data!$X$6</definedName>
    <definedName name="case3i_din_ey_moment_min">Data!$X$7</definedName>
    <definedName name="case3i_din_ez_axial_max">Data!$V$6</definedName>
    <definedName name="case3i_din_ez_axial_min">Data!$V$7</definedName>
    <definedName name="case3i_din_heave_up">Data!$J$26</definedName>
    <definedName name="case3i_din_mbr_linha">Data!$J$28</definedName>
    <definedName name="case3i_din_mbr_vert">Data!$J$29</definedName>
    <definedName name="case3i_din_n_att">Data!$J$27</definedName>
    <definedName name="case3i_din_sf_vert">Data!$J$31</definedName>
    <definedName name="case3ii_toque_ex_shear_force_max">Data!$W$8</definedName>
    <definedName name="case3ii_toque_ey_moment_max">Data!$X$8</definedName>
    <definedName name="case3ii_toque_ez_axial_max">Data!$V$8</definedName>
    <definedName name="case4_et_result_ex_shear_force_with_buoys">Data!$W$12</definedName>
    <definedName name="case4_et_result_ex_shear_force_without_buoys">Data!$W$16</definedName>
    <definedName name="case4_et_result_ey_moment_with_buoys">Data!$X$12</definedName>
    <definedName name="case4_et_result_ey_moment_without_buoys">Data!$X$16</definedName>
    <definedName name="case4_et_result_ez_axial_with_buoys">Data!$V$12</definedName>
    <definedName name="case4_et_result_ez_axial_without_buoys">Data!$V$16</definedName>
    <definedName name="case4_m0_with_buoys">Data!$X$9</definedName>
    <definedName name="case4_m0_without_buoys">Data!$X$13</definedName>
    <definedName name="case4_m1_with_buoys">Data!$X$10</definedName>
    <definedName name="case4_m1_without_buoys">Data!$X$14</definedName>
    <definedName name="case4_m2_with_buoys">Data!$X$11</definedName>
    <definedName name="case4_m2_without_buoys">Data!$X$15</definedName>
    <definedName name="case4_t0_with_buoys">Data!$V$9</definedName>
    <definedName name="case4_t0_without_buoys">Data!$V$13</definedName>
    <definedName name="case4_t1_with_buoys">Data!$V$10</definedName>
    <definedName name="case4_t1_without_buoys">Data!$V$14</definedName>
    <definedName name="case4_t2_with_buoys">Data!$V$11</definedName>
    <definedName name="case4_t2_without_buoys">Data!$V$15</definedName>
    <definedName name="case4_v0_with_buoys">Data!$W$9</definedName>
    <definedName name="case4_v0_without_buoys">Data!$W$13</definedName>
    <definedName name="case4_v1_with_buoys">Data!$W$10</definedName>
    <definedName name="case4_v1_without_buoys">Data!$W$14</definedName>
    <definedName name="case4_v2_with_buoys">Data!$W$11</definedName>
    <definedName name="case4_v2_without_buoys">Data!$W$15</definedName>
    <definedName name="case5_et_result_ex_shear_force">Data!$W$18</definedName>
    <definedName name="case5_et_result_ey_moment">Data!$X$18</definedName>
    <definedName name="case5_et_result_ez_axial">Data!$V$18</definedName>
    <definedName name="case5_m2_without_buoys">Data!$X$17</definedName>
    <definedName name="case5_t2_without_buoys">Data!$V$17</definedName>
    <definedName name="case5_v2_without_buoys">Data!$W$17</definedName>
    <definedName name="cont1_bm_vert">Data!$D$75</definedName>
    <definedName name="cont1_cota_boia">Data!$D$60</definedName>
    <definedName name="cont1_empuxo">Data!$D$61</definedName>
    <definedName name="cont1_ey_moment">Data!$D$79</definedName>
    <definedName name="cont1_mbr_linha">Data!$D$78</definedName>
    <definedName name="cont1_mbr_vert">Data!$D$77</definedName>
    <definedName name="cont1_sf_line_endb">Data!$D$80</definedName>
    <definedName name="cont1_sf_vert">Data!$D$76</definedName>
    <definedName name="cont2_bm_vert">Data!$J$75</definedName>
    <definedName name="cont2_cota_boia">Data!$J$60</definedName>
    <definedName name="cont2_empuxo">Data!$J$61</definedName>
    <definedName name="cont2_ey_moment">Data!$J$79</definedName>
    <definedName name="cont2_mbr_linha">Data!$J$78</definedName>
    <definedName name="cont2_mbr_vert">Data!$J$77</definedName>
    <definedName name="cont2_sf_line_endb">Data!$J$80</definedName>
    <definedName name="cont2_sf_vert">Data!$J$76</definedName>
    <definedName name="data_bm_adm_vert">Data!$W$29</definedName>
    <definedName name="data_dist_eqsb">Data!$W$26</definedName>
    <definedName name="data_dist_primeira_boia">Data!$W$46</definedName>
    <definedName name="data_empuxo_total">Data!$W$44</definedName>
    <definedName name="data_lda">Data!$W$25</definedName>
    <definedName name="data_line_nominal_diameter">Data!$W$24</definedName>
    <definedName name="data_mbr_linha">Data!$W$42</definedName>
    <definedName name="data_mbr_linha_rl">Data!$W$28</definedName>
    <definedName name="data_mbr_vert">Data!$W$43</definedName>
    <definedName name="data_mbr_vert_rl">Data!$W$27</definedName>
    <definedName name="data_nome_adaptador">Data!$W$37</definedName>
    <definedName name="data_nome_conector">Data!$W$35</definedName>
    <definedName name="data_nome_estrutura">Data!$W$31</definedName>
    <definedName name="data_nome_mcv">Data!$W$39</definedName>
    <definedName name="data_nome_vertebra">Data!$W$33</definedName>
    <definedName name="data_peso_adaptador">Data!$W$38</definedName>
    <definedName name="data_peso_conector">Data!$W$36</definedName>
    <definedName name="data_peso_estrutura">Data!$W$32</definedName>
    <definedName name="data_peso_mcv">Data!$W$40</definedName>
    <definedName name="data_peso_vertebra">Data!$W$34</definedName>
    <definedName name="data_qtd_conjuntos_boias">Data!$W$45</definedName>
    <definedName name="data_sf_adm_vert">Data!$W$30</definedName>
    <definedName name="dragagem_comp">Results!$C$28</definedName>
    <definedName name="dragagem_dist">Results!$C$26</definedName>
    <definedName name="dragagem_prof">Results!$C$29</definedName>
    <definedName name="droplist_casos">Data!$T$50:$T$57</definedName>
    <definedName name="droplist_line_type">Data!$V$50:$V$56</definedName>
    <definedName name="droplistline_gl">Data!$V$50:$V$51</definedName>
    <definedName name="estudo_connection_type">Results!$C$4</definedName>
    <definedName name="estudo_copy_to">Results!$C$16</definedName>
    <definedName name="estudo_cvd_type">Data!$X$50</definedName>
    <definedName name="estudo_edr">Results!$C$13</definedName>
    <definedName name="estudo_field_name">Results!$C$7</definedName>
    <definedName name="estudo_initials_aprover">Results!$C$12</definedName>
    <definedName name="estudo_initials_engineer">Results!$C$10</definedName>
    <definedName name="estudo_initials_reviewer">Results!$C$11</definedName>
    <definedName name="estudo_line_type">Results!$C$3</definedName>
    <definedName name="estudo_requester">Results!$C$14</definedName>
    <definedName name="estudo_rl_doc">Results!$C$18</definedName>
    <definedName name="estudo_rl_rev">Results!$C$19</definedName>
    <definedName name="estudo_rl_titulo">Results!$C$20</definedName>
    <definedName name="estudo_rt_doc">Results!$C$21</definedName>
    <definedName name="estudo_rt_rev">Results!$C$22</definedName>
    <definedName name="estudo_rt_titulo">Results!$C$23</definedName>
    <definedName name="estudo_version_report">Results!$C$9</definedName>
    <definedName name="estudo_vessel_coordinator">Results!$C$15</definedName>
    <definedName name="estudo_vessel_name">Results!$C$6</definedName>
    <definedName name="estudo_well_name">Results!$C$5</definedName>
    <definedName name="hmax_altura_corc">Data!$P$83</definedName>
    <definedName name="hmax_arclength_line_endb">Data!$P$80</definedName>
    <definedName name="hmax_arclength_line_touchdown">Data!$P$81</definedName>
    <definedName name="hmax_comp_susp">Data!$P$60</definedName>
    <definedName name="hmax_dist_flange">Data!$P$61</definedName>
    <definedName name="hmax_dist_flange_cabrestante1">Data!$P$63</definedName>
    <definedName name="hmax_dist_flange_cabrestante2">Data!$P$64</definedName>
    <definedName name="hmax_dist_tdp_flange">Data!$P$62</definedName>
    <definedName name="hmax_inclinacao_mcv">Data!$P$77</definedName>
    <definedName name="hmax_mbr_linha">Data!$P$75</definedName>
    <definedName name="hmax_mbr_vert">Data!$P$76</definedName>
    <definedName name="hmax_overlength">Data!$P$65</definedName>
    <definedName name="hmax_x_line_endb">Data!$P$78</definedName>
    <definedName name="hmax_x_line_touchdown">Data!$P$79</definedName>
    <definedName name="hmax_z_line_endb">Data!$P$82</definedName>
    <definedName name="postproc_arclength_cabrestante2">Auxiliar2!$I$7</definedName>
    <definedName name="postproc_attachment_type">Data!$W$47</definedName>
    <definedName name="postproc_check_filling">Results!$E$23</definedName>
    <definedName name="postproc_img_1st_cont1">'1st_Py2'!$A$5</definedName>
    <definedName name="postproc_img_1st_cont2">'1st_Py3'!$A$5</definedName>
    <definedName name="postproc_img_1st_static">'1st_Py1'!$A$5</definedName>
    <definedName name="postproc_img_2nd_cont1">'2nd_Py3'!$A$5</definedName>
    <definedName name="postproc_img_2nd_cont2">'2nd_Py4'!$A$5</definedName>
    <definedName name="postproc_img_2nd_hmax">'2nd_Py5'!$A$5</definedName>
    <definedName name="postproc_img_2nd_puxada">'2nd_Py6'!$A$5</definedName>
    <definedName name="postproc_img_2nd_static">'2nd_Py1'!$A$5</definedName>
    <definedName name="postproc_img_2nd_static_zoom">'2nd_Py2'!$A$5</definedName>
    <definedName name="postproc_orcaflex_version">Data!$D$26</definedName>
    <definedName name="_xlnm.Print_Area" localSheetId="6">'1st_Post_Processing'!$A$3:$I$26</definedName>
    <definedName name="puxada_axial_force_cabr1">Data!$P$30</definedName>
    <definedName name="puxada_axial_force_cabr2">Data!$P$31</definedName>
    <definedName name="puxada_bm_vert">Data!$P$32</definedName>
    <definedName name="puxada_ex_shear_force_max">Data!$W$19</definedName>
    <definedName name="puxada_ex_shear_force_min">Data!$W$20</definedName>
    <definedName name="puxada_ey_moment_max">Data!$X$19</definedName>
    <definedName name="puxada_ey_moment_min">Data!$X$20</definedName>
    <definedName name="puxada_ez_axial_max">Data!$V$19</definedName>
    <definedName name="puxada_ez_axial_min">Data!$V$20</definedName>
    <definedName name="puxada_mbr_linha">Data!$P$28</definedName>
    <definedName name="puxada_mbr_vert">Data!$P$29</definedName>
    <definedName name="puxada_puxada">Data!$P$27</definedName>
    <definedName name="puxada_recolh">Data!$P$6</definedName>
    <definedName name="puxada_sf_vert">Data!$P$33</definedName>
    <definedName name="puxada_stage_value_ar">Data!$P$26</definedName>
    <definedName name="RangeAdaptadorFlange">Values!$B$51:$C$63</definedName>
    <definedName name="RangeBatimetria">'MCV e Guindaste'!$G$22:$I$25</definedName>
    <definedName name="RangeBendRestrictor">Values!$B$18:$C$37</definedName>
    <definedName name="RangeDadosPreenchidos">Data!$T$26:$X$30</definedName>
    <definedName name="RangeDadosReferencia">Data!$T$31:$W$41</definedName>
    <definedName name="RangeDataMCV">'MCV e Guindaste'!$B$18:$C$31</definedName>
    <definedName name="RangeDesenhoMCV">'MCV e Guindaste'!$A$3:$B$14</definedName>
    <definedName name="RangeDragagem">Results!$B$26:$C$29</definedName>
    <definedName name="RangeEndFitting">Values!$B$38:$C$50</definedName>
    <definedName name="RangeEstrutura">Values!$B$3:$C$17</definedName>
    <definedName name="RangeInfoRT">Results!$B$3:$C$23</definedName>
    <definedName name="RangeNomeImagens">Results!$B$47:$C$50</definedName>
    <definedName name="RangeRigidezBR">'Bending Stiffness'!$W$17:$X$20</definedName>
    <definedName name="RangeRigidezLine">'Bending Stiffness'!$F$17:$G$57</definedName>
    <definedName name="RangeZR">Values!$B$64:$C$76</definedName>
    <definedName name="script_table_1st_hid_start_row">'1st_Script_Table'!$I$10</definedName>
    <definedName name="script_table_1st_lan_start_row">'1st_Script_Table'!$I$8</definedName>
    <definedName name="script_table_1st_ope_start_row">'1st_Script_Table'!$I$12</definedName>
    <definedName name="script_table_2nd_hid_start_row">'2nd_Script_Table'!$I$10</definedName>
    <definedName name="script_table_2nd_lan_start_row">'2nd_Script_Table'!$I$8</definedName>
    <definedName name="script_table_2nd_ope_start_row">'2nd_Script_Table'!$I$12</definedName>
    <definedName name="script_table_linhas">'2nd_Script_Table'!$H$16:$H$17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1" i="21" l="1"/>
  <c r="C17" i="21"/>
  <c r="C18" i="54"/>
  <c r="H18" i="54"/>
  <c r="H19" i="54"/>
  <c r="C21" i="54"/>
  <c r="E61" i="23" s="1"/>
  <c r="C22" i="54"/>
  <c r="H22" i="54"/>
  <c r="I22" i="54"/>
  <c r="C23" i="54"/>
  <c r="I23" i="54"/>
  <c r="I24" i="54" s="1"/>
  <c r="I25" i="54" s="1"/>
  <c r="C24" i="54"/>
  <c r="C26" i="54"/>
  <c r="C27" i="54"/>
  <c r="C29" i="54"/>
  <c r="E63" i="23"/>
  <c r="C47" i="52"/>
  <c r="C50" i="52" s="1"/>
  <c r="C43" i="52"/>
  <c r="C42" i="52"/>
  <c r="C41" i="52"/>
  <c r="C40" i="52"/>
  <c r="C36" i="52"/>
  <c r="C34" i="52"/>
  <c r="C30" i="52"/>
  <c r="C31" i="52" s="1"/>
  <c r="C37" i="52" s="1"/>
  <c r="C21" i="52"/>
  <c r="C20" i="52"/>
  <c r="C22" i="52" s="1"/>
  <c r="C9" i="52"/>
  <c r="C8" i="52"/>
  <c r="C25" i="41"/>
  <c r="C25" i="40"/>
  <c r="C22" i="39"/>
  <c r="C22" i="38"/>
  <c r="C24" i="63"/>
  <c r="C24" i="62"/>
  <c r="C21" i="61"/>
  <c r="A5" i="61"/>
  <c r="A5" i="62"/>
  <c r="A5" i="63"/>
  <c r="A5" i="38"/>
  <c r="A5" i="39"/>
  <c r="A5" i="40"/>
  <c r="A5" i="41"/>
  <c r="A8" i="62"/>
  <c r="A8" i="63"/>
  <c r="A8" i="38"/>
  <c r="A8" i="39"/>
  <c r="A8" i="40"/>
  <c r="A8" i="41"/>
  <c r="A8" i="61"/>
  <c r="P6" i="58"/>
  <c r="W15" i="58"/>
  <c r="F46" i="60"/>
  <c r="F44" i="60"/>
  <c r="F42" i="60"/>
  <c r="F40" i="60"/>
  <c r="F38" i="60"/>
  <c r="F36" i="60"/>
  <c r="F35" i="60"/>
  <c r="F61" i="60"/>
  <c r="F62" i="60"/>
  <c r="F63" i="60"/>
  <c r="F64" i="60"/>
  <c r="F60" i="60"/>
  <c r="F58" i="60"/>
  <c r="F59" i="60"/>
  <c r="F57" i="60"/>
  <c r="F53" i="60"/>
  <c r="F78" i="20"/>
  <c r="F87" i="20"/>
  <c r="J316" i="20"/>
  <c r="J317" i="20" s="1"/>
  <c r="K317" i="20" s="1"/>
  <c r="L317" i="20" s="1"/>
  <c r="M317" i="20" s="1"/>
  <c r="N317" i="20" s="1"/>
  <c r="D4" i="36"/>
  <c r="E4" i="36"/>
  <c r="C4" i="36"/>
  <c r="E62" i="23"/>
  <c r="E59" i="23"/>
  <c r="E63" i="57"/>
  <c r="E60" i="57"/>
  <c r="E64" i="23" l="1"/>
  <c r="E60" i="23"/>
  <c r="C23" i="52"/>
  <c r="C48" i="52"/>
  <c r="C49" i="52"/>
  <c r="K316" i="20"/>
  <c r="L316" i="20" s="1"/>
  <c r="M316" i="20" s="1"/>
  <c r="N316" i="20" s="1"/>
  <c r="Z106" i="51"/>
  <c r="Z79" i="51"/>
  <c r="K247" i="50"/>
  <c r="K221" i="50"/>
  <c r="Z62" i="64"/>
  <c r="Z35" i="64"/>
  <c r="K182" i="65"/>
  <c r="K156" i="65"/>
  <c r="J80" i="58"/>
  <c r="J79" i="58"/>
  <c r="D80" i="58"/>
  <c r="C87" i="20"/>
  <c r="C86" i="20"/>
  <c r="C78" i="20"/>
  <c r="C77" i="20"/>
  <c r="D78" i="20"/>
  <c r="D87" i="20"/>
  <c r="C62" i="60"/>
  <c r="D62" i="60"/>
  <c r="C53" i="60"/>
  <c r="C52" i="60"/>
  <c r="D53" i="60"/>
  <c r="E93" i="51"/>
  <c r="B97" i="51"/>
  <c r="I97" i="51"/>
  <c r="K101" i="51"/>
  <c r="F101" i="51"/>
  <c r="B101" i="51"/>
  <c r="H153" i="51"/>
  <c r="K153" i="51"/>
  <c r="K151" i="51"/>
  <c r="H151" i="51"/>
  <c r="E153" i="51"/>
  <c r="E151" i="51"/>
  <c r="K146" i="51"/>
  <c r="E146" i="51"/>
  <c r="B146" i="51"/>
  <c r="V20" i="51"/>
  <c r="X20" i="51"/>
  <c r="AB20" i="51"/>
  <c r="Y24" i="51"/>
  <c r="V106" i="51"/>
  <c r="T106" i="51"/>
  <c r="R106" i="51"/>
  <c r="P106" i="51"/>
  <c r="X79" i="51"/>
  <c r="V79" i="51"/>
  <c r="T79" i="51"/>
  <c r="R79" i="51"/>
  <c r="P79" i="51"/>
  <c r="J162" i="50"/>
  <c r="J157" i="50"/>
  <c r="B157" i="50"/>
  <c r="K153" i="50"/>
  <c r="I146" i="50"/>
  <c r="E146" i="50"/>
  <c r="B146" i="50"/>
  <c r="J140" i="50"/>
  <c r="J138" i="50"/>
  <c r="G140" i="50"/>
  <c r="G138" i="50"/>
  <c r="D140" i="50"/>
  <c r="D138" i="50"/>
  <c r="I134" i="50"/>
  <c r="F134" i="50"/>
  <c r="D134" i="50"/>
  <c r="B134" i="50"/>
  <c r="G247" i="50"/>
  <c r="E247" i="50"/>
  <c r="C247" i="50"/>
  <c r="B247" i="50"/>
  <c r="I221" i="50"/>
  <c r="G221" i="50"/>
  <c r="E221" i="50"/>
  <c r="C221" i="50"/>
  <c r="B221" i="50"/>
  <c r="L88" i="51"/>
  <c r="J88" i="51"/>
  <c r="H88" i="51"/>
  <c r="C15" i="64"/>
  <c r="C10" i="65"/>
  <c r="C10" i="50"/>
  <c r="C15" i="51"/>
  <c r="J88" i="64"/>
  <c r="I80" i="65"/>
  <c r="L88" i="64"/>
  <c r="H88" i="64"/>
  <c r="I92" i="64"/>
  <c r="B92" i="64"/>
  <c r="K96" i="64"/>
  <c r="F96" i="64"/>
  <c r="F88" i="65"/>
  <c r="B96" i="64"/>
  <c r="K127" i="64"/>
  <c r="F127" i="64"/>
  <c r="B127" i="64"/>
  <c r="K134" i="64"/>
  <c r="H134" i="64"/>
  <c r="E134" i="64"/>
  <c r="K132" i="64"/>
  <c r="H132" i="64"/>
  <c r="E132" i="64"/>
  <c r="J140" i="64"/>
  <c r="F140" i="64"/>
  <c r="B140" i="64"/>
  <c r="B128" i="65"/>
  <c r="X35" i="64"/>
  <c r="V35" i="64"/>
  <c r="T35" i="64"/>
  <c r="R35" i="64"/>
  <c r="P35" i="64"/>
  <c r="V62" i="64"/>
  <c r="T62" i="64"/>
  <c r="R62" i="64"/>
  <c r="P62" i="64"/>
  <c r="G182" i="65"/>
  <c r="E182" i="65"/>
  <c r="C182" i="65"/>
  <c r="B182" i="65"/>
  <c r="I156" i="65"/>
  <c r="G156" i="65"/>
  <c r="E156" i="65"/>
  <c r="C156" i="65"/>
  <c r="B156" i="65"/>
  <c r="I128" i="65"/>
  <c r="E128" i="65"/>
  <c r="J122" i="65"/>
  <c r="J120" i="65"/>
  <c r="G122" i="65"/>
  <c r="G120" i="65"/>
  <c r="D122" i="65"/>
  <c r="D120" i="65"/>
  <c r="I116" i="65"/>
  <c r="E116" i="65"/>
  <c r="B116" i="65"/>
  <c r="C27" i="21"/>
  <c r="C18" i="61"/>
  <c r="F1" i="64"/>
  <c r="L71" i="64"/>
  <c r="L69" i="64"/>
  <c r="L67" i="64"/>
  <c r="L65" i="64"/>
  <c r="L63" i="64"/>
  <c r="G34" i="64"/>
  <c r="F34" i="64"/>
  <c r="G32" i="64"/>
  <c r="F32" i="64"/>
  <c r="C32" i="64"/>
  <c r="C29" i="64"/>
  <c r="C28" i="64"/>
  <c r="D27" i="64"/>
  <c r="D26" i="64"/>
  <c r="I25" i="64"/>
  <c r="D25" i="64"/>
  <c r="I18" i="64"/>
  <c r="C18" i="64"/>
  <c r="L12" i="64"/>
  <c r="I12" i="64"/>
  <c r="F12" i="64"/>
  <c r="C12" i="64"/>
  <c r="B12" i="64"/>
  <c r="D1" i="65"/>
  <c r="I88" i="65"/>
  <c r="B88" i="65"/>
  <c r="G84" i="65"/>
  <c r="B84" i="65"/>
  <c r="K80" i="65"/>
  <c r="G80" i="65"/>
  <c r="K64" i="65"/>
  <c r="K62" i="65"/>
  <c r="K60" i="65"/>
  <c r="K58" i="65"/>
  <c r="K56" i="65"/>
  <c r="H28" i="65"/>
  <c r="G28" i="65"/>
  <c r="H26" i="65"/>
  <c r="G26" i="65"/>
  <c r="C26" i="65"/>
  <c r="H18" i="65"/>
  <c r="D22" i="65"/>
  <c r="D21" i="65"/>
  <c r="D20" i="65"/>
  <c r="D19" i="65"/>
  <c r="D18" i="65"/>
  <c r="H12" i="65"/>
  <c r="C12" i="65"/>
  <c r="I8" i="65"/>
  <c r="G8" i="65"/>
  <c r="E8" i="65"/>
  <c r="C8" i="65"/>
  <c r="B8" i="65"/>
  <c r="B8" i="50"/>
  <c r="C8" i="50"/>
  <c r="E8" i="50"/>
  <c r="G8" i="50"/>
  <c r="I8" i="50"/>
  <c r="C12" i="50"/>
  <c r="H12" i="50"/>
  <c r="C34" i="21" l="1"/>
  <c r="C39" i="21"/>
  <c r="C38" i="21"/>
  <c r="C37" i="21"/>
  <c r="C36" i="21"/>
  <c r="C35" i="21"/>
  <c r="J6" i="58"/>
  <c r="C8" i="58"/>
  <c r="D8" i="58" s="1"/>
  <c r="D40" i="58"/>
  <c r="D41" i="58"/>
  <c r="P61" i="58"/>
  <c r="P62" i="58"/>
  <c r="P63" i="58"/>
  <c r="P64" i="58"/>
  <c r="P65" i="58"/>
  <c r="P60" i="58"/>
  <c r="O6" i="58"/>
  <c r="E153" i="50" l="1"/>
  <c r="R20" i="51"/>
  <c r="E88" i="64"/>
  <c r="E88" i="51"/>
  <c r="D80" i="65"/>
  <c r="T20" i="51"/>
  <c r="H153" i="50"/>
  <c r="Z20" i="51"/>
  <c r="F157" i="50"/>
  <c r="B153" i="50"/>
  <c r="P20" i="51"/>
  <c r="C13" i="58"/>
  <c r="C12" i="58"/>
  <c r="D12" i="58" s="1"/>
  <c r="O64" i="58"/>
  <c r="O63" i="58"/>
  <c r="D29" i="58"/>
  <c r="C9" i="60"/>
  <c r="C9" i="20"/>
  <c r="D9" i="60"/>
  <c r="D9" i="20"/>
  <c r="B88" i="64" l="1"/>
  <c r="B80" i="65"/>
  <c r="B88" i="51"/>
  <c r="B80" i="50"/>
  <c r="G80" i="50"/>
  <c r="C7" i="58"/>
  <c r="D7" i="58" s="1"/>
  <c r="D14" i="58"/>
  <c r="D13" i="58"/>
  <c r="D11" i="58"/>
  <c r="D10" i="58"/>
  <c r="D9" i="58"/>
  <c r="D80" i="50"/>
  <c r="H93" i="50" l="1"/>
  <c r="I93" i="51"/>
  <c r="K93" i="50"/>
  <c r="L93" i="51"/>
  <c r="B93" i="50"/>
  <c r="B93" i="51"/>
  <c r="V38" i="58"/>
  <c r="V36" i="58"/>
  <c r="V34" i="58"/>
  <c r="V32" i="58"/>
  <c r="D17" i="60"/>
  <c r="D18" i="60"/>
  <c r="AA7" i="58" l="1"/>
  <c r="AB7" i="58"/>
  <c r="AA8" i="58"/>
  <c r="AB8" i="58"/>
  <c r="AA9" i="58"/>
  <c r="AB9" i="58"/>
  <c r="AA10" i="58"/>
  <c r="AB10" i="58"/>
  <c r="AA11" i="58"/>
  <c r="AB11" i="58"/>
  <c r="AA12" i="58"/>
  <c r="AB12" i="58"/>
  <c r="AA13" i="58"/>
  <c r="AB13" i="58"/>
  <c r="AA14" i="58"/>
  <c r="AB14" i="58"/>
  <c r="AA15" i="58"/>
  <c r="AB15" i="58"/>
  <c r="AA16" i="58"/>
  <c r="AB16" i="58"/>
  <c r="AA17" i="58"/>
  <c r="AB17" i="58"/>
  <c r="AA18" i="58"/>
  <c r="AB18" i="58"/>
  <c r="AA19" i="58"/>
  <c r="AB19" i="58"/>
  <c r="AA20" i="58"/>
  <c r="AB20" i="58"/>
  <c r="AA21" i="58"/>
  <c r="AB21" i="58"/>
  <c r="AA22" i="58"/>
  <c r="AB22" i="58"/>
  <c r="AA23" i="58"/>
  <c r="AB23" i="58"/>
  <c r="AA24" i="58"/>
  <c r="AB24" i="58"/>
  <c r="AA25" i="58"/>
  <c r="AB25" i="58"/>
  <c r="AA26" i="58"/>
  <c r="AB26" i="58"/>
  <c r="AA27" i="58"/>
  <c r="AB27" i="58"/>
  <c r="AA28" i="58"/>
  <c r="AB28" i="58"/>
  <c r="AA29" i="58"/>
  <c r="AB29" i="58"/>
  <c r="AA30" i="58"/>
  <c r="AB30" i="58"/>
  <c r="AA31" i="58"/>
  <c r="AB31" i="58"/>
  <c r="AA32" i="58"/>
  <c r="AB32" i="58"/>
  <c r="AA33" i="58"/>
  <c r="AB33" i="58"/>
  <c r="AA34" i="58"/>
  <c r="AB34" i="58"/>
  <c r="AA35" i="58"/>
  <c r="AB35" i="58"/>
  <c r="AA36" i="58"/>
  <c r="AB36" i="58"/>
  <c r="AA37" i="58"/>
  <c r="AB37" i="58"/>
  <c r="AA38" i="58"/>
  <c r="AB38" i="58"/>
  <c r="AA39" i="58"/>
  <c r="AB39" i="58"/>
  <c r="AA40" i="58"/>
  <c r="AB40" i="58"/>
  <c r="AA41" i="58"/>
  <c r="AB41" i="58"/>
  <c r="AA42" i="58"/>
  <c r="AB42" i="58"/>
  <c r="AA43" i="58"/>
  <c r="AB43" i="58"/>
  <c r="AA44" i="58"/>
  <c r="AB44" i="58"/>
  <c r="AA45" i="58"/>
  <c r="AB45" i="58"/>
  <c r="AA46" i="58"/>
  <c r="AB46" i="58"/>
  <c r="AA47" i="58"/>
  <c r="AB47" i="58"/>
  <c r="AA48" i="58"/>
  <c r="AB48" i="58"/>
  <c r="AA49" i="58"/>
  <c r="AB49" i="58"/>
  <c r="AA50" i="58"/>
  <c r="AB50" i="58"/>
  <c r="AA51" i="58"/>
  <c r="AB51" i="58"/>
  <c r="AA52" i="58"/>
  <c r="AB52" i="58"/>
  <c r="AA53" i="58"/>
  <c r="AB53" i="58"/>
  <c r="AA54" i="58"/>
  <c r="AB54" i="58"/>
  <c r="AA55" i="58"/>
  <c r="AB55" i="58"/>
  <c r="A11" i="63" l="1"/>
  <c r="C21" i="63" s="1"/>
  <c r="A2" i="63"/>
  <c r="C18" i="63" s="1"/>
  <c r="A11" i="62"/>
  <c r="C21" i="62" s="1"/>
  <c r="A2" i="62"/>
  <c r="C18" i="62" s="1"/>
  <c r="A14" i="63"/>
  <c r="A14" i="62"/>
  <c r="A11" i="61"/>
  <c r="A18" i="63"/>
  <c r="A18" i="62"/>
  <c r="A15" i="61"/>
  <c r="A17" i="63"/>
  <c r="A17" i="62"/>
  <c r="A14" i="61"/>
  <c r="C104" i="61"/>
  <c r="C103" i="61"/>
  <c r="C102" i="61"/>
  <c r="C101" i="61"/>
  <c r="A19" i="61"/>
  <c r="C64" i="63" l="1"/>
  <c r="C144" i="63"/>
  <c r="C143" i="63"/>
  <c r="C144" i="62"/>
  <c r="C143" i="62"/>
  <c r="C64" i="62"/>
  <c r="C63" i="62"/>
  <c r="C88" i="61"/>
  <c r="C91" i="61"/>
  <c r="C146" i="61"/>
  <c r="C145" i="61"/>
  <c r="C63" i="63" l="1"/>
  <c r="J61" i="60" l="1"/>
  <c r="J52" i="60"/>
  <c r="I55" i="60"/>
  <c r="I64" i="60"/>
  <c r="E2" i="21" l="1"/>
  <c r="O10" i="56" a="1"/>
  <c r="O10" i="56" s="1"/>
  <c r="R9" i="19" l="1"/>
  <c r="K9" i="19"/>
  <c r="D61" i="60"/>
  <c r="D60" i="60"/>
  <c r="D59" i="60"/>
  <c r="D58" i="60"/>
  <c r="D57" i="60"/>
  <c r="D83" i="20"/>
  <c r="D84" i="20"/>
  <c r="D85" i="20"/>
  <c r="D86" i="20"/>
  <c r="D82" i="20"/>
  <c r="I5" i="30" l="1"/>
  <c r="K9" i="49"/>
  <c r="I9" i="49"/>
  <c r="G9" i="49"/>
  <c r="E9" i="49"/>
  <c r="V29" i="58"/>
  <c r="V28" i="58"/>
  <c r="V27" i="58"/>
  <c r="D32" i="58" l="1"/>
  <c r="B88" i="50" s="1"/>
  <c r="D30" i="58"/>
  <c r="F88" i="50" s="1"/>
  <c r="D37" i="58"/>
  <c r="D28" i="58"/>
  <c r="D27" i="58"/>
  <c r="D42" i="58"/>
  <c r="D43" i="58"/>
  <c r="D39" i="58"/>
  <c r="D38" i="58"/>
  <c r="C61" i="60"/>
  <c r="D52" i="60"/>
  <c r="D51" i="60"/>
  <c r="D50" i="60"/>
  <c r="D49" i="60"/>
  <c r="D48" i="60"/>
  <c r="J23" i="60"/>
  <c r="D28" i="60"/>
  <c r="D27" i="60"/>
  <c r="D26" i="60"/>
  <c r="D25" i="60"/>
  <c r="D24" i="60"/>
  <c r="D23" i="60"/>
  <c r="D16" i="60"/>
  <c r="D15" i="60"/>
  <c r="D14" i="60"/>
  <c r="D13" i="60"/>
  <c r="D12" i="60"/>
  <c r="D11" i="60"/>
  <c r="D10" i="60"/>
  <c r="D8" i="60"/>
  <c r="D7" i="60"/>
  <c r="D6" i="60"/>
  <c r="F23" i="60"/>
  <c r="F55" i="60"/>
  <c r="F54" i="60"/>
  <c r="F52" i="60"/>
  <c r="F51" i="60"/>
  <c r="F33" i="60"/>
  <c r="F30" i="60"/>
  <c r="F29" i="60"/>
  <c r="F24" i="60"/>
  <c r="F25" i="60"/>
  <c r="F20" i="60"/>
  <c r="F19" i="60"/>
  <c r="F12" i="60"/>
  <c r="F11" i="60"/>
  <c r="F10" i="60"/>
  <c r="F18" i="60"/>
  <c r="F13" i="60"/>
  <c r="F49" i="60"/>
  <c r="F48" i="60"/>
  <c r="F50" i="60"/>
  <c r="F28" i="60"/>
  <c r="F27" i="60"/>
  <c r="F31" i="60"/>
  <c r="F26" i="60"/>
  <c r="F16" i="60"/>
  <c r="F15" i="60"/>
  <c r="F21" i="60"/>
  <c r="F17" i="60"/>
  <c r="F14" i="60"/>
  <c r="E93" i="50" l="1"/>
  <c r="W25" i="58"/>
  <c r="H9" i="21"/>
  <c r="L8" i="60"/>
  <c r="E45" i="60"/>
  <c r="E43" i="60"/>
  <c r="E41" i="60"/>
  <c r="E39" i="60"/>
  <c r="E37" i="60"/>
  <c r="E34" i="60"/>
  <c r="C46" i="60"/>
  <c r="C44" i="60"/>
  <c r="C42" i="60"/>
  <c r="C40" i="60"/>
  <c r="C38" i="60"/>
  <c r="C36" i="60"/>
  <c r="C35" i="60"/>
  <c r="E56" i="60"/>
  <c r="E22" i="60"/>
  <c r="E47" i="60"/>
  <c r="E5" i="60"/>
  <c r="C23" i="60"/>
  <c r="J64" i="60"/>
  <c r="C32" i="60"/>
  <c r="C8" i="60"/>
  <c r="F7" i="60" l="1"/>
  <c r="A19" i="63"/>
  <c r="A19" i="62"/>
  <c r="A16" i="61"/>
  <c r="C142" i="61" s="1"/>
  <c r="J65" i="60"/>
  <c r="K64" i="60"/>
  <c r="L64" i="60" s="1"/>
  <c r="C60" i="63" l="1"/>
  <c r="C140" i="63"/>
  <c r="C140" i="62"/>
  <c r="C60" i="62"/>
  <c r="K65" i="60"/>
  <c r="L65" i="60" s="1"/>
  <c r="M65" i="60" s="1"/>
  <c r="N65" i="60" s="1"/>
  <c r="J66" i="60"/>
  <c r="E66" i="60" l="1"/>
  <c r="A66" i="60"/>
  <c r="F66" i="60"/>
  <c r="K66" i="60"/>
  <c r="L66" i="60" s="1"/>
  <c r="M66" i="60" s="1"/>
  <c r="N66" i="60" s="1"/>
  <c r="A67" i="60" s="1"/>
  <c r="J67" i="60"/>
  <c r="I66" i="60"/>
  <c r="D66" i="60"/>
  <c r="F67" i="60" l="1"/>
  <c r="E67" i="60"/>
  <c r="K67" i="60"/>
  <c r="L67" i="60" s="1"/>
  <c r="M67" i="60" s="1"/>
  <c r="N67" i="60" s="1"/>
  <c r="J68" i="60"/>
  <c r="D67" i="60"/>
  <c r="I67" i="60"/>
  <c r="E68" i="60" l="1"/>
  <c r="A68" i="60"/>
  <c r="K68" i="60"/>
  <c r="L68" i="60" s="1"/>
  <c r="M68" i="60" s="1"/>
  <c r="N68" i="60" s="1"/>
  <c r="A69" i="60" s="1"/>
  <c r="J69" i="60"/>
  <c r="F68" i="60"/>
  <c r="M64" i="60"/>
  <c r="N64" i="60" s="1"/>
  <c r="A65" i="60" s="1"/>
  <c r="I68" i="60"/>
  <c r="D68" i="60"/>
  <c r="I65" i="60" l="1"/>
  <c r="E65" i="60"/>
  <c r="F69" i="60"/>
  <c r="E69" i="60"/>
  <c r="J70" i="60"/>
  <c r="K69" i="60"/>
  <c r="L69" i="60" s="1"/>
  <c r="M69" i="60" s="1"/>
  <c r="N69" i="60" s="1"/>
  <c r="F70" i="60" s="1"/>
  <c r="F65" i="60"/>
  <c r="D65" i="60"/>
  <c r="D69" i="60"/>
  <c r="I69" i="60"/>
  <c r="E70" i="60" l="1"/>
  <c r="A70" i="60"/>
  <c r="K70" i="60"/>
  <c r="L70" i="60" s="1"/>
  <c r="M70" i="60" s="1"/>
  <c r="N70" i="60" s="1"/>
  <c r="A71" i="60" s="1"/>
  <c r="J71" i="60"/>
  <c r="I70" i="60"/>
  <c r="D70" i="60"/>
  <c r="F71" i="60" l="1"/>
  <c r="E71" i="60"/>
  <c r="K71" i="60"/>
  <c r="L71" i="60" s="1"/>
  <c r="M71" i="60" s="1"/>
  <c r="N71" i="60" s="1"/>
  <c r="A72" i="60" s="1"/>
  <c r="J72" i="60"/>
  <c r="I71" i="60"/>
  <c r="D71" i="60"/>
  <c r="F72" i="60" l="1"/>
  <c r="E72" i="60"/>
  <c r="K72" i="60"/>
  <c r="L72" i="60" s="1"/>
  <c r="M72" i="60" s="1"/>
  <c r="N72" i="60" s="1"/>
  <c r="A73" i="60" s="1"/>
  <c r="J73" i="60"/>
  <c r="D72" i="60"/>
  <c r="I72" i="60"/>
  <c r="F73" i="60" l="1"/>
  <c r="E73" i="60"/>
  <c r="K73" i="60"/>
  <c r="L73" i="60" s="1"/>
  <c r="M73" i="60" s="1"/>
  <c r="N73" i="60" s="1"/>
  <c r="A74" i="60" s="1"/>
  <c r="J74" i="60"/>
  <c r="I73" i="60"/>
  <c r="D73" i="60"/>
  <c r="F74" i="60" l="1"/>
  <c r="E74" i="60"/>
  <c r="J75" i="60"/>
  <c r="K74" i="60"/>
  <c r="L74" i="60" s="1"/>
  <c r="M74" i="60" s="1"/>
  <c r="N74" i="60" s="1"/>
  <c r="A75" i="60" s="1"/>
  <c r="I74" i="60"/>
  <c r="D74" i="60"/>
  <c r="F75" i="60" l="1"/>
  <c r="E75" i="60"/>
  <c r="K75" i="60"/>
  <c r="L75" i="60" s="1"/>
  <c r="M75" i="60" s="1"/>
  <c r="N75" i="60" s="1"/>
  <c r="A76" i="60" s="1"/>
  <c r="J76" i="60"/>
  <c r="D75" i="60"/>
  <c r="I75" i="60"/>
  <c r="F76" i="60" l="1"/>
  <c r="E76" i="60"/>
  <c r="J77" i="60"/>
  <c r="K76" i="60"/>
  <c r="L76" i="60" s="1"/>
  <c r="M76" i="60" s="1"/>
  <c r="N76" i="60" s="1"/>
  <c r="I76" i="60"/>
  <c r="D76" i="60"/>
  <c r="E77" i="60" l="1"/>
  <c r="A77" i="60"/>
  <c r="F77" i="60"/>
  <c r="J78" i="60"/>
  <c r="K77" i="60"/>
  <c r="L77" i="60" s="1"/>
  <c r="M77" i="60" s="1"/>
  <c r="N77" i="60" s="1"/>
  <c r="A78" i="60" s="1"/>
  <c r="D77" i="60"/>
  <c r="I77" i="60"/>
  <c r="F78" i="60" l="1"/>
  <c r="E78" i="60"/>
  <c r="K78" i="60"/>
  <c r="L78" i="60" s="1"/>
  <c r="M78" i="60" s="1"/>
  <c r="N78" i="60" s="1"/>
  <c r="A79" i="60" s="1"/>
  <c r="J79" i="60"/>
  <c r="I78" i="60"/>
  <c r="D78" i="60"/>
  <c r="F79" i="60" l="1"/>
  <c r="E79" i="60"/>
  <c r="J80" i="60"/>
  <c r="K79" i="60"/>
  <c r="L79" i="60" s="1"/>
  <c r="M79" i="60" s="1"/>
  <c r="N79" i="60" s="1"/>
  <c r="A80" i="60" s="1"/>
  <c r="I79" i="60"/>
  <c r="D79" i="60"/>
  <c r="F80" i="60" l="1"/>
  <c r="E80" i="60"/>
  <c r="J81" i="60"/>
  <c r="K80" i="60"/>
  <c r="L80" i="60" s="1"/>
  <c r="M80" i="60" s="1"/>
  <c r="N80" i="60" s="1"/>
  <c r="A81" i="60" s="1"/>
  <c r="D80" i="60"/>
  <c r="I80" i="60"/>
  <c r="F81" i="60" l="1"/>
  <c r="E81" i="60"/>
  <c r="J82" i="60"/>
  <c r="K81" i="60"/>
  <c r="L81" i="60" s="1"/>
  <c r="M81" i="60" s="1"/>
  <c r="N81" i="60" s="1"/>
  <c r="A82" i="60" s="1"/>
  <c r="I81" i="60"/>
  <c r="D81" i="60"/>
  <c r="F82" i="60" l="1"/>
  <c r="E82" i="60"/>
  <c r="K82" i="60"/>
  <c r="L82" i="60" s="1"/>
  <c r="M82" i="60" s="1"/>
  <c r="N82" i="60" s="1"/>
  <c r="A83" i="60" s="1"/>
  <c r="J83" i="60"/>
  <c r="I82" i="60"/>
  <c r="D82" i="60"/>
  <c r="F83" i="60" l="1"/>
  <c r="E83" i="60"/>
  <c r="J84" i="60"/>
  <c r="K83" i="60"/>
  <c r="L83" i="60" s="1"/>
  <c r="M83" i="60" s="1"/>
  <c r="N83" i="60" s="1"/>
  <c r="D83" i="60"/>
  <c r="I83" i="60"/>
  <c r="E84" i="60" l="1"/>
  <c r="A84" i="60"/>
  <c r="F84" i="60"/>
  <c r="J85" i="60"/>
  <c r="K84" i="60"/>
  <c r="L84" i="60" s="1"/>
  <c r="M84" i="60" s="1"/>
  <c r="N84" i="60" s="1"/>
  <c r="A85" i="60" s="1"/>
  <c r="I84" i="60"/>
  <c r="D84" i="60"/>
  <c r="F85" i="60" l="1"/>
  <c r="E85" i="60"/>
  <c r="K85" i="60"/>
  <c r="L85" i="60" s="1"/>
  <c r="M85" i="60" s="1"/>
  <c r="N85" i="60" s="1"/>
  <c r="F86" i="60" s="1"/>
  <c r="J86" i="60"/>
  <c r="D85" i="60"/>
  <c r="I85" i="60"/>
  <c r="E86" i="60" l="1"/>
  <c r="A86" i="60"/>
  <c r="K86" i="60"/>
  <c r="L86" i="60" s="1"/>
  <c r="M86" i="60" s="1"/>
  <c r="N86" i="60" s="1"/>
  <c r="A87" i="60" s="1"/>
  <c r="J87" i="60"/>
  <c r="I86" i="60"/>
  <c r="D86" i="60"/>
  <c r="F87" i="60" l="1"/>
  <c r="E87" i="60"/>
  <c r="K87" i="60"/>
  <c r="L87" i="60" s="1"/>
  <c r="M87" i="60" s="1"/>
  <c r="N87" i="60" s="1"/>
  <c r="J88" i="60"/>
  <c r="I87" i="60"/>
  <c r="D87" i="60"/>
  <c r="E88" i="60" l="1"/>
  <c r="A88" i="60"/>
  <c r="F88" i="60"/>
  <c r="K88" i="60"/>
  <c r="L88" i="60" s="1"/>
  <c r="M88" i="60" s="1"/>
  <c r="N88" i="60" s="1"/>
  <c r="A89" i="60" s="1"/>
  <c r="J89" i="60"/>
  <c r="D88" i="60"/>
  <c r="I88" i="60"/>
  <c r="F89" i="60" l="1"/>
  <c r="E89" i="60"/>
  <c r="K89" i="60"/>
  <c r="L89" i="60" s="1"/>
  <c r="M89" i="60" s="1"/>
  <c r="N89" i="60" s="1"/>
  <c r="A90" i="60" s="1"/>
  <c r="J90" i="60"/>
  <c r="I89" i="60"/>
  <c r="D89" i="60"/>
  <c r="F90" i="60" l="1"/>
  <c r="E90" i="60"/>
  <c r="J91" i="60"/>
  <c r="K90" i="60"/>
  <c r="L90" i="60" s="1"/>
  <c r="M90" i="60" s="1"/>
  <c r="N90" i="60" s="1"/>
  <c r="A91" i="60" s="1"/>
  <c r="I90" i="60"/>
  <c r="D90" i="60"/>
  <c r="F91" i="60" l="1"/>
  <c r="E91" i="60"/>
  <c r="K91" i="60"/>
  <c r="L91" i="60" s="1"/>
  <c r="M91" i="60" s="1"/>
  <c r="N91" i="60" s="1"/>
  <c r="A92" i="60" s="1"/>
  <c r="J92" i="60"/>
  <c r="D91" i="60"/>
  <c r="I91" i="60"/>
  <c r="F92" i="60" l="1"/>
  <c r="E92" i="60"/>
  <c r="J93" i="60"/>
  <c r="K92" i="60"/>
  <c r="L92" i="60" s="1"/>
  <c r="M92" i="60" s="1"/>
  <c r="N92" i="60" s="1"/>
  <c r="A93" i="60" s="1"/>
  <c r="I92" i="60"/>
  <c r="D92" i="60"/>
  <c r="F93" i="60" l="1"/>
  <c r="E93" i="60"/>
  <c r="J94" i="60"/>
  <c r="K93" i="60"/>
  <c r="L93" i="60" s="1"/>
  <c r="M93" i="60" s="1"/>
  <c r="N93" i="60" s="1"/>
  <c r="A94" i="60" s="1"/>
  <c r="D93" i="60"/>
  <c r="I93" i="60"/>
  <c r="F94" i="60" l="1"/>
  <c r="E94" i="60"/>
  <c r="K94" i="60"/>
  <c r="L94" i="60" s="1"/>
  <c r="M94" i="60" s="1"/>
  <c r="N94" i="60" s="1"/>
  <c r="A95" i="60" s="1"/>
  <c r="J95" i="60"/>
  <c r="I94" i="60"/>
  <c r="D94" i="60"/>
  <c r="F95" i="60" l="1"/>
  <c r="E95" i="60"/>
  <c r="K95" i="60"/>
  <c r="L95" i="60" s="1"/>
  <c r="M95" i="60" s="1"/>
  <c r="N95" i="60" s="1"/>
  <c r="A96" i="60" s="1"/>
  <c r="J96" i="60"/>
  <c r="I95" i="60"/>
  <c r="D95" i="60"/>
  <c r="F96" i="60" l="1"/>
  <c r="E96" i="60"/>
  <c r="J97" i="60"/>
  <c r="K96" i="60"/>
  <c r="L96" i="60" s="1"/>
  <c r="M96" i="60" s="1"/>
  <c r="N96" i="60" s="1"/>
  <c r="A97" i="60" s="1"/>
  <c r="D96" i="60"/>
  <c r="I96" i="60"/>
  <c r="F97" i="60" l="1"/>
  <c r="E97" i="60"/>
  <c r="K97" i="60"/>
  <c r="L97" i="60" s="1"/>
  <c r="M97" i="60" s="1"/>
  <c r="N97" i="60" s="1"/>
  <c r="A98" i="60" s="1"/>
  <c r="J98" i="60"/>
  <c r="I97" i="60"/>
  <c r="D97" i="60"/>
  <c r="F98" i="60" l="1"/>
  <c r="E98" i="60"/>
  <c r="K98" i="60"/>
  <c r="L98" i="60" s="1"/>
  <c r="M98" i="60" s="1"/>
  <c r="N98" i="60" s="1"/>
  <c r="A99" i="60" s="1"/>
  <c r="J99" i="60"/>
  <c r="I98" i="60"/>
  <c r="D98" i="60"/>
  <c r="F99" i="60" l="1"/>
  <c r="E99" i="60"/>
  <c r="J100" i="60"/>
  <c r="K99" i="60"/>
  <c r="L99" i="60" s="1"/>
  <c r="M99" i="60" s="1"/>
  <c r="N99" i="60" s="1"/>
  <c r="A100" i="60" s="1"/>
  <c r="D99" i="60"/>
  <c r="I99" i="60"/>
  <c r="F100" i="60" l="1"/>
  <c r="E100" i="60"/>
  <c r="K100" i="60"/>
  <c r="L100" i="60" s="1"/>
  <c r="M100" i="60" s="1"/>
  <c r="N100" i="60" s="1"/>
  <c r="A101" i="60" s="1"/>
  <c r="J101" i="60"/>
  <c r="I100" i="60"/>
  <c r="D100" i="60"/>
  <c r="F101" i="60" l="1"/>
  <c r="E101" i="60"/>
  <c r="K101" i="60"/>
  <c r="L101" i="60" s="1"/>
  <c r="M101" i="60" s="1"/>
  <c r="N101" i="60" s="1"/>
  <c r="A102" i="60" s="1"/>
  <c r="J102" i="60"/>
  <c r="I101" i="60"/>
  <c r="D101" i="60"/>
  <c r="F102" i="60" l="1"/>
  <c r="E102" i="60"/>
  <c r="K102" i="60"/>
  <c r="L102" i="60" s="1"/>
  <c r="M102" i="60" s="1"/>
  <c r="N102" i="60" s="1"/>
  <c r="A103" i="60" s="1"/>
  <c r="J103" i="60"/>
  <c r="I102" i="60"/>
  <c r="D102" i="60"/>
  <c r="F103" i="60" l="1"/>
  <c r="E103" i="60"/>
  <c r="K103" i="60"/>
  <c r="L103" i="60" s="1"/>
  <c r="M103" i="60" s="1"/>
  <c r="N103" i="60" s="1"/>
  <c r="A104" i="60" s="1"/>
  <c r="J104" i="60"/>
  <c r="I103" i="60"/>
  <c r="D103" i="60"/>
  <c r="F104" i="60" l="1"/>
  <c r="E104" i="60"/>
  <c r="K104" i="60"/>
  <c r="L104" i="60" s="1"/>
  <c r="M104" i="60" s="1"/>
  <c r="N104" i="60" s="1"/>
  <c r="A105" i="60" s="1"/>
  <c r="J105" i="60"/>
  <c r="D104" i="60"/>
  <c r="I104" i="60"/>
  <c r="F105" i="60" l="1"/>
  <c r="E105" i="60"/>
  <c r="K105" i="60"/>
  <c r="L105" i="60" s="1"/>
  <c r="M105" i="60" s="1"/>
  <c r="N105" i="60" s="1"/>
  <c r="A106" i="60" s="1"/>
  <c r="J106" i="60"/>
  <c r="I105" i="60"/>
  <c r="D105" i="60"/>
  <c r="F106" i="60" l="1"/>
  <c r="E106" i="60"/>
  <c r="J107" i="60"/>
  <c r="K106" i="60"/>
  <c r="L106" i="60" s="1"/>
  <c r="M106" i="60" s="1"/>
  <c r="N106" i="60" s="1"/>
  <c r="A107" i="60" s="1"/>
  <c r="I106" i="60"/>
  <c r="D106" i="60"/>
  <c r="F107" i="60" l="1"/>
  <c r="E107" i="60"/>
  <c r="K107" i="60"/>
  <c r="L107" i="60" s="1"/>
  <c r="M107" i="60" s="1"/>
  <c r="N107" i="60" s="1"/>
  <c r="A108" i="60" s="1"/>
  <c r="J108" i="60"/>
  <c r="D107" i="60"/>
  <c r="I107" i="60"/>
  <c r="F108" i="60" l="1"/>
  <c r="E108" i="60"/>
  <c r="K108" i="60"/>
  <c r="L108" i="60" s="1"/>
  <c r="M108" i="60" s="1"/>
  <c r="N108" i="60" s="1"/>
  <c r="A109" i="60" s="1"/>
  <c r="J109" i="60"/>
  <c r="I108" i="60"/>
  <c r="D108" i="60"/>
  <c r="F109" i="60" l="1"/>
  <c r="E109" i="60"/>
  <c r="J110" i="60"/>
  <c r="K109" i="60"/>
  <c r="L109" i="60" s="1"/>
  <c r="M109" i="60" s="1"/>
  <c r="N109" i="60" s="1"/>
  <c r="A110" i="60" s="1"/>
  <c r="D109" i="60"/>
  <c r="I109" i="60"/>
  <c r="F110" i="60" l="1"/>
  <c r="E110" i="60"/>
  <c r="K110" i="60"/>
  <c r="L110" i="60" s="1"/>
  <c r="M110" i="60" s="1"/>
  <c r="N110" i="60" s="1"/>
  <c r="A111" i="60" s="1"/>
  <c r="J111" i="60"/>
  <c r="I110" i="60"/>
  <c r="D110" i="60"/>
  <c r="F111" i="60" l="1"/>
  <c r="E111" i="60"/>
  <c r="K111" i="60"/>
  <c r="L111" i="60" s="1"/>
  <c r="M111" i="60" s="1"/>
  <c r="N111" i="60" s="1"/>
  <c r="A112" i="60" s="1"/>
  <c r="J112" i="60"/>
  <c r="I111" i="60"/>
  <c r="D111" i="60"/>
  <c r="F112" i="60" l="1"/>
  <c r="E112" i="60"/>
  <c r="J113" i="60"/>
  <c r="K112" i="60"/>
  <c r="L112" i="60" s="1"/>
  <c r="M112" i="60" s="1"/>
  <c r="N112" i="60" s="1"/>
  <c r="A113" i="60" s="1"/>
  <c r="D112" i="60"/>
  <c r="I112" i="60"/>
  <c r="F113" i="60" l="1"/>
  <c r="E113" i="60"/>
  <c r="K113" i="60"/>
  <c r="L113" i="60" s="1"/>
  <c r="M113" i="60" s="1"/>
  <c r="N113" i="60" s="1"/>
  <c r="A114" i="60" s="1"/>
  <c r="J114" i="60"/>
  <c r="I113" i="60"/>
  <c r="D113" i="60"/>
  <c r="F114" i="60" l="1"/>
  <c r="E114" i="60"/>
  <c r="K114" i="60"/>
  <c r="L114" i="60" s="1"/>
  <c r="M114" i="60" s="1"/>
  <c r="N114" i="60" s="1"/>
  <c r="A115" i="60" s="1"/>
  <c r="J115" i="60"/>
  <c r="K115" i="60" s="1"/>
  <c r="L115" i="60" s="1"/>
  <c r="M115" i="60" s="1"/>
  <c r="N115" i="60" s="1"/>
  <c r="I114" i="60"/>
  <c r="D114" i="60"/>
  <c r="E116" i="60" l="1"/>
  <c r="A116" i="60"/>
  <c r="F115" i="60"/>
  <c r="E115" i="60"/>
  <c r="D115" i="60"/>
  <c r="I115" i="60"/>
  <c r="I116" i="60" l="1"/>
  <c r="F116" i="60"/>
  <c r="D116" i="60"/>
  <c r="C52" i="21"/>
  <c r="C51" i="21"/>
  <c r="C43" i="21"/>
  <c r="C42" i="21"/>
  <c r="A5" i="44" l="1"/>
  <c r="C25" i="44" s="1"/>
  <c r="A8" i="44"/>
  <c r="A5" i="46"/>
  <c r="C25" i="46" s="1"/>
  <c r="A8" i="46"/>
  <c r="C60" i="60"/>
  <c r="C15" i="60"/>
  <c r="C50" i="60"/>
  <c r="C57" i="60"/>
  <c r="C28" i="60"/>
  <c r="C49" i="60"/>
  <c r="C48" i="60"/>
  <c r="C31" i="60"/>
  <c r="C17" i="60"/>
  <c r="C16" i="60"/>
  <c r="C21" i="60"/>
  <c r="C27" i="60"/>
  <c r="C26" i="60"/>
  <c r="C14" i="60"/>
  <c r="C59" i="60"/>
  <c r="C51" i="60"/>
  <c r="C20" i="60"/>
  <c r="C19" i="60"/>
  <c r="C64" i="60"/>
  <c r="C11" i="60"/>
  <c r="C63" i="60"/>
  <c r="C55" i="60"/>
  <c r="C30" i="60"/>
  <c r="C10" i="60"/>
  <c r="C54" i="60"/>
  <c r="C29" i="60"/>
  <c r="C24" i="60"/>
  <c r="C25" i="60"/>
  <c r="C18" i="60"/>
  <c r="C58" i="60"/>
  <c r="C12" i="60"/>
  <c r="C13" i="60"/>
  <c r="J26" i="20"/>
  <c r="H18" i="50" l="1"/>
  <c r="H26" i="50"/>
  <c r="G26" i="50"/>
  <c r="H28" i="50"/>
  <c r="G28" i="50"/>
  <c r="C28" i="50" l="1"/>
  <c r="C28" i="65"/>
  <c r="C34" i="64"/>
  <c r="C32" i="51"/>
  <c r="C26" i="50"/>
  <c r="I25" i="51"/>
  <c r="G34" i="51"/>
  <c r="F34" i="51"/>
  <c r="C34" i="51"/>
  <c r="G32" i="51"/>
  <c r="F32" i="51"/>
  <c r="C28" i="51"/>
  <c r="D27" i="51"/>
  <c r="D25" i="51"/>
  <c r="A19" i="38"/>
  <c r="W24" i="58" l="1"/>
  <c r="W38" i="58"/>
  <c r="W39" i="58"/>
  <c r="V20" i="58"/>
  <c r="W20" i="58"/>
  <c r="X20" i="58"/>
  <c r="X19" i="58"/>
  <c r="W19" i="58"/>
  <c r="V19" i="58"/>
  <c r="X17" i="58"/>
  <c r="W17" i="58"/>
  <c r="V17" i="58"/>
  <c r="X15" i="58"/>
  <c r="X13" i="58"/>
  <c r="W13" i="58"/>
  <c r="V15" i="58"/>
  <c r="V13" i="58"/>
  <c r="X14" i="58"/>
  <c r="V14" i="58"/>
  <c r="W14" i="58"/>
  <c r="X11" i="58"/>
  <c r="W11" i="58"/>
  <c r="V11" i="58"/>
  <c r="V9" i="58"/>
  <c r="W9" i="58"/>
  <c r="X9" i="58"/>
  <c r="X10" i="58"/>
  <c r="V10" i="58"/>
  <c r="W10" i="58"/>
  <c r="F41" i="20"/>
  <c r="C41" i="20" s="1"/>
  <c r="X8" i="58"/>
  <c r="V8" i="58"/>
  <c r="W8" i="58"/>
  <c r="X7" i="58"/>
  <c r="X6" i="58"/>
  <c r="V7" i="58"/>
  <c r="V6" i="58"/>
  <c r="W7" i="58"/>
  <c r="W6" i="58"/>
  <c r="C65" i="64" l="1"/>
  <c r="C58" i="65"/>
  <c r="E16" i="49"/>
  <c r="J23" i="21"/>
  <c r="K14" i="49"/>
  <c r="I22" i="21"/>
  <c r="H14" i="49"/>
  <c r="H22" i="21"/>
  <c r="E14" i="49"/>
  <c r="J22" i="21"/>
  <c r="H16" i="49"/>
  <c r="H23" i="21"/>
  <c r="K16" i="49"/>
  <c r="I23" i="21"/>
  <c r="C58" i="50"/>
  <c r="C65" i="51"/>
  <c r="W12" i="58"/>
  <c r="I19" i="21" s="1"/>
  <c r="W16" i="58"/>
  <c r="I20" i="21" s="1"/>
  <c r="V16" i="58"/>
  <c r="H20" i="21" s="1"/>
  <c r="X16" i="58"/>
  <c r="J20" i="21" s="1"/>
  <c r="X12" i="58"/>
  <c r="J19" i="21" s="1"/>
  <c r="V18" i="58"/>
  <c r="H21" i="21" s="1"/>
  <c r="V12" i="58"/>
  <c r="H19" i="21" s="1"/>
  <c r="W18" i="58"/>
  <c r="I21" i="21" s="1"/>
  <c r="X18" i="58"/>
  <c r="J21" i="21" s="1"/>
  <c r="D64" i="20"/>
  <c r="D65" i="20"/>
  <c r="D66" i="20"/>
  <c r="D67" i="20"/>
  <c r="D68" i="20"/>
  <c r="D69" i="20"/>
  <c r="D70" i="20"/>
  <c r="D63" i="20"/>
  <c r="P83" i="58"/>
  <c r="O61" i="58" s="1"/>
  <c r="P33" i="58"/>
  <c r="P82" i="58"/>
  <c r="P32" i="58"/>
  <c r="P81" i="58"/>
  <c r="P31" i="58"/>
  <c r="P80" i="58"/>
  <c r="P30" i="58"/>
  <c r="P79" i="58"/>
  <c r="D79" i="58"/>
  <c r="P29" i="58"/>
  <c r="P78" i="58"/>
  <c r="J78" i="58"/>
  <c r="D78" i="58"/>
  <c r="P28" i="58"/>
  <c r="P77" i="58"/>
  <c r="J77" i="58"/>
  <c r="D77" i="58"/>
  <c r="P27" i="58"/>
  <c r="P76" i="58"/>
  <c r="J76" i="58"/>
  <c r="D76" i="58"/>
  <c r="P26" i="58"/>
  <c r="P75" i="58"/>
  <c r="J75" i="58"/>
  <c r="D75" i="58"/>
  <c r="W37" i="58"/>
  <c r="W35" i="58"/>
  <c r="W33" i="58"/>
  <c r="W31" i="58"/>
  <c r="V30" i="58"/>
  <c r="W30" i="58" s="1"/>
  <c r="W28" i="58"/>
  <c r="V26" i="58"/>
  <c r="W26" i="58" s="1"/>
  <c r="I60" i="58"/>
  <c r="J60" i="58" s="1"/>
  <c r="C60" i="58"/>
  <c r="D60" i="58" s="1"/>
  <c r="D36" i="58"/>
  <c r="G84" i="50" s="1"/>
  <c r="D35" i="58"/>
  <c r="B84" i="50" s="1"/>
  <c r="D34" i="58"/>
  <c r="D33" i="58"/>
  <c r="I80" i="50" s="1"/>
  <c r="D31" i="58"/>
  <c r="I88" i="50" s="1"/>
  <c r="J33" i="58"/>
  <c r="J32" i="58"/>
  <c r="J31" i="58"/>
  <c r="J30" i="58"/>
  <c r="J29" i="58"/>
  <c r="J28" i="58"/>
  <c r="J27" i="58"/>
  <c r="J26" i="58"/>
  <c r="D26" i="58"/>
  <c r="E48" i="20"/>
  <c r="E46" i="20"/>
  <c r="F49" i="20"/>
  <c r="C49" i="20" s="1"/>
  <c r="F47" i="20"/>
  <c r="C47" i="20" s="1"/>
  <c r="E44" i="20"/>
  <c r="E39" i="20"/>
  <c r="F40" i="20"/>
  <c r="C40" i="20" s="1"/>
  <c r="L8" i="20"/>
  <c r="C97" i="23"/>
  <c r="C96" i="23"/>
  <c r="C95" i="23"/>
  <c r="C96" i="57"/>
  <c r="C194" i="57"/>
  <c r="C145" i="57"/>
  <c r="C83" i="57"/>
  <c r="C45" i="57"/>
  <c r="C44" i="57"/>
  <c r="C43" i="57"/>
  <c r="C42" i="57"/>
  <c r="C41" i="57"/>
  <c r="C40" i="57"/>
  <c r="C39" i="57"/>
  <c r="C38" i="57"/>
  <c r="C37" i="57"/>
  <c r="C36" i="57"/>
  <c r="D145" i="57"/>
  <c r="E246" i="57"/>
  <c r="I11" i="57"/>
  <c r="I9" i="57"/>
  <c r="E145" i="57" s="1"/>
  <c r="I7" i="57"/>
  <c r="C61" i="64" l="1"/>
  <c r="C54" i="65"/>
  <c r="C63" i="64"/>
  <c r="C56" i="65"/>
  <c r="C59" i="64"/>
  <c r="C52" i="65"/>
  <c r="I182" i="65"/>
  <c r="I247" i="50"/>
  <c r="X62" i="64"/>
  <c r="X106" i="51"/>
  <c r="W43" i="58"/>
  <c r="O60" i="58"/>
  <c r="G61" i="20"/>
  <c r="W42" i="58"/>
  <c r="H10" i="21"/>
  <c r="W41" i="58"/>
  <c r="C52" i="50"/>
  <c r="C59" i="51"/>
  <c r="C54" i="50"/>
  <c r="C61" i="51"/>
  <c r="C63" i="51"/>
  <c r="C56" i="50"/>
  <c r="O62" i="58"/>
  <c r="E80" i="57"/>
  <c r="E85" i="57"/>
  <c r="E84" i="57"/>
  <c r="E82" i="57"/>
  <c r="O65" i="58" l="1"/>
  <c r="D83" i="57"/>
  <c r="D81" i="57"/>
  <c r="C81" i="57"/>
  <c r="E76" i="57"/>
  <c r="E72" i="57" a="1"/>
  <c r="E72" i="57" s="1"/>
  <c r="D72" i="57" a="1"/>
  <c r="D72" i="57" s="1"/>
  <c r="E71" i="57"/>
  <c r="D71" i="57"/>
  <c r="E70" i="57"/>
  <c r="D70" i="57"/>
  <c r="E69" i="57"/>
  <c r="D69" i="57"/>
  <c r="E68" i="57"/>
  <c r="D68" i="57"/>
  <c r="E67" i="57"/>
  <c r="E65" i="57"/>
  <c r="E57" i="57"/>
  <c r="D55" i="57"/>
  <c r="C55" i="57"/>
  <c r="B55" i="57"/>
  <c r="D54" i="57"/>
  <c r="C54" i="57"/>
  <c r="B54" i="57"/>
  <c r="D53" i="57"/>
  <c r="C53" i="57"/>
  <c r="B53" i="57"/>
  <c r="D52" i="57"/>
  <c r="C52" i="57"/>
  <c r="B52" i="57"/>
  <c r="D51" i="57"/>
  <c r="C51" i="57"/>
  <c r="B51" i="57"/>
  <c r="D50" i="57"/>
  <c r="C50" i="57"/>
  <c r="B50" i="57"/>
  <c r="D49" i="57"/>
  <c r="C49" i="57"/>
  <c r="B49" i="57"/>
  <c r="D48" i="57"/>
  <c r="C48" i="57"/>
  <c r="B48" i="57"/>
  <c r="D47" i="57"/>
  <c r="C47" i="57"/>
  <c r="B47" i="57"/>
  <c r="D46" i="57"/>
  <c r="C46" i="57"/>
  <c r="B46" i="57"/>
  <c r="D45" i="57"/>
  <c r="D44" i="57"/>
  <c r="D43" i="57"/>
  <c r="D42" i="57"/>
  <c r="D41" i="57"/>
  <c r="D40" i="57"/>
  <c r="D39" i="57"/>
  <c r="D38" i="57"/>
  <c r="D37" i="57"/>
  <c r="D36" i="57"/>
  <c r="E34" i="57"/>
  <c r="E33" i="57"/>
  <c r="E32" i="57"/>
  <c r="E31" i="57"/>
  <c r="E27" i="57"/>
  <c r="E25" i="57"/>
  <c r="E24" i="57"/>
  <c r="E23" i="57"/>
  <c r="E22" i="57"/>
  <c r="E21" i="57"/>
  <c r="E20" i="57"/>
  <c r="E18" i="57"/>
  <c r="E16" i="57"/>
  <c r="E15" i="57"/>
  <c r="E14" i="57"/>
  <c r="E13" i="57"/>
  <c r="E12" i="57"/>
  <c r="E10" i="57"/>
  <c r="D194" i="57"/>
  <c r="H29" i="57" s="1" a="1"/>
  <c r="H29" i="57" s="1"/>
  <c r="D96" i="57"/>
  <c r="E248" i="57"/>
  <c r="H20" i="57"/>
  <c r="E96" i="57"/>
  <c r="B96" i="57"/>
  <c r="H23" i="57" l="1" a="1"/>
  <c r="H23" i="57" s="1"/>
  <c r="H26" i="57" a="1"/>
  <c r="H26" i="57" s="1"/>
  <c r="I8" i="57"/>
  <c r="I10" i="57" s="1"/>
  <c r="I12" i="57" s="1"/>
  <c r="E194" i="57"/>
  <c r="E48" i="57"/>
  <c r="E81" i="57"/>
  <c r="E83" i="57"/>
  <c r="E49" i="57"/>
  <c r="E50" i="57"/>
  <c r="E41" i="57"/>
  <c r="E53" i="57"/>
  <c r="E40" i="57"/>
  <c r="E46" i="57"/>
  <c r="E54" i="57"/>
  <c r="E36" i="57"/>
  <c r="E47" i="57"/>
  <c r="E42" i="57"/>
  <c r="E55" i="57"/>
  <c r="E43" i="57"/>
  <c r="E38" i="57"/>
  <c r="E37" i="57"/>
  <c r="E52" i="57"/>
  <c r="E44" i="57"/>
  <c r="E45" i="57"/>
  <c r="E51" i="57"/>
  <c r="E39" i="57"/>
  <c r="E73" i="57"/>
  <c r="E84" i="23" l="1"/>
  <c r="E83" i="23"/>
  <c r="E81" i="23"/>
  <c r="E79" i="23"/>
  <c r="K12" i="36"/>
  <c r="K13" i="36"/>
  <c r="K20" i="36"/>
  <c r="K21" i="36"/>
  <c r="K8" i="36"/>
  <c r="F2" i="51"/>
  <c r="D1" i="50"/>
  <c r="I18" i="51"/>
  <c r="C18" i="51"/>
  <c r="B12" i="51"/>
  <c r="L12" i="51"/>
  <c r="I12" i="51"/>
  <c r="F12" i="51"/>
  <c r="O11" i="56" l="1" a="1"/>
  <c r="O11" i="56" s="1"/>
  <c r="O7" i="56" s="1"/>
  <c r="A11" i="44" l="1"/>
  <c r="C22" i="44" s="1"/>
  <c r="E42" i="20" l="1"/>
  <c r="F43" i="20"/>
  <c r="C43" i="20" s="1"/>
  <c r="H18" i="21" l="1"/>
  <c r="J18" i="21"/>
  <c r="P13" i="51" l="1"/>
  <c r="I18" i="21"/>
  <c r="X13" i="51"/>
  <c r="T13" i="51"/>
  <c r="I4" i="30" l="1"/>
  <c r="F45" i="20"/>
  <c r="C45" i="20" s="1"/>
  <c r="F51" i="20"/>
  <c r="C51" i="20" s="1"/>
  <c r="I7" i="23"/>
  <c r="I9" i="23"/>
  <c r="E96" i="23" s="1"/>
  <c r="I11" i="23"/>
  <c r="D96" i="23"/>
  <c r="D97" i="23"/>
  <c r="H29" i="23" l="1" a="1"/>
  <c r="H29" i="23" s="1"/>
  <c r="H26" i="23" a="1"/>
  <c r="H26" i="23" s="1"/>
  <c r="H23" i="23" a="1"/>
  <c r="H23" i="23" s="1"/>
  <c r="E95" i="23"/>
  <c r="E97" i="23"/>
  <c r="I12" i="30" l="1"/>
  <c r="E50" i="20" l="1"/>
  <c r="D74" i="20"/>
  <c r="D75" i="20"/>
  <c r="D76" i="20"/>
  <c r="D77" i="20"/>
  <c r="D73" i="20"/>
  <c r="D54" i="20"/>
  <c r="D55" i="20"/>
  <c r="D56" i="20"/>
  <c r="D57" i="20"/>
  <c r="D58" i="20"/>
  <c r="D59" i="20"/>
  <c r="D60" i="20"/>
  <c r="D61" i="20"/>
  <c r="D53" i="20"/>
  <c r="D33" i="20" l="1"/>
  <c r="D32" i="20"/>
  <c r="D31" i="20"/>
  <c r="D30" i="20"/>
  <c r="D29" i="20"/>
  <c r="D28" i="20"/>
  <c r="D27" i="20"/>
  <c r="D26" i="20"/>
  <c r="D7" i="20" l="1"/>
  <c r="D17" i="20"/>
  <c r="D18" i="20"/>
  <c r="D19" i="20"/>
  <c r="D8" i="20"/>
  <c r="D20" i="20"/>
  <c r="D21" i="20"/>
  <c r="D10" i="20"/>
  <c r="D11" i="20"/>
  <c r="D12" i="20"/>
  <c r="D13" i="20"/>
  <c r="D14" i="20"/>
  <c r="D15" i="20"/>
  <c r="D16" i="20"/>
  <c r="D6" i="20"/>
  <c r="H8" i="21"/>
  <c r="H17" i="21"/>
  <c r="I17" i="21"/>
  <c r="J17" i="21"/>
  <c r="H16" i="21"/>
  <c r="I16" i="21"/>
  <c r="J16" i="21"/>
  <c r="D22" i="50" l="1"/>
  <c r="C29" i="51"/>
  <c r="E17" i="21"/>
  <c r="H7" i="21"/>
  <c r="E105" i="23" l="1"/>
  <c r="C8" i="20" l="1"/>
  <c r="A2" i="39" l="1"/>
  <c r="C19" i="39" s="1"/>
  <c r="D58" i="19" l="1"/>
  <c r="R58" i="19"/>
  <c r="R1267" i="19"/>
  <c r="R1266" i="19"/>
  <c r="R1265" i="19"/>
  <c r="R1264" i="19"/>
  <c r="R1263" i="19"/>
  <c r="R1262" i="19"/>
  <c r="R1261" i="19"/>
  <c r="R1260" i="19"/>
  <c r="R1259" i="19"/>
  <c r="R1258" i="19"/>
  <c r="R1257" i="19"/>
  <c r="R1256" i="19"/>
  <c r="R1255" i="19"/>
  <c r="R1254" i="19"/>
  <c r="R1253" i="19"/>
  <c r="R1252" i="19"/>
  <c r="R1251" i="19"/>
  <c r="R1250" i="19"/>
  <c r="R1249" i="19"/>
  <c r="R1248" i="19"/>
  <c r="R1247" i="19"/>
  <c r="R1246" i="19"/>
  <c r="R1245" i="19"/>
  <c r="R1244" i="19"/>
  <c r="R1243" i="19"/>
  <c r="R1242" i="19"/>
  <c r="R1241" i="19"/>
  <c r="R1240" i="19"/>
  <c r="R1239" i="19"/>
  <c r="R1238" i="19"/>
  <c r="R1237" i="19"/>
  <c r="R1236" i="19"/>
  <c r="R1235" i="19"/>
  <c r="R1234" i="19"/>
  <c r="R1233" i="19"/>
  <c r="R1232" i="19"/>
  <c r="R1231" i="19"/>
  <c r="R1230" i="19"/>
  <c r="R1229" i="19"/>
  <c r="R1228" i="19"/>
  <c r="R1227" i="19"/>
  <c r="R1226" i="19"/>
  <c r="R1225" i="19"/>
  <c r="R1224" i="19"/>
  <c r="R1223" i="19"/>
  <c r="R1222" i="19"/>
  <c r="R1221" i="19"/>
  <c r="R1220" i="19"/>
  <c r="R1219" i="19"/>
  <c r="R1218" i="19"/>
  <c r="R1217" i="19"/>
  <c r="R1216" i="19"/>
  <c r="R1215" i="19"/>
  <c r="R1214" i="19"/>
  <c r="R1213" i="19"/>
  <c r="R1212" i="19"/>
  <c r="R1211" i="19"/>
  <c r="R1210" i="19"/>
  <c r="R1209" i="19"/>
  <c r="R1208" i="19"/>
  <c r="R1207" i="19"/>
  <c r="R1206" i="19"/>
  <c r="R1205" i="19"/>
  <c r="R1204" i="19"/>
  <c r="R1203" i="19"/>
  <c r="R1202" i="19"/>
  <c r="R1201" i="19"/>
  <c r="R1200" i="19"/>
  <c r="R1199" i="19"/>
  <c r="R1198" i="19"/>
  <c r="R1197" i="19"/>
  <c r="R1196" i="19"/>
  <c r="R1195" i="19"/>
  <c r="R1194" i="19"/>
  <c r="R1193" i="19"/>
  <c r="R1192" i="19"/>
  <c r="R1191" i="19"/>
  <c r="R1190" i="19"/>
  <c r="R1189" i="19"/>
  <c r="R1188" i="19"/>
  <c r="R1187" i="19"/>
  <c r="R1186" i="19"/>
  <c r="R1185" i="19"/>
  <c r="R1184" i="19"/>
  <c r="R1183" i="19"/>
  <c r="R1182" i="19"/>
  <c r="R1181" i="19"/>
  <c r="R1180" i="19"/>
  <c r="R1179" i="19"/>
  <c r="R1178" i="19"/>
  <c r="R1177" i="19"/>
  <c r="R1176" i="19"/>
  <c r="R1175" i="19"/>
  <c r="R1174" i="19"/>
  <c r="R1173" i="19"/>
  <c r="R1172" i="19"/>
  <c r="R1171" i="19"/>
  <c r="R1170" i="19"/>
  <c r="R1169" i="19"/>
  <c r="R1168" i="19"/>
  <c r="R1167" i="19"/>
  <c r="R1166" i="19"/>
  <c r="R1165" i="19"/>
  <c r="R1164" i="19"/>
  <c r="R1163" i="19"/>
  <c r="R1162" i="19"/>
  <c r="R1161" i="19"/>
  <c r="R1160" i="19"/>
  <c r="R1159" i="19"/>
  <c r="R1158" i="19"/>
  <c r="R1157" i="19"/>
  <c r="R1156" i="19"/>
  <c r="R1155" i="19"/>
  <c r="R1154" i="19"/>
  <c r="R1153" i="19"/>
  <c r="R1152" i="19"/>
  <c r="R1151" i="19"/>
  <c r="R1150" i="19"/>
  <c r="R1149" i="19"/>
  <c r="R1148" i="19"/>
  <c r="R1147" i="19"/>
  <c r="R1146" i="19"/>
  <c r="R1145" i="19"/>
  <c r="R1144" i="19"/>
  <c r="R1143" i="19"/>
  <c r="R1142" i="19"/>
  <c r="R1141" i="19"/>
  <c r="R1140" i="19"/>
  <c r="R1139" i="19"/>
  <c r="R1138" i="19"/>
  <c r="R1137" i="19"/>
  <c r="R1136" i="19"/>
  <c r="R1135" i="19"/>
  <c r="R1134" i="19"/>
  <c r="R1133" i="19"/>
  <c r="R1132" i="19"/>
  <c r="R1131" i="19"/>
  <c r="R1130" i="19"/>
  <c r="R1129" i="19"/>
  <c r="R1128" i="19"/>
  <c r="R1127" i="19"/>
  <c r="R1126" i="19"/>
  <c r="R1125" i="19"/>
  <c r="R1124" i="19"/>
  <c r="R1123" i="19"/>
  <c r="R1122" i="19"/>
  <c r="R1121" i="19"/>
  <c r="R1120" i="19"/>
  <c r="R1119" i="19"/>
  <c r="R1118" i="19"/>
  <c r="R1117" i="19"/>
  <c r="R1116" i="19"/>
  <c r="R1115" i="19"/>
  <c r="R1114" i="19"/>
  <c r="R1113" i="19"/>
  <c r="R1112" i="19"/>
  <c r="R1111" i="19"/>
  <c r="R1110" i="19"/>
  <c r="R1109" i="19"/>
  <c r="R1108" i="19"/>
  <c r="R1107" i="19"/>
  <c r="R1106" i="19"/>
  <c r="R1105" i="19"/>
  <c r="R1104" i="19"/>
  <c r="R1103" i="19"/>
  <c r="R1102" i="19"/>
  <c r="R1101" i="19"/>
  <c r="R1100" i="19"/>
  <c r="R1099" i="19"/>
  <c r="R1098" i="19"/>
  <c r="R1097" i="19"/>
  <c r="R1096" i="19"/>
  <c r="R1095" i="19"/>
  <c r="R1094" i="19"/>
  <c r="R1093" i="19"/>
  <c r="R1092" i="19"/>
  <c r="R1091" i="19"/>
  <c r="R1090" i="19"/>
  <c r="R1089" i="19"/>
  <c r="R1088" i="19"/>
  <c r="R1087" i="19"/>
  <c r="R1086" i="19"/>
  <c r="R1085" i="19"/>
  <c r="R1084" i="19"/>
  <c r="R1083" i="19"/>
  <c r="R1082" i="19"/>
  <c r="R1081" i="19"/>
  <c r="R1080" i="19"/>
  <c r="R1079" i="19"/>
  <c r="R1078" i="19"/>
  <c r="R1077" i="19"/>
  <c r="R1076" i="19"/>
  <c r="R1075" i="19"/>
  <c r="R1074" i="19"/>
  <c r="R1073" i="19"/>
  <c r="R1072" i="19"/>
  <c r="R1071" i="19"/>
  <c r="R1070" i="19"/>
  <c r="R1069" i="19"/>
  <c r="R1068" i="19"/>
  <c r="R1067" i="19"/>
  <c r="R1066" i="19"/>
  <c r="R1065" i="19"/>
  <c r="R1064" i="19"/>
  <c r="R1063" i="19"/>
  <c r="R1062" i="19"/>
  <c r="R1061" i="19"/>
  <c r="R1060" i="19"/>
  <c r="R1059" i="19"/>
  <c r="R1058" i="19"/>
  <c r="R1057" i="19"/>
  <c r="R1056" i="19"/>
  <c r="R1055" i="19"/>
  <c r="R1054" i="19"/>
  <c r="R1053" i="19"/>
  <c r="R1052" i="19"/>
  <c r="R1051" i="19"/>
  <c r="R1050" i="19"/>
  <c r="R1049" i="19"/>
  <c r="R1048" i="19"/>
  <c r="R1047" i="19"/>
  <c r="R1046" i="19"/>
  <c r="R1045" i="19"/>
  <c r="R1044" i="19"/>
  <c r="R1043" i="19"/>
  <c r="R1042" i="19"/>
  <c r="R1041" i="19"/>
  <c r="R1040" i="19"/>
  <c r="R1039" i="19"/>
  <c r="R1038" i="19"/>
  <c r="R1037" i="19"/>
  <c r="R1036" i="19"/>
  <c r="R1035" i="19"/>
  <c r="R1034" i="19"/>
  <c r="R1033" i="19"/>
  <c r="R1032" i="19"/>
  <c r="R1031" i="19"/>
  <c r="R1030" i="19"/>
  <c r="R1029" i="19"/>
  <c r="R1028" i="19"/>
  <c r="R1027" i="19"/>
  <c r="R1026" i="19"/>
  <c r="R1025" i="19"/>
  <c r="R1024" i="19"/>
  <c r="R1023" i="19"/>
  <c r="R1022" i="19"/>
  <c r="R1021" i="19"/>
  <c r="R1020" i="19"/>
  <c r="R1019" i="19"/>
  <c r="R1018" i="19"/>
  <c r="R1017" i="19"/>
  <c r="R1016" i="19"/>
  <c r="R1015" i="19"/>
  <c r="R1014" i="19"/>
  <c r="R1013" i="19"/>
  <c r="R1012" i="19"/>
  <c r="R1011" i="19"/>
  <c r="R1010" i="19"/>
  <c r="R1009" i="19"/>
  <c r="R1008" i="19"/>
  <c r="R1007" i="19"/>
  <c r="R1006" i="19"/>
  <c r="R1005" i="19"/>
  <c r="R1004" i="19"/>
  <c r="R1003" i="19"/>
  <c r="R1002" i="19"/>
  <c r="R1001" i="19"/>
  <c r="R1000" i="19"/>
  <c r="R999" i="19"/>
  <c r="R998" i="19"/>
  <c r="R997" i="19"/>
  <c r="R996" i="19"/>
  <c r="R995" i="19"/>
  <c r="R994" i="19"/>
  <c r="R993" i="19"/>
  <c r="R992" i="19"/>
  <c r="R991" i="19"/>
  <c r="R990" i="19"/>
  <c r="R989" i="19"/>
  <c r="R988" i="19"/>
  <c r="R987" i="19"/>
  <c r="R986" i="19"/>
  <c r="R985" i="19"/>
  <c r="R984" i="19"/>
  <c r="R983" i="19"/>
  <c r="R982" i="19"/>
  <c r="R981" i="19"/>
  <c r="R980" i="19"/>
  <c r="R979" i="19"/>
  <c r="R978" i="19"/>
  <c r="R977" i="19"/>
  <c r="R976" i="19"/>
  <c r="R975" i="19"/>
  <c r="R974" i="19"/>
  <c r="R973" i="19"/>
  <c r="R972" i="19"/>
  <c r="R971" i="19"/>
  <c r="R970" i="19"/>
  <c r="R969" i="19"/>
  <c r="R968" i="19"/>
  <c r="R967" i="19"/>
  <c r="R966" i="19"/>
  <c r="R965" i="19"/>
  <c r="R964" i="19"/>
  <c r="R963" i="19"/>
  <c r="R962" i="19"/>
  <c r="R961" i="19"/>
  <c r="R960" i="19"/>
  <c r="R959" i="19"/>
  <c r="R958" i="19"/>
  <c r="R957" i="19"/>
  <c r="R956" i="19"/>
  <c r="R955" i="19"/>
  <c r="R954" i="19"/>
  <c r="R953" i="19"/>
  <c r="R952" i="19"/>
  <c r="R951" i="19"/>
  <c r="R950" i="19"/>
  <c r="R949" i="19"/>
  <c r="R948" i="19"/>
  <c r="R947" i="19"/>
  <c r="R946" i="19"/>
  <c r="R945" i="19"/>
  <c r="R944" i="19"/>
  <c r="R943" i="19"/>
  <c r="R942" i="19"/>
  <c r="R941" i="19"/>
  <c r="R940" i="19"/>
  <c r="R939" i="19"/>
  <c r="R938" i="19"/>
  <c r="R937" i="19"/>
  <c r="R936" i="19"/>
  <c r="R935" i="19"/>
  <c r="R934" i="19"/>
  <c r="R933" i="19"/>
  <c r="R932" i="19"/>
  <c r="R931" i="19"/>
  <c r="R930" i="19"/>
  <c r="R929" i="19"/>
  <c r="R928" i="19"/>
  <c r="R927" i="19"/>
  <c r="R926" i="19"/>
  <c r="R925" i="19"/>
  <c r="R924" i="19"/>
  <c r="R923" i="19"/>
  <c r="R922" i="19"/>
  <c r="R921" i="19"/>
  <c r="R920" i="19"/>
  <c r="R919" i="19"/>
  <c r="R918" i="19"/>
  <c r="R917" i="19"/>
  <c r="R916" i="19"/>
  <c r="R915" i="19"/>
  <c r="R914" i="19"/>
  <c r="R913" i="19"/>
  <c r="R912" i="19"/>
  <c r="R911" i="19"/>
  <c r="R910" i="19"/>
  <c r="R909" i="19"/>
  <c r="R908" i="19"/>
  <c r="R907" i="19"/>
  <c r="R906" i="19"/>
  <c r="R905" i="19"/>
  <c r="R904" i="19"/>
  <c r="R903" i="19"/>
  <c r="R902" i="19"/>
  <c r="R901" i="19"/>
  <c r="R900" i="19"/>
  <c r="R899" i="19"/>
  <c r="R898" i="19"/>
  <c r="R897" i="19"/>
  <c r="R896" i="19"/>
  <c r="R895" i="19"/>
  <c r="R894" i="19"/>
  <c r="R893" i="19"/>
  <c r="R892" i="19"/>
  <c r="R891" i="19"/>
  <c r="R890" i="19"/>
  <c r="R889" i="19"/>
  <c r="R888" i="19"/>
  <c r="R887" i="19"/>
  <c r="R886" i="19"/>
  <c r="R885" i="19"/>
  <c r="R884" i="19"/>
  <c r="R883" i="19"/>
  <c r="R882" i="19"/>
  <c r="R881" i="19"/>
  <c r="R880" i="19"/>
  <c r="R879" i="19"/>
  <c r="R878" i="19"/>
  <c r="R877" i="19"/>
  <c r="R876" i="19"/>
  <c r="R875" i="19"/>
  <c r="R874" i="19"/>
  <c r="R873" i="19"/>
  <c r="R872" i="19"/>
  <c r="R871" i="19"/>
  <c r="R870" i="19"/>
  <c r="R869" i="19"/>
  <c r="R868" i="19"/>
  <c r="R867" i="19"/>
  <c r="R866" i="19"/>
  <c r="R865" i="19"/>
  <c r="R864" i="19"/>
  <c r="R863" i="19"/>
  <c r="R862" i="19"/>
  <c r="R861" i="19"/>
  <c r="R860" i="19"/>
  <c r="R859" i="19"/>
  <c r="R858" i="19"/>
  <c r="R857" i="19"/>
  <c r="R856" i="19"/>
  <c r="R855" i="19"/>
  <c r="R854" i="19"/>
  <c r="R853" i="19"/>
  <c r="R852" i="19"/>
  <c r="R851" i="19"/>
  <c r="R850" i="19"/>
  <c r="R849" i="19"/>
  <c r="R848" i="19"/>
  <c r="R847" i="19"/>
  <c r="R846" i="19"/>
  <c r="R845" i="19"/>
  <c r="R844" i="19"/>
  <c r="R843" i="19"/>
  <c r="R842" i="19"/>
  <c r="R841" i="19"/>
  <c r="R840" i="19"/>
  <c r="R839" i="19"/>
  <c r="R838" i="19"/>
  <c r="R837" i="19"/>
  <c r="R836" i="19"/>
  <c r="R835" i="19"/>
  <c r="R834" i="19"/>
  <c r="R833" i="19"/>
  <c r="R832" i="19"/>
  <c r="R831" i="19"/>
  <c r="R830" i="19"/>
  <c r="R829" i="19"/>
  <c r="R828" i="19"/>
  <c r="R827" i="19"/>
  <c r="R826" i="19"/>
  <c r="R825" i="19"/>
  <c r="R824" i="19"/>
  <c r="R823" i="19"/>
  <c r="R822" i="19"/>
  <c r="R821" i="19"/>
  <c r="R820" i="19"/>
  <c r="R819" i="19"/>
  <c r="R818" i="19"/>
  <c r="R817" i="19"/>
  <c r="R816" i="19"/>
  <c r="R815" i="19"/>
  <c r="R814" i="19"/>
  <c r="R813" i="19"/>
  <c r="R812" i="19"/>
  <c r="R811" i="19"/>
  <c r="R810" i="19"/>
  <c r="R809" i="19"/>
  <c r="R808" i="19"/>
  <c r="R807" i="19"/>
  <c r="R806" i="19"/>
  <c r="R805" i="19"/>
  <c r="R804" i="19"/>
  <c r="R803" i="19"/>
  <c r="R802" i="19"/>
  <c r="R801" i="19"/>
  <c r="R800" i="19"/>
  <c r="R799" i="19"/>
  <c r="R798" i="19"/>
  <c r="R797" i="19"/>
  <c r="R796" i="19"/>
  <c r="R795" i="19"/>
  <c r="R794" i="19"/>
  <c r="R793" i="19"/>
  <c r="R792" i="19"/>
  <c r="R791" i="19"/>
  <c r="R790" i="19"/>
  <c r="R789" i="19"/>
  <c r="R788" i="19"/>
  <c r="R787" i="19"/>
  <c r="R786" i="19"/>
  <c r="R785" i="19"/>
  <c r="R784" i="19"/>
  <c r="R783" i="19"/>
  <c r="R782" i="19"/>
  <c r="R781" i="19"/>
  <c r="R780" i="19"/>
  <c r="R779" i="19"/>
  <c r="R778" i="19"/>
  <c r="R777" i="19"/>
  <c r="R776" i="19"/>
  <c r="R775" i="19"/>
  <c r="R774" i="19"/>
  <c r="R773" i="19"/>
  <c r="R772" i="19"/>
  <c r="R771" i="19"/>
  <c r="R770" i="19"/>
  <c r="R769" i="19"/>
  <c r="R768" i="19"/>
  <c r="R767" i="19"/>
  <c r="R766" i="19"/>
  <c r="R765" i="19"/>
  <c r="R764" i="19"/>
  <c r="R763" i="19"/>
  <c r="R762" i="19"/>
  <c r="R761" i="19"/>
  <c r="R760" i="19"/>
  <c r="R759" i="19"/>
  <c r="R758" i="19"/>
  <c r="R757" i="19"/>
  <c r="R756" i="19"/>
  <c r="R755" i="19"/>
  <c r="R754" i="19"/>
  <c r="R753" i="19"/>
  <c r="R752" i="19"/>
  <c r="R751" i="19"/>
  <c r="R750" i="19"/>
  <c r="R749" i="19"/>
  <c r="R748" i="19"/>
  <c r="R747" i="19"/>
  <c r="R746" i="19"/>
  <c r="R745" i="19"/>
  <c r="R744" i="19"/>
  <c r="R743" i="19"/>
  <c r="R742" i="19"/>
  <c r="R741" i="19"/>
  <c r="R740" i="19"/>
  <c r="R739" i="19"/>
  <c r="R738" i="19"/>
  <c r="R737" i="19"/>
  <c r="R736" i="19"/>
  <c r="R735" i="19"/>
  <c r="R734" i="19"/>
  <c r="R733" i="19"/>
  <c r="R732" i="19"/>
  <c r="R731" i="19"/>
  <c r="R730" i="19"/>
  <c r="R729" i="19"/>
  <c r="R728" i="19"/>
  <c r="R727" i="19"/>
  <c r="R726" i="19"/>
  <c r="R725" i="19"/>
  <c r="R724" i="19"/>
  <c r="R723" i="19"/>
  <c r="R722" i="19"/>
  <c r="R721" i="19"/>
  <c r="R720" i="19"/>
  <c r="R719" i="19"/>
  <c r="R718" i="19"/>
  <c r="R717" i="19"/>
  <c r="R716" i="19"/>
  <c r="R715" i="19"/>
  <c r="R714" i="19"/>
  <c r="R713" i="19"/>
  <c r="R712" i="19"/>
  <c r="R711" i="19"/>
  <c r="R710" i="19"/>
  <c r="R709" i="19"/>
  <c r="R708" i="19"/>
  <c r="R707" i="19"/>
  <c r="R706" i="19"/>
  <c r="R705" i="19"/>
  <c r="R704" i="19"/>
  <c r="R703" i="19"/>
  <c r="R702" i="19"/>
  <c r="R701" i="19"/>
  <c r="R700" i="19"/>
  <c r="R699" i="19"/>
  <c r="R698" i="19"/>
  <c r="R697" i="19"/>
  <c r="R696" i="19"/>
  <c r="R695" i="19"/>
  <c r="R694" i="19"/>
  <c r="R693" i="19"/>
  <c r="R692" i="19"/>
  <c r="R691" i="19"/>
  <c r="R690" i="19"/>
  <c r="R689" i="19"/>
  <c r="R688" i="19"/>
  <c r="R687" i="19"/>
  <c r="R686" i="19"/>
  <c r="R685" i="19"/>
  <c r="R684" i="19"/>
  <c r="R683" i="19"/>
  <c r="R682" i="19"/>
  <c r="R681" i="19"/>
  <c r="R680" i="19"/>
  <c r="R679" i="19"/>
  <c r="R678" i="19"/>
  <c r="R677" i="19"/>
  <c r="R676" i="19"/>
  <c r="R675" i="19"/>
  <c r="R674" i="19"/>
  <c r="R673" i="19"/>
  <c r="R672" i="19"/>
  <c r="R671" i="19"/>
  <c r="R670" i="19"/>
  <c r="R669" i="19"/>
  <c r="R668" i="19"/>
  <c r="R667" i="19"/>
  <c r="R666" i="19"/>
  <c r="R665" i="19"/>
  <c r="R664" i="19"/>
  <c r="R663" i="19"/>
  <c r="R662" i="19"/>
  <c r="R661" i="19"/>
  <c r="R660" i="19"/>
  <c r="R659" i="19"/>
  <c r="R658" i="19"/>
  <c r="R657" i="19"/>
  <c r="R656" i="19"/>
  <c r="R655" i="19"/>
  <c r="R654" i="19"/>
  <c r="R653" i="19"/>
  <c r="R652" i="19"/>
  <c r="R651" i="19"/>
  <c r="R650" i="19"/>
  <c r="R649" i="19"/>
  <c r="R648" i="19"/>
  <c r="R647" i="19"/>
  <c r="R646" i="19"/>
  <c r="R645" i="19"/>
  <c r="R644" i="19"/>
  <c r="R643" i="19"/>
  <c r="R642" i="19"/>
  <c r="R641" i="19"/>
  <c r="R640" i="19"/>
  <c r="R639" i="19"/>
  <c r="R638" i="19"/>
  <c r="R637" i="19"/>
  <c r="R636" i="19"/>
  <c r="R635" i="19"/>
  <c r="R634" i="19"/>
  <c r="R633" i="19"/>
  <c r="R632" i="19"/>
  <c r="R631" i="19"/>
  <c r="R630" i="19"/>
  <c r="R629" i="19"/>
  <c r="R628" i="19"/>
  <c r="R627" i="19"/>
  <c r="R626" i="19"/>
  <c r="R625" i="19"/>
  <c r="R624" i="19"/>
  <c r="R623" i="19"/>
  <c r="R622" i="19"/>
  <c r="R621" i="19"/>
  <c r="R620" i="19"/>
  <c r="R619" i="19"/>
  <c r="R618" i="19"/>
  <c r="R617" i="19"/>
  <c r="R616" i="19"/>
  <c r="R615" i="19"/>
  <c r="R614" i="19"/>
  <c r="R613" i="19"/>
  <c r="R612" i="19"/>
  <c r="R611" i="19"/>
  <c r="R610" i="19"/>
  <c r="R609" i="19"/>
  <c r="R608" i="19"/>
  <c r="R607" i="19"/>
  <c r="R606" i="19"/>
  <c r="R605" i="19"/>
  <c r="R604" i="19"/>
  <c r="R603" i="19"/>
  <c r="R602" i="19"/>
  <c r="R601" i="19"/>
  <c r="R600" i="19"/>
  <c r="R599" i="19"/>
  <c r="R598" i="19"/>
  <c r="R597" i="19"/>
  <c r="R596" i="19"/>
  <c r="R595" i="19"/>
  <c r="R594" i="19"/>
  <c r="R593" i="19"/>
  <c r="R592" i="19"/>
  <c r="R591" i="19"/>
  <c r="R590" i="19"/>
  <c r="R589" i="19"/>
  <c r="R588" i="19"/>
  <c r="R587" i="19"/>
  <c r="R586" i="19"/>
  <c r="R585" i="19"/>
  <c r="R584" i="19"/>
  <c r="R583" i="19"/>
  <c r="R582" i="19"/>
  <c r="R581" i="19"/>
  <c r="R580" i="19"/>
  <c r="R579" i="19"/>
  <c r="R578" i="19"/>
  <c r="R577" i="19"/>
  <c r="R576" i="19"/>
  <c r="R575" i="19"/>
  <c r="R574" i="19"/>
  <c r="R573" i="19"/>
  <c r="R572" i="19"/>
  <c r="R571" i="19"/>
  <c r="R570" i="19"/>
  <c r="R569" i="19"/>
  <c r="R568" i="19"/>
  <c r="R567" i="19"/>
  <c r="R566" i="19"/>
  <c r="R565" i="19"/>
  <c r="R564" i="19"/>
  <c r="R563" i="19"/>
  <c r="R562" i="19"/>
  <c r="R561" i="19"/>
  <c r="R560" i="19"/>
  <c r="R559" i="19"/>
  <c r="R558" i="19"/>
  <c r="R557" i="19"/>
  <c r="R556" i="19"/>
  <c r="R555" i="19"/>
  <c r="R554" i="19"/>
  <c r="R553" i="19"/>
  <c r="R552" i="19"/>
  <c r="R551" i="19"/>
  <c r="R550" i="19"/>
  <c r="R549" i="19"/>
  <c r="R548" i="19"/>
  <c r="R547" i="19"/>
  <c r="R546" i="19"/>
  <c r="R545" i="19"/>
  <c r="R544" i="19"/>
  <c r="R543" i="19"/>
  <c r="R542" i="19"/>
  <c r="R541" i="19"/>
  <c r="R540" i="19"/>
  <c r="R539" i="19"/>
  <c r="R538" i="19"/>
  <c r="R537" i="19"/>
  <c r="R536" i="19"/>
  <c r="R535" i="19"/>
  <c r="R534" i="19"/>
  <c r="R533" i="19"/>
  <c r="R532" i="19"/>
  <c r="R531" i="19"/>
  <c r="R530" i="19"/>
  <c r="R529" i="19"/>
  <c r="R528" i="19"/>
  <c r="R527" i="19"/>
  <c r="R526" i="19"/>
  <c r="R525" i="19"/>
  <c r="R524" i="19"/>
  <c r="R523" i="19"/>
  <c r="R522" i="19"/>
  <c r="R521" i="19"/>
  <c r="R520" i="19"/>
  <c r="R519" i="19"/>
  <c r="R518" i="19"/>
  <c r="R517" i="19"/>
  <c r="R516" i="19"/>
  <c r="R515" i="19"/>
  <c r="R514" i="19"/>
  <c r="R513" i="19"/>
  <c r="R512" i="19"/>
  <c r="R511" i="19"/>
  <c r="R510" i="19"/>
  <c r="R509" i="19"/>
  <c r="R508" i="19"/>
  <c r="R507" i="19"/>
  <c r="R506" i="19"/>
  <c r="R505" i="19"/>
  <c r="R504" i="19"/>
  <c r="R503" i="19"/>
  <c r="R502" i="19"/>
  <c r="R501" i="19"/>
  <c r="R500" i="19"/>
  <c r="R499" i="19"/>
  <c r="R498" i="19"/>
  <c r="R497" i="19"/>
  <c r="R496" i="19"/>
  <c r="R495" i="19"/>
  <c r="R494" i="19"/>
  <c r="R493" i="19"/>
  <c r="R492" i="19"/>
  <c r="R491" i="19"/>
  <c r="R490" i="19"/>
  <c r="R489" i="19"/>
  <c r="R488" i="19"/>
  <c r="R487" i="19"/>
  <c r="R486" i="19"/>
  <c r="R485" i="19"/>
  <c r="R484" i="19"/>
  <c r="R483" i="19"/>
  <c r="R482" i="19"/>
  <c r="R481" i="19"/>
  <c r="R480" i="19"/>
  <c r="R479" i="19"/>
  <c r="R478" i="19"/>
  <c r="R477" i="19"/>
  <c r="R476" i="19"/>
  <c r="R475" i="19"/>
  <c r="R474" i="19"/>
  <c r="R473" i="19"/>
  <c r="R472" i="19"/>
  <c r="R471" i="19"/>
  <c r="R470" i="19"/>
  <c r="R469" i="19"/>
  <c r="R468" i="19"/>
  <c r="R467" i="19"/>
  <c r="R466" i="19"/>
  <c r="R465" i="19"/>
  <c r="R464" i="19"/>
  <c r="R463" i="19"/>
  <c r="R462" i="19"/>
  <c r="R461" i="19"/>
  <c r="R460" i="19"/>
  <c r="R459" i="19"/>
  <c r="R458" i="19"/>
  <c r="R457" i="19"/>
  <c r="R456" i="19"/>
  <c r="R455" i="19"/>
  <c r="R454" i="19"/>
  <c r="R453" i="19"/>
  <c r="R452" i="19"/>
  <c r="R451" i="19"/>
  <c r="R450" i="19"/>
  <c r="R449" i="19"/>
  <c r="R448" i="19"/>
  <c r="R447" i="19"/>
  <c r="R446" i="19"/>
  <c r="R445" i="19"/>
  <c r="R444" i="19"/>
  <c r="R443" i="19"/>
  <c r="R442" i="19"/>
  <c r="R441" i="19"/>
  <c r="R440" i="19"/>
  <c r="R439" i="19"/>
  <c r="R438" i="19"/>
  <c r="R437" i="19"/>
  <c r="R436" i="19"/>
  <c r="R435" i="19"/>
  <c r="R434" i="19"/>
  <c r="R433" i="19"/>
  <c r="R432" i="19"/>
  <c r="R431" i="19"/>
  <c r="R430" i="19"/>
  <c r="R429" i="19"/>
  <c r="R428" i="19"/>
  <c r="R427" i="19"/>
  <c r="R426" i="19"/>
  <c r="R425" i="19"/>
  <c r="R424" i="19"/>
  <c r="R423" i="19"/>
  <c r="R422" i="19"/>
  <c r="R421" i="19"/>
  <c r="R420" i="19"/>
  <c r="R419" i="19"/>
  <c r="R418" i="19"/>
  <c r="R417" i="19"/>
  <c r="R416" i="19"/>
  <c r="R415" i="19"/>
  <c r="R414" i="19"/>
  <c r="R413" i="19"/>
  <c r="R412" i="19"/>
  <c r="R411" i="19"/>
  <c r="R410" i="19"/>
  <c r="R409" i="19"/>
  <c r="R408" i="19"/>
  <c r="R407" i="19"/>
  <c r="R406" i="19"/>
  <c r="R405" i="19"/>
  <c r="R404" i="19"/>
  <c r="R403" i="19"/>
  <c r="R402" i="19"/>
  <c r="R401" i="19"/>
  <c r="R400" i="19"/>
  <c r="R399" i="19"/>
  <c r="R398" i="19"/>
  <c r="R397" i="19"/>
  <c r="R396" i="19"/>
  <c r="R395" i="19"/>
  <c r="R394" i="19"/>
  <c r="R393" i="19"/>
  <c r="R392" i="19"/>
  <c r="R391" i="19"/>
  <c r="R390" i="19"/>
  <c r="R389" i="19"/>
  <c r="R388" i="19"/>
  <c r="R387" i="19"/>
  <c r="R386" i="19"/>
  <c r="R385" i="19"/>
  <c r="R384" i="19"/>
  <c r="R383" i="19"/>
  <c r="R382" i="19"/>
  <c r="R381" i="19"/>
  <c r="R380" i="19"/>
  <c r="R379" i="19"/>
  <c r="R378" i="19"/>
  <c r="R377" i="19"/>
  <c r="R376" i="19"/>
  <c r="R375" i="19"/>
  <c r="R374" i="19"/>
  <c r="R373" i="19"/>
  <c r="R372" i="19"/>
  <c r="R371" i="19"/>
  <c r="R370" i="19"/>
  <c r="R369" i="19"/>
  <c r="R368" i="19"/>
  <c r="R367" i="19"/>
  <c r="R366" i="19"/>
  <c r="R365" i="19"/>
  <c r="R364" i="19"/>
  <c r="R363" i="19"/>
  <c r="R362" i="19"/>
  <c r="R361" i="19"/>
  <c r="R360" i="19"/>
  <c r="R359" i="19"/>
  <c r="R358" i="19"/>
  <c r="R357" i="19"/>
  <c r="R356" i="19"/>
  <c r="R355" i="19"/>
  <c r="R354" i="19"/>
  <c r="R353" i="19"/>
  <c r="R352" i="19"/>
  <c r="R351" i="19"/>
  <c r="R350" i="19"/>
  <c r="R349" i="19"/>
  <c r="R348" i="19"/>
  <c r="R347" i="19"/>
  <c r="R346" i="19"/>
  <c r="R345" i="19"/>
  <c r="R344" i="19"/>
  <c r="R343" i="19"/>
  <c r="R342" i="19"/>
  <c r="R341" i="19"/>
  <c r="R340" i="19"/>
  <c r="R339" i="19"/>
  <c r="R338" i="19"/>
  <c r="R337" i="19"/>
  <c r="R336" i="19"/>
  <c r="R335" i="19"/>
  <c r="R334" i="19"/>
  <c r="R333" i="19"/>
  <c r="R332" i="19"/>
  <c r="R331" i="19"/>
  <c r="R330" i="19"/>
  <c r="R329" i="19"/>
  <c r="R328" i="19"/>
  <c r="R327" i="19"/>
  <c r="R326" i="19"/>
  <c r="R325" i="19"/>
  <c r="R324" i="19"/>
  <c r="R323" i="19"/>
  <c r="R322" i="19"/>
  <c r="R321" i="19"/>
  <c r="R320" i="19"/>
  <c r="R319" i="19"/>
  <c r="R318" i="19"/>
  <c r="R317" i="19"/>
  <c r="R316" i="19"/>
  <c r="R315" i="19"/>
  <c r="R314" i="19"/>
  <c r="R313" i="19"/>
  <c r="R312" i="19"/>
  <c r="R311" i="19"/>
  <c r="R310" i="19"/>
  <c r="R309" i="19"/>
  <c r="R308" i="19"/>
  <c r="R307" i="19"/>
  <c r="R306" i="19"/>
  <c r="R305" i="19"/>
  <c r="R304" i="19"/>
  <c r="R303" i="19"/>
  <c r="R302" i="19"/>
  <c r="R301" i="19"/>
  <c r="R300" i="19"/>
  <c r="R299" i="19"/>
  <c r="R298" i="19"/>
  <c r="R297" i="19"/>
  <c r="R296" i="19"/>
  <c r="R295" i="19"/>
  <c r="R294" i="19"/>
  <c r="R293" i="19"/>
  <c r="R292" i="19"/>
  <c r="R291" i="19"/>
  <c r="R290" i="19"/>
  <c r="R289" i="19"/>
  <c r="R288" i="19"/>
  <c r="R287" i="19"/>
  <c r="R286" i="19"/>
  <c r="R285" i="19"/>
  <c r="R284" i="19"/>
  <c r="R283" i="19"/>
  <c r="R282" i="19"/>
  <c r="R281" i="19"/>
  <c r="R280" i="19"/>
  <c r="R279" i="19"/>
  <c r="R278" i="19"/>
  <c r="R277" i="19"/>
  <c r="R276" i="19"/>
  <c r="R275" i="19"/>
  <c r="R274" i="19"/>
  <c r="R273" i="19"/>
  <c r="R272" i="19"/>
  <c r="R271" i="19"/>
  <c r="R270" i="19"/>
  <c r="R269" i="19"/>
  <c r="R268" i="19"/>
  <c r="R267" i="19"/>
  <c r="R266" i="19"/>
  <c r="R265" i="19"/>
  <c r="R264" i="19"/>
  <c r="R263" i="19"/>
  <c r="R262" i="19"/>
  <c r="R261" i="19"/>
  <c r="R260" i="19"/>
  <c r="R259" i="19"/>
  <c r="R258" i="19"/>
  <c r="R257" i="19"/>
  <c r="R256" i="19"/>
  <c r="R255" i="19"/>
  <c r="R254" i="19"/>
  <c r="R253" i="19"/>
  <c r="R252" i="19"/>
  <c r="R251" i="19"/>
  <c r="R250" i="19"/>
  <c r="R249" i="19"/>
  <c r="R248" i="19"/>
  <c r="R247" i="19"/>
  <c r="R246" i="19"/>
  <c r="R245" i="19"/>
  <c r="R244" i="19"/>
  <c r="R243" i="19"/>
  <c r="R242" i="19"/>
  <c r="R241" i="19"/>
  <c r="R240" i="19"/>
  <c r="R239" i="19"/>
  <c r="R238" i="19"/>
  <c r="R237" i="19"/>
  <c r="R236" i="19"/>
  <c r="R235" i="19"/>
  <c r="R234" i="19"/>
  <c r="R233" i="19"/>
  <c r="R232" i="19"/>
  <c r="R231" i="19"/>
  <c r="R230" i="19"/>
  <c r="R229" i="19"/>
  <c r="R228" i="19"/>
  <c r="R227" i="19"/>
  <c r="R226" i="19"/>
  <c r="R225" i="19"/>
  <c r="R224" i="19"/>
  <c r="R223" i="19"/>
  <c r="R222" i="19"/>
  <c r="R221" i="19"/>
  <c r="R220" i="19"/>
  <c r="R219" i="19"/>
  <c r="R218" i="19"/>
  <c r="R217" i="19"/>
  <c r="R216" i="19"/>
  <c r="R215" i="19"/>
  <c r="R214" i="19"/>
  <c r="R213" i="19"/>
  <c r="R212" i="19"/>
  <c r="R211" i="19"/>
  <c r="R210" i="19"/>
  <c r="R209" i="19"/>
  <c r="R208" i="19"/>
  <c r="R207" i="19"/>
  <c r="R206" i="19"/>
  <c r="R205" i="19"/>
  <c r="R204" i="19"/>
  <c r="R203" i="19"/>
  <c r="R202" i="19"/>
  <c r="R201" i="19"/>
  <c r="R200" i="19"/>
  <c r="R199" i="19"/>
  <c r="R198" i="19"/>
  <c r="R197" i="19"/>
  <c r="R196" i="19"/>
  <c r="R195" i="19"/>
  <c r="R194" i="19"/>
  <c r="R193" i="19"/>
  <c r="R192" i="19"/>
  <c r="R191" i="19"/>
  <c r="R190" i="19"/>
  <c r="R189" i="19"/>
  <c r="R188" i="19"/>
  <c r="R187" i="19"/>
  <c r="R186" i="19"/>
  <c r="R185" i="19"/>
  <c r="R184" i="19"/>
  <c r="R183" i="19"/>
  <c r="R182" i="19"/>
  <c r="R181" i="19"/>
  <c r="R180" i="19"/>
  <c r="R179" i="19"/>
  <c r="R178" i="19"/>
  <c r="R177" i="19"/>
  <c r="R176" i="19"/>
  <c r="R175" i="19"/>
  <c r="R174" i="19"/>
  <c r="R173" i="19"/>
  <c r="R172" i="19"/>
  <c r="R171" i="19"/>
  <c r="R170" i="19"/>
  <c r="R169" i="19"/>
  <c r="R168" i="19"/>
  <c r="R167" i="19"/>
  <c r="R166" i="19"/>
  <c r="R165" i="19"/>
  <c r="R164" i="19"/>
  <c r="R163" i="19"/>
  <c r="R162" i="19"/>
  <c r="R161" i="19"/>
  <c r="R160" i="19"/>
  <c r="R159" i="19"/>
  <c r="R158" i="19"/>
  <c r="R157" i="19"/>
  <c r="R156" i="19"/>
  <c r="R155" i="19"/>
  <c r="R154" i="19"/>
  <c r="R153" i="19"/>
  <c r="R152" i="19"/>
  <c r="R151" i="19"/>
  <c r="R150" i="19"/>
  <c r="R149" i="19"/>
  <c r="R148" i="19"/>
  <c r="R147" i="19"/>
  <c r="R146" i="19"/>
  <c r="R145" i="19"/>
  <c r="R144" i="19"/>
  <c r="R143" i="19"/>
  <c r="R142" i="19"/>
  <c r="R141" i="19"/>
  <c r="R140" i="19"/>
  <c r="R139" i="19"/>
  <c r="R138" i="19"/>
  <c r="R137" i="19"/>
  <c r="R136" i="19"/>
  <c r="R135" i="19"/>
  <c r="R134" i="19"/>
  <c r="R133" i="19"/>
  <c r="R132" i="19"/>
  <c r="R131" i="19"/>
  <c r="R130" i="19"/>
  <c r="R129" i="19"/>
  <c r="R128" i="19"/>
  <c r="R127" i="19"/>
  <c r="R126" i="19"/>
  <c r="R125" i="19"/>
  <c r="R124" i="19"/>
  <c r="R123" i="19"/>
  <c r="R122" i="19"/>
  <c r="R121" i="19"/>
  <c r="R120" i="19"/>
  <c r="R119" i="19"/>
  <c r="R118" i="19"/>
  <c r="R117" i="19"/>
  <c r="R116" i="19"/>
  <c r="R115" i="19"/>
  <c r="R114" i="19"/>
  <c r="R113" i="19"/>
  <c r="R112" i="19"/>
  <c r="R111" i="19"/>
  <c r="R110" i="19"/>
  <c r="R109" i="19"/>
  <c r="R108" i="19"/>
  <c r="R107" i="19"/>
  <c r="R106" i="19"/>
  <c r="R105" i="19"/>
  <c r="R104" i="19"/>
  <c r="R103" i="19"/>
  <c r="R102" i="19"/>
  <c r="R101" i="19"/>
  <c r="R100" i="19"/>
  <c r="R99" i="19"/>
  <c r="R98" i="19"/>
  <c r="R97" i="19"/>
  <c r="R96" i="19"/>
  <c r="R95" i="19"/>
  <c r="R94" i="19"/>
  <c r="R93" i="19"/>
  <c r="R92" i="19"/>
  <c r="R91" i="19"/>
  <c r="R90" i="19"/>
  <c r="R89" i="19"/>
  <c r="R88" i="19"/>
  <c r="R87" i="19"/>
  <c r="R86" i="19"/>
  <c r="R85" i="19"/>
  <c r="R84" i="19"/>
  <c r="R83" i="19"/>
  <c r="R82" i="19"/>
  <c r="R81" i="19"/>
  <c r="R80" i="19"/>
  <c r="R79" i="19"/>
  <c r="R78" i="19"/>
  <c r="R77" i="19"/>
  <c r="R76" i="19"/>
  <c r="R75" i="19"/>
  <c r="R74" i="19"/>
  <c r="R73" i="19"/>
  <c r="R72" i="19"/>
  <c r="R71" i="19"/>
  <c r="R70" i="19"/>
  <c r="R69" i="19"/>
  <c r="R68" i="19"/>
  <c r="R67" i="19"/>
  <c r="R66" i="19"/>
  <c r="R65" i="19"/>
  <c r="R64" i="19"/>
  <c r="R63" i="19"/>
  <c r="R62" i="19"/>
  <c r="R61" i="19"/>
  <c r="R60" i="19"/>
  <c r="R59" i="19"/>
  <c r="R57" i="19"/>
  <c r="R56" i="19"/>
  <c r="R55" i="19"/>
  <c r="R54" i="19"/>
  <c r="R53" i="19"/>
  <c r="R52" i="19"/>
  <c r="R51" i="19"/>
  <c r="R50" i="19"/>
  <c r="R49" i="19"/>
  <c r="R48" i="19"/>
  <c r="R47" i="19"/>
  <c r="R46" i="19"/>
  <c r="R45" i="19"/>
  <c r="R44" i="19"/>
  <c r="R43" i="19"/>
  <c r="R42" i="19"/>
  <c r="R41" i="19"/>
  <c r="R40" i="19"/>
  <c r="R39" i="19"/>
  <c r="R38" i="19"/>
  <c r="R37" i="19"/>
  <c r="R36" i="19"/>
  <c r="R35" i="19"/>
  <c r="R34" i="19"/>
  <c r="R33" i="19"/>
  <c r="R32" i="19"/>
  <c r="R31" i="19"/>
  <c r="R30" i="19"/>
  <c r="R29" i="19"/>
  <c r="R28" i="19"/>
  <c r="R27" i="19"/>
  <c r="R26" i="19"/>
  <c r="R25" i="19"/>
  <c r="R24" i="19"/>
  <c r="R23" i="19"/>
  <c r="R22" i="19"/>
  <c r="R21" i="19"/>
  <c r="R20" i="19"/>
  <c r="R19" i="19"/>
  <c r="R18" i="19"/>
  <c r="K1267" i="19"/>
  <c r="K1266" i="19"/>
  <c r="K1265" i="19"/>
  <c r="K1264" i="19"/>
  <c r="K1263" i="19"/>
  <c r="K1262" i="19"/>
  <c r="K1261" i="19"/>
  <c r="K1260" i="19"/>
  <c r="K1259" i="19"/>
  <c r="K1258" i="19"/>
  <c r="K1257" i="19"/>
  <c r="K1256" i="19"/>
  <c r="K1255" i="19"/>
  <c r="K1254" i="19"/>
  <c r="K1253" i="19"/>
  <c r="K1252" i="19"/>
  <c r="K1251" i="19"/>
  <c r="K1250" i="19"/>
  <c r="K1249" i="19"/>
  <c r="K1248" i="19"/>
  <c r="K1247" i="19"/>
  <c r="K1246" i="19"/>
  <c r="K1245" i="19"/>
  <c r="K1244" i="19"/>
  <c r="K1243" i="19"/>
  <c r="K1242" i="19"/>
  <c r="K1241" i="19"/>
  <c r="K1240" i="19"/>
  <c r="K1239" i="19"/>
  <c r="K1238" i="19"/>
  <c r="K1237" i="19"/>
  <c r="K1236" i="19"/>
  <c r="K1235" i="19"/>
  <c r="K1234" i="19"/>
  <c r="K1233" i="19"/>
  <c r="K1232" i="19"/>
  <c r="K1231" i="19"/>
  <c r="K1230" i="19"/>
  <c r="K1229" i="19"/>
  <c r="K1228" i="19"/>
  <c r="K1227" i="19"/>
  <c r="K1226" i="19"/>
  <c r="K1225" i="19"/>
  <c r="K1224" i="19"/>
  <c r="K1223" i="19"/>
  <c r="K1222" i="19"/>
  <c r="K1221" i="19"/>
  <c r="K1220" i="19"/>
  <c r="K1219" i="19"/>
  <c r="K1218" i="19"/>
  <c r="K1217" i="19"/>
  <c r="K1216" i="19"/>
  <c r="K1215" i="19"/>
  <c r="K1214" i="19"/>
  <c r="K1213" i="19"/>
  <c r="K1212" i="19"/>
  <c r="K1211" i="19"/>
  <c r="K1210" i="19"/>
  <c r="K1209" i="19"/>
  <c r="K1208" i="19"/>
  <c r="K1207" i="19"/>
  <c r="K1206" i="19"/>
  <c r="K1205" i="19"/>
  <c r="K1204" i="19"/>
  <c r="K1203" i="19"/>
  <c r="K1202" i="19"/>
  <c r="K1201" i="19"/>
  <c r="K1200" i="19"/>
  <c r="K1199" i="19"/>
  <c r="K1198" i="19"/>
  <c r="K1197" i="19"/>
  <c r="K1196" i="19"/>
  <c r="K1195" i="19"/>
  <c r="K1194" i="19"/>
  <c r="K1193" i="19"/>
  <c r="K1192" i="19"/>
  <c r="K1191" i="19"/>
  <c r="K1190" i="19"/>
  <c r="K1189" i="19"/>
  <c r="K1188" i="19"/>
  <c r="K1187" i="19"/>
  <c r="K1186" i="19"/>
  <c r="K1185" i="19"/>
  <c r="K1184" i="19"/>
  <c r="K1183" i="19"/>
  <c r="K1182" i="19"/>
  <c r="K1181" i="19"/>
  <c r="K1180" i="19"/>
  <c r="K1179" i="19"/>
  <c r="K1178" i="19"/>
  <c r="K1177" i="19"/>
  <c r="K1176" i="19"/>
  <c r="K1175" i="19"/>
  <c r="K1174" i="19"/>
  <c r="K1173" i="19"/>
  <c r="K1172" i="19"/>
  <c r="K1171" i="19"/>
  <c r="K1170" i="19"/>
  <c r="K1169" i="19"/>
  <c r="K1168" i="19"/>
  <c r="K1167" i="19"/>
  <c r="K1166" i="19"/>
  <c r="K1165" i="19"/>
  <c r="K1164" i="19"/>
  <c r="K1163" i="19"/>
  <c r="K1162" i="19"/>
  <c r="K1161" i="19"/>
  <c r="K1160" i="19"/>
  <c r="K1159" i="19"/>
  <c r="K1158" i="19"/>
  <c r="K1157" i="19"/>
  <c r="K1156" i="19"/>
  <c r="K1155" i="19"/>
  <c r="K1154" i="19"/>
  <c r="K1153" i="19"/>
  <c r="K1152" i="19"/>
  <c r="K1151" i="19"/>
  <c r="K1150" i="19"/>
  <c r="K1149" i="19"/>
  <c r="K1148" i="19"/>
  <c r="K1147" i="19"/>
  <c r="K1146" i="19"/>
  <c r="K1145" i="19"/>
  <c r="K1144" i="19"/>
  <c r="K1143" i="19"/>
  <c r="K1142" i="19"/>
  <c r="K1141" i="19"/>
  <c r="K1140" i="19"/>
  <c r="K1139" i="19"/>
  <c r="K1138" i="19"/>
  <c r="K1137" i="19"/>
  <c r="K1136" i="19"/>
  <c r="K1135" i="19"/>
  <c r="K1134" i="19"/>
  <c r="K1133" i="19"/>
  <c r="K1132" i="19"/>
  <c r="K1131" i="19"/>
  <c r="K1130" i="19"/>
  <c r="K1129" i="19"/>
  <c r="K1128" i="19"/>
  <c r="K1127" i="19"/>
  <c r="K1126" i="19"/>
  <c r="K1125" i="19"/>
  <c r="K1124" i="19"/>
  <c r="K1123" i="19"/>
  <c r="K1122" i="19"/>
  <c r="K1121" i="19"/>
  <c r="K1120" i="19"/>
  <c r="K1119" i="19"/>
  <c r="K1118" i="19"/>
  <c r="K1117" i="19"/>
  <c r="K1116" i="19"/>
  <c r="K1115" i="19"/>
  <c r="K1114" i="19"/>
  <c r="K1113" i="19"/>
  <c r="K1112" i="19"/>
  <c r="K1111" i="19"/>
  <c r="K1110" i="19"/>
  <c r="K1109" i="19"/>
  <c r="K1108" i="19"/>
  <c r="K1107" i="19"/>
  <c r="K1106" i="19"/>
  <c r="K1105" i="19"/>
  <c r="K1104" i="19"/>
  <c r="K1103" i="19"/>
  <c r="K1102" i="19"/>
  <c r="K1101" i="19"/>
  <c r="K1100" i="19"/>
  <c r="K1099" i="19"/>
  <c r="K1098" i="19"/>
  <c r="K1097" i="19"/>
  <c r="K1096" i="19"/>
  <c r="K1095" i="19"/>
  <c r="K1094" i="19"/>
  <c r="K1093" i="19"/>
  <c r="K1092" i="19"/>
  <c r="K1091" i="19"/>
  <c r="K1090" i="19"/>
  <c r="K1089" i="19"/>
  <c r="K1088" i="19"/>
  <c r="K1087" i="19"/>
  <c r="K1086" i="19"/>
  <c r="K1085" i="19"/>
  <c r="K1084" i="19"/>
  <c r="K1083" i="19"/>
  <c r="K1082" i="19"/>
  <c r="K1081" i="19"/>
  <c r="K1080" i="19"/>
  <c r="K1079" i="19"/>
  <c r="K1078" i="19"/>
  <c r="K1077" i="19"/>
  <c r="K1076" i="19"/>
  <c r="K1075" i="19"/>
  <c r="K1074" i="19"/>
  <c r="K1073" i="19"/>
  <c r="K1072" i="19"/>
  <c r="K1071" i="19"/>
  <c r="K1070" i="19"/>
  <c r="K1069" i="19"/>
  <c r="K1068" i="19"/>
  <c r="K1067" i="19"/>
  <c r="K1066" i="19"/>
  <c r="K1065" i="19"/>
  <c r="K1064" i="19"/>
  <c r="K1063" i="19"/>
  <c r="K1062" i="19"/>
  <c r="K1061" i="19"/>
  <c r="K1060" i="19"/>
  <c r="K1059" i="19"/>
  <c r="K1058" i="19"/>
  <c r="K1057" i="19"/>
  <c r="K1056" i="19"/>
  <c r="K1055" i="19"/>
  <c r="K1054" i="19"/>
  <c r="K1053" i="19"/>
  <c r="K1052" i="19"/>
  <c r="K1051" i="19"/>
  <c r="K1050" i="19"/>
  <c r="K1049" i="19"/>
  <c r="K1048" i="19"/>
  <c r="K1047" i="19"/>
  <c r="K1046" i="19"/>
  <c r="K1045" i="19"/>
  <c r="K1044" i="19"/>
  <c r="K1043" i="19"/>
  <c r="K1042" i="19"/>
  <c r="K1041" i="19"/>
  <c r="K1040" i="19"/>
  <c r="K1039" i="19"/>
  <c r="K1038" i="19"/>
  <c r="K1037" i="19"/>
  <c r="K1036" i="19"/>
  <c r="K1035" i="19"/>
  <c r="K1034" i="19"/>
  <c r="K1033" i="19"/>
  <c r="K1032" i="19"/>
  <c r="K1031" i="19"/>
  <c r="K1030" i="19"/>
  <c r="K1029" i="19"/>
  <c r="K1028" i="19"/>
  <c r="K1027" i="19"/>
  <c r="K1026" i="19"/>
  <c r="K1025" i="19"/>
  <c r="K1024" i="19"/>
  <c r="K1023" i="19"/>
  <c r="K1022" i="19"/>
  <c r="K1021" i="19"/>
  <c r="K1020" i="19"/>
  <c r="K1019" i="19"/>
  <c r="K1018" i="19"/>
  <c r="K1017" i="19"/>
  <c r="K1016" i="19"/>
  <c r="K1015" i="19"/>
  <c r="K1014" i="19"/>
  <c r="K1013" i="19"/>
  <c r="K1012" i="19"/>
  <c r="K1011" i="19"/>
  <c r="K1010" i="19"/>
  <c r="K1009" i="19"/>
  <c r="K1008" i="19"/>
  <c r="K1007" i="19"/>
  <c r="K1006" i="19"/>
  <c r="K1005" i="19"/>
  <c r="K1004" i="19"/>
  <c r="K1003" i="19"/>
  <c r="K1002" i="19"/>
  <c r="K1001" i="19"/>
  <c r="K1000" i="19"/>
  <c r="K999" i="19"/>
  <c r="K998" i="19"/>
  <c r="K997" i="19"/>
  <c r="K996" i="19"/>
  <c r="K995" i="19"/>
  <c r="K994" i="19"/>
  <c r="K993" i="19"/>
  <c r="K992" i="19"/>
  <c r="K991" i="19"/>
  <c r="K990" i="19"/>
  <c r="K989" i="19"/>
  <c r="K988" i="19"/>
  <c r="K987" i="19"/>
  <c r="K986" i="19"/>
  <c r="K985" i="19"/>
  <c r="K984" i="19"/>
  <c r="K983" i="19"/>
  <c r="K982" i="19"/>
  <c r="K981" i="19"/>
  <c r="K980" i="19"/>
  <c r="K979" i="19"/>
  <c r="K978" i="19"/>
  <c r="K977" i="19"/>
  <c r="K976" i="19"/>
  <c r="K975" i="19"/>
  <c r="K974" i="19"/>
  <c r="K973" i="19"/>
  <c r="K972" i="19"/>
  <c r="K971" i="19"/>
  <c r="K970" i="19"/>
  <c r="K969" i="19"/>
  <c r="K968" i="19"/>
  <c r="K967" i="19"/>
  <c r="K966" i="19"/>
  <c r="K965" i="19"/>
  <c r="K964" i="19"/>
  <c r="K963" i="19"/>
  <c r="K962" i="19"/>
  <c r="K961" i="19"/>
  <c r="K960" i="19"/>
  <c r="K959" i="19"/>
  <c r="K958" i="19"/>
  <c r="K957" i="19"/>
  <c r="K956" i="19"/>
  <c r="K955" i="19"/>
  <c r="K954" i="19"/>
  <c r="K953" i="19"/>
  <c r="K952" i="19"/>
  <c r="K951" i="19"/>
  <c r="K950" i="19"/>
  <c r="K949" i="19"/>
  <c r="K948" i="19"/>
  <c r="K947" i="19"/>
  <c r="K946" i="19"/>
  <c r="K945" i="19"/>
  <c r="K944" i="19"/>
  <c r="K943" i="19"/>
  <c r="K942" i="19"/>
  <c r="K941" i="19"/>
  <c r="K940" i="19"/>
  <c r="K939" i="19"/>
  <c r="K938" i="19"/>
  <c r="K937" i="19"/>
  <c r="K936" i="19"/>
  <c r="K935" i="19"/>
  <c r="K934" i="19"/>
  <c r="K933" i="19"/>
  <c r="K932" i="19"/>
  <c r="K931" i="19"/>
  <c r="K930" i="19"/>
  <c r="K929" i="19"/>
  <c r="K928" i="19"/>
  <c r="K927" i="19"/>
  <c r="K926" i="19"/>
  <c r="K925" i="19"/>
  <c r="K924" i="19"/>
  <c r="K923" i="19"/>
  <c r="K922" i="19"/>
  <c r="K921" i="19"/>
  <c r="K920" i="19"/>
  <c r="K919" i="19"/>
  <c r="K918" i="19"/>
  <c r="K917" i="19"/>
  <c r="K916" i="19"/>
  <c r="K915" i="19"/>
  <c r="K914" i="19"/>
  <c r="K913" i="19"/>
  <c r="K912" i="19"/>
  <c r="K911" i="19"/>
  <c r="K910" i="19"/>
  <c r="K909" i="19"/>
  <c r="K908" i="19"/>
  <c r="K907" i="19"/>
  <c r="K906" i="19"/>
  <c r="K905" i="19"/>
  <c r="K904" i="19"/>
  <c r="K903" i="19"/>
  <c r="K902" i="19"/>
  <c r="K901" i="19"/>
  <c r="K900" i="19"/>
  <c r="K899" i="19"/>
  <c r="K898" i="19"/>
  <c r="K897" i="19"/>
  <c r="K896" i="19"/>
  <c r="K895" i="19"/>
  <c r="K894" i="19"/>
  <c r="K893" i="19"/>
  <c r="K892" i="19"/>
  <c r="K891" i="19"/>
  <c r="K890" i="19"/>
  <c r="K889" i="19"/>
  <c r="K888" i="19"/>
  <c r="K887" i="19"/>
  <c r="K886" i="19"/>
  <c r="K885" i="19"/>
  <c r="K884" i="19"/>
  <c r="K883" i="19"/>
  <c r="K882" i="19"/>
  <c r="K881" i="19"/>
  <c r="K880" i="19"/>
  <c r="K879" i="19"/>
  <c r="K878" i="19"/>
  <c r="K877" i="19"/>
  <c r="K876" i="19"/>
  <c r="K875" i="19"/>
  <c r="K874" i="19"/>
  <c r="K873" i="19"/>
  <c r="K872" i="19"/>
  <c r="K871" i="19"/>
  <c r="K870" i="19"/>
  <c r="K869" i="19"/>
  <c r="K868" i="19"/>
  <c r="K867" i="19"/>
  <c r="K866" i="19"/>
  <c r="K865" i="19"/>
  <c r="K864" i="19"/>
  <c r="K863" i="19"/>
  <c r="K862" i="19"/>
  <c r="K861" i="19"/>
  <c r="K860" i="19"/>
  <c r="K859" i="19"/>
  <c r="K858" i="19"/>
  <c r="K857" i="19"/>
  <c r="K856" i="19"/>
  <c r="K855" i="19"/>
  <c r="K854" i="19"/>
  <c r="K853" i="19"/>
  <c r="K852" i="19"/>
  <c r="K851" i="19"/>
  <c r="K850" i="19"/>
  <c r="K849" i="19"/>
  <c r="K848" i="19"/>
  <c r="K847" i="19"/>
  <c r="K846" i="19"/>
  <c r="K845" i="19"/>
  <c r="K844" i="19"/>
  <c r="K843" i="19"/>
  <c r="K842" i="19"/>
  <c r="K841" i="19"/>
  <c r="K840" i="19"/>
  <c r="K839" i="19"/>
  <c r="K838" i="19"/>
  <c r="K837" i="19"/>
  <c r="K836" i="19"/>
  <c r="K835" i="19"/>
  <c r="K834" i="19"/>
  <c r="K833" i="19"/>
  <c r="K832" i="19"/>
  <c r="K831" i="19"/>
  <c r="K830" i="19"/>
  <c r="K829" i="19"/>
  <c r="K828" i="19"/>
  <c r="K827" i="19"/>
  <c r="K826" i="19"/>
  <c r="K825" i="19"/>
  <c r="K824" i="19"/>
  <c r="K823" i="19"/>
  <c r="K822" i="19"/>
  <c r="K821" i="19"/>
  <c r="K820" i="19"/>
  <c r="K819" i="19"/>
  <c r="K818" i="19"/>
  <c r="K817" i="19"/>
  <c r="K816" i="19"/>
  <c r="K815" i="19"/>
  <c r="K814" i="19"/>
  <c r="K813" i="19"/>
  <c r="K812" i="19"/>
  <c r="K811" i="19"/>
  <c r="K810" i="19"/>
  <c r="K809" i="19"/>
  <c r="K808" i="19"/>
  <c r="K807" i="19"/>
  <c r="K806" i="19"/>
  <c r="K805" i="19"/>
  <c r="K804" i="19"/>
  <c r="K803" i="19"/>
  <c r="K802" i="19"/>
  <c r="K801" i="19"/>
  <c r="K800" i="19"/>
  <c r="K799" i="19"/>
  <c r="K798" i="19"/>
  <c r="K797" i="19"/>
  <c r="K796" i="19"/>
  <c r="K795" i="19"/>
  <c r="K794" i="19"/>
  <c r="K793" i="19"/>
  <c r="K792" i="19"/>
  <c r="K791" i="19"/>
  <c r="K790" i="19"/>
  <c r="K789" i="19"/>
  <c r="K788" i="19"/>
  <c r="K787" i="19"/>
  <c r="K786" i="19"/>
  <c r="K785" i="19"/>
  <c r="K784" i="19"/>
  <c r="K783" i="19"/>
  <c r="K782" i="19"/>
  <c r="K781" i="19"/>
  <c r="K780" i="19"/>
  <c r="K779" i="19"/>
  <c r="K778" i="19"/>
  <c r="K777" i="19"/>
  <c r="K776" i="19"/>
  <c r="K775" i="19"/>
  <c r="K774" i="19"/>
  <c r="K773" i="19"/>
  <c r="K772" i="19"/>
  <c r="K771" i="19"/>
  <c r="K770" i="19"/>
  <c r="K769" i="19"/>
  <c r="K768" i="19"/>
  <c r="K767" i="19"/>
  <c r="K766" i="19"/>
  <c r="K765" i="19"/>
  <c r="K764" i="19"/>
  <c r="K763" i="19"/>
  <c r="K762" i="19"/>
  <c r="K761" i="19"/>
  <c r="K760" i="19"/>
  <c r="K759" i="19"/>
  <c r="K758" i="19"/>
  <c r="K757" i="19"/>
  <c r="K756" i="19"/>
  <c r="K755" i="19"/>
  <c r="K754" i="19"/>
  <c r="K753" i="19"/>
  <c r="K752" i="19"/>
  <c r="K751" i="19"/>
  <c r="K750" i="19"/>
  <c r="K749" i="19"/>
  <c r="K748" i="19"/>
  <c r="K747" i="19"/>
  <c r="K746" i="19"/>
  <c r="K745" i="19"/>
  <c r="K744" i="19"/>
  <c r="K743" i="19"/>
  <c r="K742" i="19"/>
  <c r="K741" i="19"/>
  <c r="K740" i="19"/>
  <c r="K739" i="19"/>
  <c r="K738" i="19"/>
  <c r="K737" i="19"/>
  <c r="K736" i="19"/>
  <c r="K735" i="19"/>
  <c r="K734" i="19"/>
  <c r="K733" i="19"/>
  <c r="K732" i="19"/>
  <c r="K731" i="19"/>
  <c r="K730" i="19"/>
  <c r="K729" i="19"/>
  <c r="K728" i="19"/>
  <c r="K727" i="19"/>
  <c r="K726" i="19"/>
  <c r="K725" i="19"/>
  <c r="K724" i="19"/>
  <c r="K723" i="19"/>
  <c r="K722" i="19"/>
  <c r="K721" i="19"/>
  <c r="K720" i="19"/>
  <c r="K719" i="19"/>
  <c r="K718" i="19"/>
  <c r="K717" i="19"/>
  <c r="K716" i="19"/>
  <c r="K715" i="19"/>
  <c r="K714" i="19"/>
  <c r="K713" i="19"/>
  <c r="K712" i="19"/>
  <c r="K711" i="19"/>
  <c r="K710" i="19"/>
  <c r="K709" i="19"/>
  <c r="K708" i="19"/>
  <c r="K707" i="19"/>
  <c r="K706" i="19"/>
  <c r="K705" i="19"/>
  <c r="K704" i="19"/>
  <c r="K703" i="19"/>
  <c r="K702" i="19"/>
  <c r="K701" i="19"/>
  <c r="K700" i="19"/>
  <c r="K699" i="19"/>
  <c r="K698" i="19"/>
  <c r="K697" i="19"/>
  <c r="K696" i="19"/>
  <c r="K695" i="19"/>
  <c r="K694" i="19"/>
  <c r="K693" i="19"/>
  <c r="K692" i="19"/>
  <c r="K691" i="19"/>
  <c r="K690" i="19"/>
  <c r="K689" i="19"/>
  <c r="K688" i="19"/>
  <c r="K687" i="19"/>
  <c r="K686" i="19"/>
  <c r="K685" i="19"/>
  <c r="K684" i="19"/>
  <c r="K683" i="19"/>
  <c r="K682" i="19"/>
  <c r="K681" i="19"/>
  <c r="K680" i="19"/>
  <c r="K679" i="19"/>
  <c r="K678" i="19"/>
  <c r="K677" i="19"/>
  <c r="K676" i="19"/>
  <c r="K675" i="19"/>
  <c r="K674" i="19"/>
  <c r="K673" i="19"/>
  <c r="K672" i="19"/>
  <c r="K671" i="19"/>
  <c r="K670" i="19"/>
  <c r="K669" i="19"/>
  <c r="K668" i="19"/>
  <c r="K667" i="19"/>
  <c r="K666" i="19"/>
  <c r="K665" i="19"/>
  <c r="K664" i="19"/>
  <c r="K663" i="19"/>
  <c r="K662" i="19"/>
  <c r="K661" i="19"/>
  <c r="K660" i="19"/>
  <c r="K659" i="19"/>
  <c r="K658" i="19"/>
  <c r="K657" i="19"/>
  <c r="K656" i="19"/>
  <c r="K655" i="19"/>
  <c r="K654" i="19"/>
  <c r="K653" i="19"/>
  <c r="K652" i="19"/>
  <c r="K651" i="19"/>
  <c r="K650" i="19"/>
  <c r="K649" i="19"/>
  <c r="K648" i="19"/>
  <c r="K647" i="19"/>
  <c r="K646" i="19"/>
  <c r="K645" i="19"/>
  <c r="K644" i="19"/>
  <c r="K643" i="19"/>
  <c r="K642" i="19"/>
  <c r="K641" i="19"/>
  <c r="K640" i="19"/>
  <c r="K639" i="19"/>
  <c r="K638" i="19"/>
  <c r="K637" i="19"/>
  <c r="K636" i="19"/>
  <c r="K635" i="19"/>
  <c r="K634" i="19"/>
  <c r="K633" i="19"/>
  <c r="K632" i="19"/>
  <c r="K631" i="19"/>
  <c r="K630" i="19"/>
  <c r="K629" i="19"/>
  <c r="K628" i="19"/>
  <c r="K627" i="19"/>
  <c r="K626" i="19"/>
  <c r="K625" i="19"/>
  <c r="K624" i="19"/>
  <c r="K623" i="19"/>
  <c r="K622" i="19"/>
  <c r="K621" i="19"/>
  <c r="K620" i="19"/>
  <c r="K619" i="19"/>
  <c r="K618" i="19"/>
  <c r="K617" i="19"/>
  <c r="K616" i="19"/>
  <c r="K615" i="19"/>
  <c r="K614" i="19"/>
  <c r="K613" i="19"/>
  <c r="K612" i="19"/>
  <c r="K611" i="19"/>
  <c r="K610" i="19"/>
  <c r="K609" i="19"/>
  <c r="K608" i="19"/>
  <c r="K607" i="19"/>
  <c r="K606" i="19"/>
  <c r="K605" i="19"/>
  <c r="K604" i="19"/>
  <c r="K603" i="19"/>
  <c r="K602" i="19"/>
  <c r="K601" i="19"/>
  <c r="K600" i="19"/>
  <c r="K599" i="19"/>
  <c r="K598" i="19"/>
  <c r="K597" i="19"/>
  <c r="K596" i="19"/>
  <c r="K595" i="19"/>
  <c r="K594" i="19"/>
  <c r="K593" i="19"/>
  <c r="K592" i="19"/>
  <c r="K591" i="19"/>
  <c r="K590" i="19"/>
  <c r="K589" i="19"/>
  <c r="K588" i="19"/>
  <c r="K587" i="19"/>
  <c r="K586" i="19"/>
  <c r="K585" i="19"/>
  <c r="K584" i="19"/>
  <c r="K583" i="19"/>
  <c r="K582" i="19"/>
  <c r="K581" i="19"/>
  <c r="K580" i="19"/>
  <c r="K579" i="19"/>
  <c r="K578" i="19"/>
  <c r="K577" i="19"/>
  <c r="K576" i="19"/>
  <c r="K575" i="19"/>
  <c r="K574" i="19"/>
  <c r="K573" i="19"/>
  <c r="K572" i="19"/>
  <c r="K571" i="19"/>
  <c r="K570" i="19"/>
  <c r="K569" i="19"/>
  <c r="K568" i="19"/>
  <c r="K567" i="19"/>
  <c r="K566" i="19"/>
  <c r="K565" i="19"/>
  <c r="K564" i="19"/>
  <c r="K563" i="19"/>
  <c r="K562" i="19"/>
  <c r="K561" i="19"/>
  <c r="K560" i="19"/>
  <c r="K559" i="19"/>
  <c r="K558" i="19"/>
  <c r="K557" i="19"/>
  <c r="K556" i="19"/>
  <c r="K555" i="19"/>
  <c r="K554" i="19"/>
  <c r="K553" i="19"/>
  <c r="K552" i="19"/>
  <c r="K551" i="19"/>
  <c r="K550" i="19"/>
  <c r="K549" i="19"/>
  <c r="K548" i="19"/>
  <c r="K547" i="19"/>
  <c r="K546" i="19"/>
  <c r="K545" i="19"/>
  <c r="K544" i="19"/>
  <c r="K543" i="19"/>
  <c r="K542" i="19"/>
  <c r="K541" i="19"/>
  <c r="K540" i="19"/>
  <c r="K539" i="19"/>
  <c r="K538" i="19"/>
  <c r="K537" i="19"/>
  <c r="K536" i="19"/>
  <c r="K535" i="19"/>
  <c r="K534" i="19"/>
  <c r="K533" i="19"/>
  <c r="K532" i="19"/>
  <c r="K531" i="19"/>
  <c r="K530" i="19"/>
  <c r="K529" i="19"/>
  <c r="K528" i="19"/>
  <c r="K527" i="19"/>
  <c r="K526" i="19"/>
  <c r="K525" i="19"/>
  <c r="K524" i="19"/>
  <c r="K523" i="19"/>
  <c r="K522" i="19"/>
  <c r="K521" i="19"/>
  <c r="K520" i="19"/>
  <c r="K519" i="19"/>
  <c r="K518" i="19"/>
  <c r="K517" i="19"/>
  <c r="K516" i="19"/>
  <c r="K515" i="19"/>
  <c r="K514" i="19"/>
  <c r="K513" i="19"/>
  <c r="K512" i="19"/>
  <c r="K511" i="19"/>
  <c r="K510" i="19"/>
  <c r="K509" i="19"/>
  <c r="K508" i="19"/>
  <c r="K507" i="19"/>
  <c r="K506" i="19"/>
  <c r="K505" i="19"/>
  <c r="K504" i="19"/>
  <c r="K503" i="19"/>
  <c r="K502" i="19"/>
  <c r="K501" i="19"/>
  <c r="K500" i="19"/>
  <c r="K499" i="19"/>
  <c r="K498" i="19"/>
  <c r="K497" i="19"/>
  <c r="K496" i="19"/>
  <c r="K495" i="19"/>
  <c r="K494" i="19"/>
  <c r="K493" i="19"/>
  <c r="K492" i="19"/>
  <c r="K491" i="19"/>
  <c r="K490" i="19"/>
  <c r="K489" i="19"/>
  <c r="K488" i="19"/>
  <c r="K487" i="19"/>
  <c r="K486" i="19"/>
  <c r="K485" i="19"/>
  <c r="K484" i="19"/>
  <c r="K483" i="19"/>
  <c r="K482" i="19"/>
  <c r="K481" i="19"/>
  <c r="K480" i="19"/>
  <c r="K479" i="19"/>
  <c r="K478" i="19"/>
  <c r="K477" i="19"/>
  <c r="K476" i="19"/>
  <c r="K475" i="19"/>
  <c r="K474" i="19"/>
  <c r="K473" i="19"/>
  <c r="K472" i="19"/>
  <c r="K471" i="19"/>
  <c r="K470" i="19"/>
  <c r="K469" i="19"/>
  <c r="K468" i="19"/>
  <c r="K467" i="19"/>
  <c r="K466" i="19"/>
  <c r="K465" i="19"/>
  <c r="K464" i="19"/>
  <c r="K463" i="19"/>
  <c r="K462" i="19"/>
  <c r="K461" i="19"/>
  <c r="K460" i="19"/>
  <c r="K459" i="19"/>
  <c r="K458" i="19"/>
  <c r="K457" i="19"/>
  <c r="K456" i="19"/>
  <c r="K455" i="19"/>
  <c r="K454" i="19"/>
  <c r="K453" i="19"/>
  <c r="K452" i="19"/>
  <c r="K451" i="19"/>
  <c r="K450" i="19"/>
  <c r="K449" i="19"/>
  <c r="K448" i="19"/>
  <c r="K447" i="19"/>
  <c r="K446" i="19"/>
  <c r="K445" i="19"/>
  <c r="K444" i="19"/>
  <c r="K443" i="19"/>
  <c r="K442" i="19"/>
  <c r="K441" i="19"/>
  <c r="K440" i="19"/>
  <c r="K439" i="19"/>
  <c r="K438" i="19"/>
  <c r="K437" i="19"/>
  <c r="K436" i="19"/>
  <c r="K435" i="19"/>
  <c r="K434" i="19"/>
  <c r="K433" i="19"/>
  <c r="K432" i="19"/>
  <c r="K431" i="19"/>
  <c r="K430" i="19"/>
  <c r="K429" i="19"/>
  <c r="K428" i="19"/>
  <c r="K427" i="19"/>
  <c r="K426" i="19"/>
  <c r="K425" i="19"/>
  <c r="K424" i="19"/>
  <c r="K423" i="19"/>
  <c r="K422" i="19"/>
  <c r="K421" i="19"/>
  <c r="K420" i="19"/>
  <c r="K419" i="19"/>
  <c r="K418" i="19"/>
  <c r="K417" i="19"/>
  <c r="K416" i="19"/>
  <c r="K415" i="19"/>
  <c r="K414" i="19"/>
  <c r="K413" i="19"/>
  <c r="K412" i="19"/>
  <c r="K411" i="19"/>
  <c r="K410" i="19"/>
  <c r="K409" i="19"/>
  <c r="K408" i="19"/>
  <c r="K407" i="19"/>
  <c r="K406" i="19"/>
  <c r="K405" i="19"/>
  <c r="K404" i="19"/>
  <c r="K403" i="19"/>
  <c r="K402" i="19"/>
  <c r="K401" i="19"/>
  <c r="K400" i="19"/>
  <c r="K399" i="19"/>
  <c r="K398" i="19"/>
  <c r="K397" i="19"/>
  <c r="K396" i="19"/>
  <c r="K395" i="19"/>
  <c r="K394" i="19"/>
  <c r="K393" i="19"/>
  <c r="K392" i="19"/>
  <c r="K391" i="19"/>
  <c r="K390" i="19"/>
  <c r="K389" i="19"/>
  <c r="K388" i="19"/>
  <c r="K387" i="19"/>
  <c r="K386" i="19"/>
  <c r="K385" i="19"/>
  <c r="K384" i="19"/>
  <c r="K383" i="19"/>
  <c r="K382" i="19"/>
  <c r="K381" i="19"/>
  <c r="K380" i="19"/>
  <c r="K379" i="19"/>
  <c r="K378" i="19"/>
  <c r="K377" i="19"/>
  <c r="K376" i="19"/>
  <c r="K375" i="19"/>
  <c r="K374" i="19"/>
  <c r="K373" i="19"/>
  <c r="K372" i="19"/>
  <c r="K371" i="19"/>
  <c r="K370" i="19"/>
  <c r="K369" i="19"/>
  <c r="K368" i="19"/>
  <c r="K367" i="19"/>
  <c r="K366" i="19"/>
  <c r="K365" i="19"/>
  <c r="K364" i="19"/>
  <c r="K363" i="19"/>
  <c r="K362" i="19"/>
  <c r="K361" i="19"/>
  <c r="K360" i="19"/>
  <c r="K359" i="19"/>
  <c r="K358" i="19"/>
  <c r="K357" i="19"/>
  <c r="K356" i="19"/>
  <c r="K355" i="19"/>
  <c r="K354" i="19"/>
  <c r="K353" i="19"/>
  <c r="K352" i="19"/>
  <c r="K351" i="19"/>
  <c r="K350" i="19"/>
  <c r="K349" i="19"/>
  <c r="K348" i="19"/>
  <c r="K347" i="19"/>
  <c r="K346" i="19"/>
  <c r="K345" i="19"/>
  <c r="K344" i="19"/>
  <c r="K343" i="19"/>
  <c r="K342" i="19"/>
  <c r="K341" i="19"/>
  <c r="K340" i="19"/>
  <c r="K339" i="19"/>
  <c r="K338" i="19"/>
  <c r="K337" i="19"/>
  <c r="K336" i="19"/>
  <c r="K335" i="19"/>
  <c r="K334" i="19"/>
  <c r="K333" i="19"/>
  <c r="K332" i="19"/>
  <c r="K331" i="19"/>
  <c r="K330" i="19"/>
  <c r="K329" i="19"/>
  <c r="K328" i="19"/>
  <c r="K327" i="19"/>
  <c r="K326" i="19"/>
  <c r="K325" i="19"/>
  <c r="K324" i="19"/>
  <c r="K323" i="19"/>
  <c r="K322" i="19"/>
  <c r="K321" i="19"/>
  <c r="K320" i="19"/>
  <c r="K319" i="19"/>
  <c r="K318" i="19"/>
  <c r="K317" i="19"/>
  <c r="K316" i="19"/>
  <c r="K315" i="19"/>
  <c r="K314" i="19"/>
  <c r="K313" i="19"/>
  <c r="K312" i="19"/>
  <c r="K311" i="19"/>
  <c r="K310" i="19"/>
  <c r="K309" i="19"/>
  <c r="K308" i="19"/>
  <c r="K307" i="19"/>
  <c r="K306" i="19"/>
  <c r="K305" i="19"/>
  <c r="K304" i="19"/>
  <c r="K303" i="19"/>
  <c r="K302" i="19"/>
  <c r="K301" i="19"/>
  <c r="K300" i="19"/>
  <c r="K299" i="19"/>
  <c r="K298" i="19"/>
  <c r="K297" i="19"/>
  <c r="K296" i="19"/>
  <c r="K295" i="19"/>
  <c r="K294" i="19"/>
  <c r="K293" i="19"/>
  <c r="K292" i="19"/>
  <c r="K291" i="19"/>
  <c r="K290" i="19"/>
  <c r="K289" i="19"/>
  <c r="K288" i="19"/>
  <c r="K287" i="19"/>
  <c r="K286" i="19"/>
  <c r="K285" i="19"/>
  <c r="K284" i="19"/>
  <c r="K283" i="19"/>
  <c r="K282" i="19"/>
  <c r="K281" i="19"/>
  <c r="K280" i="19"/>
  <c r="K279" i="19"/>
  <c r="K278" i="19"/>
  <c r="K277" i="19"/>
  <c r="K276" i="19"/>
  <c r="K275" i="19"/>
  <c r="K274" i="19"/>
  <c r="K273" i="19"/>
  <c r="K272" i="19"/>
  <c r="K271" i="19"/>
  <c r="K270" i="19"/>
  <c r="K269" i="19"/>
  <c r="K268" i="19"/>
  <c r="K267" i="19"/>
  <c r="K266" i="19"/>
  <c r="K265" i="19"/>
  <c r="K264" i="19"/>
  <c r="K263" i="19"/>
  <c r="K262" i="19"/>
  <c r="K261" i="19"/>
  <c r="K260" i="19"/>
  <c r="K259" i="19"/>
  <c r="K258" i="19"/>
  <c r="K257" i="19"/>
  <c r="K256" i="19"/>
  <c r="K255" i="19"/>
  <c r="K254" i="19"/>
  <c r="K253" i="19"/>
  <c r="K252" i="19"/>
  <c r="K251" i="19"/>
  <c r="K250" i="19"/>
  <c r="K249" i="19"/>
  <c r="K248" i="19"/>
  <c r="K247" i="19"/>
  <c r="K246" i="19"/>
  <c r="K245" i="19"/>
  <c r="K244" i="19"/>
  <c r="K243" i="19"/>
  <c r="K242" i="19"/>
  <c r="K241" i="19"/>
  <c r="K240" i="19"/>
  <c r="K239" i="19"/>
  <c r="K238" i="19"/>
  <c r="K237" i="19"/>
  <c r="K236" i="19"/>
  <c r="K235" i="19"/>
  <c r="K234" i="19"/>
  <c r="K233" i="19"/>
  <c r="K232" i="19"/>
  <c r="K231" i="19"/>
  <c r="K230" i="19"/>
  <c r="K229" i="19"/>
  <c r="K228" i="19"/>
  <c r="K227" i="19"/>
  <c r="K226" i="19"/>
  <c r="K225" i="19"/>
  <c r="K224" i="19"/>
  <c r="K223" i="19"/>
  <c r="K222" i="19"/>
  <c r="K221" i="19"/>
  <c r="K220" i="19"/>
  <c r="K219" i="19"/>
  <c r="K218" i="19"/>
  <c r="K217" i="19"/>
  <c r="K216" i="19"/>
  <c r="K215" i="19"/>
  <c r="K214" i="19"/>
  <c r="K213" i="19"/>
  <c r="K212" i="19"/>
  <c r="K211" i="19"/>
  <c r="K210" i="19"/>
  <c r="K209" i="19"/>
  <c r="K208" i="19"/>
  <c r="K207" i="19"/>
  <c r="K206" i="19"/>
  <c r="K205" i="19"/>
  <c r="K204" i="19"/>
  <c r="K203" i="19"/>
  <c r="K202" i="19"/>
  <c r="K201" i="19"/>
  <c r="K200" i="19"/>
  <c r="K199" i="19"/>
  <c r="K198" i="19"/>
  <c r="K197" i="19"/>
  <c r="K196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C95" i="38" l="1"/>
  <c r="C94" i="38"/>
  <c r="C93" i="38"/>
  <c r="C92" i="38"/>
  <c r="B95" i="23" l="1"/>
  <c r="D95" i="23"/>
  <c r="E89" i="23"/>
  <c r="E91" i="23" s="1"/>
  <c r="E93" i="23" s="1"/>
  <c r="E75" i="23"/>
  <c r="E57" i="23"/>
  <c r="L63" i="51"/>
  <c r="K56" i="50"/>
  <c r="V40" i="58"/>
  <c r="W40" i="58" s="1"/>
  <c r="E56" i="23" l="1"/>
  <c r="E56" i="57"/>
  <c r="E62" i="57"/>
  <c r="E59" i="57"/>
  <c r="E77" i="23"/>
  <c r="E78" i="57"/>
  <c r="E76" i="23"/>
  <c r="E77" i="57"/>
  <c r="E74" i="23"/>
  <c r="E75" i="57"/>
  <c r="E73" i="23"/>
  <c r="E74" i="57"/>
  <c r="E64" i="57"/>
  <c r="E61" i="57"/>
  <c r="C30" i="54"/>
  <c r="E66" i="57"/>
  <c r="E89" i="57"/>
  <c r="E90" i="57" s="1"/>
  <c r="E92" i="57" s="1"/>
  <c r="E94" i="57" s="1"/>
  <c r="E104" i="23"/>
  <c r="E103" i="23"/>
  <c r="C97" i="38" l="1"/>
  <c r="C106" i="61"/>
  <c r="E78" i="23"/>
  <c r="E79" i="57"/>
  <c r="E58" i="23"/>
  <c r="E58" i="57"/>
  <c r="C107" i="61"/>
  <c r="E88" i="23"/>
  <c r="T14" i="43"/>
  <c r="T11" i="43"/>
  <c r="K64" i="50"/>
  <c r="K62" i="50"/>
  <c r="K60" i="50"/>
  <c r="K58" i="50"/>
  <c r="K80" i="50" s="1"/>
  <c r="D19" i="50"/>
  <c r="L71" i="51"/>
  <c r="L69" i="51"/>
  <c r="L67" i="51"/>
  <c r="L65" i="51"/>
  <c r="H146" i="51" s="1"/>
  <c r="D26" i="51"/>
  <c r="D82" i="23"/>
  <c r="C82" i="23"/>
  <c r="D80" i="23"/>
  <c r="C80" i="23"/>
  <c r="E71" i="23" a="1"/>
  <c r="E71" i="23" s="1"/>
  <c r="D71" i="23" a="1"/>
  <c r="D71" i="23" s="1"/>
  <c r="E70" i="23"/>
  <c r="D70" i="23"/>
  <c r="E69" i="23"/>
  <c r="D69" i="23"/>
  <c r="E68" i="23"/>
  <c r="D68" i="23"/>
  <c r="E67" i="23"/>
  <c r="D67" i="23"/>
  <c r="E66" i="23"/>
  <c r="E65" i="23"/>
  <c r="D55" i="23"/>
  <c r="C55" i="23"/>
  <c r="B55" i="23"/>
  <c r="D54" i="23"/>
  <c r="C54" i="23"/>
  <c r="B54" i="23"/>
  <c r="D53" i="23"/>
  <c r="C53" i="23"/>
  <c r="B53" i="23"/>
  <c r="D52" i="23"/>
  <c r="C52" i="23"/>
  <c r="B52" i="23"/>
  <c r="D51" i="23"/>
  <c r="C51" i="23"/>
  <c r="B51" i="23"/>
  <c r="D50" i="23"/>
  <c r="C50" i="23"/>
  <c r="B50" i="23"/>
  <c r="D49" i="23"/>
  <c r="C49" i="23"/>
  <c r="B49" i="23"/>
  <c r="D48" i="23"/>
  <c r="C48" i="23"/>
  <c r="B48" i="23"/>
  <c r="D47" i="23"/>
  <c r="C47" i="23"/>
  <c r="B47" i="23"/>
  <c r="D46" i="23"/>
  <c r="C46" i="23"/>
  <c r="B46" i="23"/>
  <c r="D45" i="23"/>
  <c r="C45" i="23"/>
  <c r="D44" i="23"/>
  <c r="C44" i="23"/>
  <c r="D43" i="23"/>
  <c r="C43" i="23"/>
  <c r="D42" i="23"/>
  <c r="C42" i="23"/>
  <c r="D41" i="23"/>
  <c r="C41" i="23"/>
  <c r="D40" i="23"/>
  <c r="C40" i="23"/>
  <c r="D39" i="23"/>
  <c r="C39" i="23"/>
  <c r="D38" i="23"/>
  <c r="C38" i="23"/>
  <c r="D37" i="23"/>
  <c r="C37" i="23"/>
  <c r="D36" i="23"/>
  <c r="C36" i="23"/>
  <c r="E34" i="23"/>
  <c r="E33" i="23"/>
  <c r="E32" i="23"/>
  <c r="E31" i="23"/>
  <c r="E27" i="23"/>
  <c r="E25" i="23"/>
  <c r="E24" i="23"/>
  <c r="E23" i="23"/>
  <c r="E22" i="23"/>
  <c r="E21" i="23"/>
  <c r="E20" i="23"/>
  <c r="E18" i="23"/>
  <c r="E16" i="23"/>
  <c r="E15" i="23"/>
  <c r="E14" i="23"/>
  <c r="E13" i="23"/>
  <c r="H20" i="23"/>
  <c r="E12" i="23"/>
  <c r="E10" i="23"/>
  <c r="W32" i="58" s="1"/>
  <c r="C73" i="52"/>
  <c r="C76" i="52" s="1"/>
  <c r="C68" i="52"/>
  <c r="A68" i="52"/>
  <c r="C67" i="52"/>
  <c r="C60" i="52"/>
  <c r="C61" i="52" s="1"/>
  <c r="C55" i="52"/>
  <c r="C54" i="52"/>
  <c r="C56" i="52" s="1"/>
  <c r="X20" i="19"/>
  <c r="E247" i="57" s="1"/>
  <c r="E29" i="23" l="1"/>
  <c r="E29" i="57"/>
  <c r="E28" i="23"/>
  <c r="W36" i="58" s="1"/>
  <c r="E28" i="57"/>
  <c r="E19" i="23"/>
  <c r="W34" i="58" s="1"/>
  <c r="E19" i="57"/>
  <c r="E8" i="23"/>
  <c r="E8" i="57"/>
  <c r="E9" i="23"/>
  <c r="E9" i="57"/>
  <c r="E11" i="23"/>
  <c r="E11" i="57"/>
  <c r="E53" i="23"/>
  <c r="E80" i="23"/>
  <c r="E82" i="23"/>
  <c r="C98" i="38"/>
  <c r="E91" i="57"/>
  <c r="C69" i="52"/>
  <c r="I8" i="23"/>
  <c r="I10" i="23" s="1"/>
  <c r="W19" i="19"/>
  <c r="C63" i="52"/>
  <c r="C108" i="61"/>
  <c r="E90" i="23"/>
  <c r="E46" i="23"/>
  <c r="E54" i="23"/>
  <c r="E50" i="23"/>
  <c r="E42" i="23"/>
  <c r="E55" i="23"/>
  <c r="E43" i="23"/>
  <c r="E37" i="23"/>
  <c r="E40" i="23"/>
  <c r="E41" i="23"/>
  <c r="E36" i="23"/>
  <c r="E47" i="23"/>
  <c r="E48" i="23"/>
  <c r="E51" i="23"/>
  <c r="E38" i="23"/>
  <c r="E44" i="23"/>
  <c r="E52" i="23"/>
  <c r="E39" i="23"/>
  <c r="E45" i="23"/>
  <c r="E49" i="23"/>
  <c r="C62" i="52"/>
  <c r="C74" i="52"/>
  <c r="C75" i="52"/>
  <c r="F21" i="20"/>
  <c r="C21" i="20" s="1"/>
  <c r="F20" i="20"/>
  <c r="C20" i="20" s="1"/>
  <c r="I12" i="23" l="1"/>
  <c r="E244" i="57"/>
  <c r="E30" i="23"/>
  <c r="E30" i="57"/>
  <c r="E35" i="23"/>
  <c r="E35" i="57"/>
  <c r="E26" i="23"/>
  <c r="E26" i="57"/>
  <c r="E17" i="23"/>
  <c r="E17" i="57"/>
  <c r="C99" i="38"/>
  <c r="E93" i="57"/>
  <c r="C109" i="61"/>
  <c r="E92" i="23"/>
  <c r="C100" i="38" l="1"/>
  <c r="E95" i="57"/>
  <c r="E94" i="23"/>
  <c r="F68" i="20" l="1"/>
  <c r="F33" i="20"/>
  <c r="F18" i="20"/>
  <c r="C18" i="20" s="1"/>
  <c r="E81" i="20"/>
  <c r="E72" i="20"/>
  <c r="E52" i="20"/>
  <c r="E25" i="20"/>
  <c r="E5" i="20"/>
  <c r="F16" i="20"/>
  <c r="C16" i="20" s="1"/>
  <c r="F26" i="20"/>
  <c r="F19" i="20"/>
  <c r="C19" i="20" s="1"/>
  <c r="F64" i="20"/>
  <c r="F63" i="20"/>
  <c r="F67" i="20"/>
  <c r="F70" i="20"/>
  <c r="F69" i="20"/>
  <c r="F66" i="20"/>
  <c r="F54" i="20"/>
  <c r="F32" i="20"/>
  <c r="F17" i="20"/>
  <c r="C17" i="20" s="1"/>
  <c r="F23" i="20"/>
  <c r="C23" i="20" s="1"/>
  <c r="F22" i="20"/>
  <c r="C22" i="20" s="1"/>
  <c r="F12" i="20"/>
  <c r="C12" i="20" s="1"/>
  <c r="F11" i="20"/>
  <c r="C11" i="20" s="1"/>
  <c r="F10" i="20"/>
  <c r="C10" i="20" s="1"/>
  <c r="F13" i="20"/>
  <c r="C13" i="20" s="1"/>
  <c r="F28" i="20"/>
  <c r="F27" i="20"/>
  <c r="F34" i="20"/>
  <c r="F35" i="20"/>
  <c r="F38" i="20"/>
  <c r="F53" i="20"/>
  <c r="F57" i="20"/>
  <c r="F58" i="20"/>
  <c r="F59" i="20"/>
  <c r="F61" i="20"/>
  <c r="F56" i="20"/>
  <c r="F60" i="20"/>
  <c r="F65" i="20"/>
  <c r="F71" i="20"/>
  <c r="F76" i="20"/>
  <c r="F77" i="20"/>
  <c r="F79" i="20"/>
  <c r="F80" i="20"/>
  <c r="F88" i="20"/>
  <c r="F86" i="20"/>
  <c r="F85" i="20"/>
  <c r="F90" i="20"/>
  <c r="F91" i="20"/>
  <c r="F92" i="20"/>
  <c r="F93" i="20"/>
  <c r="F94" i="20"/>
  <c r="F95" i="20"/>
  <c r="F96" i="20"/>
  <c r="F97" i="20"/>
  <c r="F98" i="20"/>
  <c r="F99" i="20"/>
  <c r="F100" i="20"/>
  <c r="F101" i="20"/>
  <c r="F102" i="20"/>
  <c r="F103" i="20"/>
  <c r="F104" i="20"/>
  <c r="F105" i="20"/>
  <c r="F106" i="20"/>
  <c r="F107" i="20"/>
  <c r="F108" i="20"/>
  <c r="F109" i="20"/>
  <c r="F110" i="20"/>
  <c r="F111" i="20"/>
  <c r="F112" i="20"/>
  <c r="F113" i="20"/>
  <c r="F114" i="20"/>
  <c r="F115" i="20"/>
  <c r="F116" i="20"/>
  <c r="F117" i="20"/>
  <c r="F118" i="20"/>
  <c r="F119" i="20"/>
  <c r="F120" i="20"/>
  <c r="F121" i="20"/>
  <c r="F122" i="20"/>
  <c r="F123" i="20"/>
  <c r="F124" i="20"/>
  <c r="F125" i="20"/>
  <c r="F126" i="20"/>
  <c r="F127" i="20"/>
  <c r="F128" i="20"/>
  <c r="F129" i="20"/>
  <c r="F130" i="20"/>
  <c r="F131" i="20"/>
  <c r="F132" i="20"/>
  <c r="F133" i="20"/>
  <c r="F134" i="20"/>
  <c r="F135" i="20"/>
  <c r="F136" i="20"/>
  <c r="F137" i="20"/>
  <c r="F138" i="20"/>
  <c r="F139" i="20"/>
  <c r="F140" i="20"/>
  <c r="F141" i="20"/>
  <c r="F142" i="20"/>
  <c r="F143" i="20"/>
  <c r="F144" i="20"/>
  <c r="F145" i="20"/>
  <c r="F146" i="20"/>
  <c r="F147" i="20"/>
  <c r="F148" i="20"/>
  <c r="F149" i="20"/>
  <c r="F150" i="20"/>
  <c r="F151" i="20"/>
  <c r="F152" i="20"/>
  <c r="F153" i="20"/>
  <c r="F154" i="20"/>
  <c r="F155" i="20"/>
  <c r="F156" i="20"/>
  <c r="F157" i="20"/>
  <c r="F158" i="20"/>
  <c r="F159" i="20"/>
  <c r="F160" i="20"/>
  <c r="F161" i="20"/>
  <c r="F162" i="20"/>
  <c r="F163" i="20"/>
  <c r="F164" i="20"/>
  <c r="F165" i="20"/>
  <c r="F166" i="20"/>
  <c r="F167" i="20"/>
  <c r="F168" i="20"/>
  <c r="F169" i="20"/>
  <c r="F170" i="20"/>
  <c r="F171" i="20"/>
  <c r="F172" i="20"/>
  <c r="F173" i="20"/>
  <c r="F174" i="20"/>
  <c r="F175" i="20"/>
  <c r="F176" i="20"/>
  <c r="F177" i="20"/>
  <c r="F178" i="20"/>
  <c r="F179" i="20"/>
  <c r="F180" i="20"/>
  <c r="F181" i="20"/>
  <c r="F182" i="20"/>
  <c r="F183" i="20"/>
  <c r="F184" i="20"/>
  <c r="F185" i="20"/>
  <c r="F186" i="20"/>
  <c r="F187" i="20"/>
  <c r="F188" i="20"/>
  <c r="F189" i="20"/>
  <c r="F190" i="20"/>
  <c r="F191" i="20"/>
  <c r="F192" i="20"/>
  <c r="F193" i="20"/>
  <c r="F194" i="20"/>
  <c r="F195" i="20"/>
  <c r="F196" i="20"/>
  <c r="F197" i="20"/>
  <c r="F198" i="20"/>
  <c r="F199" i="20"/>
  <c r="F200" i="20"/>
  <c r="F201" i="20"/>
  <c r="F202" i="20"/>
  <c r="F203" i="20"/>
  <c r="F204" i="20"/>
  <c r="F205" i="20"/>
  <c r="F206" i="20"/>
  <c r="F207" i="20"/>
  <c r="F208" i="20"/>
  <c r="F209" i="20"/>
  <c r="F210" i="20"/>
  <c r="F211" i="20"/>
  <c r="F212" i="20"/>
  <c r="F213" i="20"/>
  <c r="F214" i="20"/>
  <c r="F215" i="20"/>
  <c r="F216" i="20"/>
  <c r="F217" i="20"/>
  <c r="F218" i="20"/>
  <c r="F219" i="20"/>
  <c r="F220" i="20"/>
  <c r="F221" i="20"/>
  <c r="F222" i="20"/>
  <c r="F223" i="20"/>
  <c r="F224" i="20"/>
  <c r="F225" i="20"/>
  <c r="F226" i="20"/>
  <c r="F227" i="20"/>
  <c r="F228" i="20"/>
  <c r="F229" i="20"/>
  <c r="F230" i="20"/>
  <c r="F231" i="20"/>
  <c r="F232" i="20"/>
  <c r="F233" i="20"/>
  <c r="F234" i="20"/>
  <c r="F235" i="20"/>
  <c r="F236" i="20"/>
  <c r="F237" i="20"/>
  <c r="F238" i="20"/>
  <c r="F239" i="20"/>
  <c r="F240" i="20"/>
  <c r="F241" i="20"/>
  <c r="F242" i="20"/>
  <c r="F243" i="20"/>
  <c r="F244" i="20"/>
  <c r="F245" i="20"/>
  <c r="F246" i="20"/>
  <c r="F247" i="20"/>
  <c r="F248" i="20"/>
  <c r="F249" i="20"/>
  <c r="F250" i="20"/>
  <c r="F251" i="20"/>
  <c r="F252" i="20"/>
  <c r="F253" i="20"/>
  <c r="F254" i="20"/>
  <c r="F255" i="20"/>
  <c r="F256" i="20"/>
  <c r="F257" i="20"/>
  <c r="F258" i="20"/>
  <c r="F259" i="20"/>
  <c r="F260" i="20"/>
  <c r="F261" i="20"/>
  <c r="F262" i="20"/>
  <c r="F263" i="20"/>
  <c r="F264" i="20"/>
  <c r="F265" i="20"/>
  <c r="F266" i="20"/>
  <c r="F267" i="20"/>
  <c r="F268" i="20"/>
  <c r="F269" i="20"/>
  <c r="F270" i="20"/>
  <c r="F271" i="20"/>
  <c r="F272" i="20"/>
  <c r="F273" i="20"/>
  <c r="F274" i="20"/>
  <c r="F275" i="20"/>
  <c r="F276" i="20"/>
  <c r="F277" i="20"/>
  <c r="F278" i="20"/>
  <c r="F279" i="20"/>
  <c r="F280" i="20"/>
  <c r="F281" i="20"/>
  <c r="F282" i="20"/>
  <c r="F283" i="20"/>
  <c r="F284" i="20"/>
  <c r="F285" i="20"/>
  <c r="F286" i="20"/>
  <c r="F287" i="20"/>
  <c r="F288" i="20"/>
  <c r="F289" i="20"/>
  <c r="F290" i="20"/>
  <c r="F291" i="20"/>
  <c r="F292" i="20"/>
  <c r="F293" i="20"/>
  <c r="F294" i="20"/>
  <c r="F295" i="20"/>
  <c r="F296" i="20"/>
  <c r="F297" i="20"/>
  <c r="F298" i="20"/>
  <c r="F299" i="20"/>
  <c r="F300" i="20"/>
  <c r="F301" i="20"/>
  <c r="F302" i="20"/>
  <c r="F303" i="20"/>
  <c r="F304" i="20"/>
  <c r="F305" i="20"/>
  <c r="F306" i="20"/>
  <c r="F307" i="20"/>
  <c r="F308" i="20"/>
  <c r="F309" i="20"/>
  <c r="F310" i="20"/>
  <c r="F311" i="20"/>
  <c r="F312" i="20"/>
  <c r="F313" i="20"/>
  <c r="F314" i="20"/>
  <c r="F315" i="20"/>
  <c r="F316" i="20"/>
  <c r="F317" i="20"/>
  <c r="F89" i="20"/>
  <c r="F83" i="20"/>
  <c r="F82" i="20"/>
  <c r="F84" i="20"/>
  <c r="F74" i="20"/>
  <c r="F73" i="20"/>
  <c r="F75" i="20"/>
  <c r="F31" i="20"/>
  <c r="F30" i="20"/>
  <c r="F36" i="20"/>
  <c r="F29" i="20"/>
  <c r="F15" i="20"/>
  <c r="C15" i="20" s="1"/>
  <c r="F24" i="20"/>
  <c r="C24" i="20" s="1"/>
  <c r="F14" i="20"/>
  <c r="C14" i="20" s="1"/>
  <c r="I89" i="20" l="1"/>
  <c r="I80" i="20"/>
  <c r="J85" i="20"/>
  <c r="J76" i="20"/>
  <c r="J88" i="20"/>
  <c r="K88" i="20" s="1"/>
  <c r="L88" i="20" s="1"/>
  <c r="M88" i="20" s="1"/>
  <c r="N88" i="20" l="1"/>
  <c r="A90" i="20" s="1"/>
  <c r="J89" i="20"/>
  <c r="J90" i="20" s="1"/>
  <c r="D90" i="20" l="1"/>
  <c r="E90" i="20"/>
  <c r="I90" i="20"/>
  <c r="K89" i="20"/>
  <c r="L89" i="20" s="1"/>
  <c r="M89" i="20" s="1"/>
  <c r="N89" i="20" s="1"/>
  <c r="J91" i="20"/>
  <c r="J92" i="20" s="1"/>
  <c r="K90" i="20" l="1"/>
  <c r="L90" i="20" s="1"/>
  <c r="M90" i="20" s="1"/>
  <c r="N90" i="20" s="1"/>
  <c r="I92" i="20" s="1"/>
  <c r="E91" i="20"/>
  <c r="A91" i="20"/>
  <c r="D91" i="20"/>
  <c r="I91" i="20"/>
  <c r="J93" i="20"/>
  <c r="C89" i="20"/>
  <c r="C88" i="20"/>
  <c r="E92" i="20" l="1"/>
  <c r="K91" i="20"/>
  <c r="L91" i="20" s="1"/>
  <c r="M91" i="20" s="1"/>
  <c r="N91" i="20" s="1"/>
  <c r="A93" i="20" s="1"/>
  <c r="D92" i="20"/>
  <c r="A92" i="20"/>
  <c r="K92" i="20"/>
  <c r="L92" i="20" s="1"/>
  <c r="M92" i="20" s="1"/>
  <c r="N92" i="20" s="1"/>
  <c r="A94" i="20" s="1"/>
  <c r="J94" i="20"/>
  <c r="K93" i="20" l="1"/>
  <c r="L93" i="20" s="1"/>
  <c r="M93" i="20" s="1"/>
  <c r="N93" i="20" s="1"/>
  <c r="A95" i="20" s="1"/>
  <c r="D93" i="20"/>
  <c r="I93" i="20"/>
  <c r="E93" i="20"/>
  <c r="D94" i="20"/>
  <c r="E94" i="20"/>
  <c r="I94" i="20"/>
  <c r="J95" i="20"/>
  <c r="C88" i="38"/>
  <c r="I95" i="20" l="1"/>
  <c r="E95" i="20"/>
  <c r="K94" i="20"/>
  <c r="L94" i="20" s="1"/>
  <c r="M94" i="20" s="1"/>
  <c r="N94" i="20" s="1"/>
  <c r="A96" i="20" s="1"/>
  <c r="D95" i="20"/>
  <c r="J96" i="20"/>
  <c r="A18" i="46"/>
  <c r="C112" i="46" s="1"/>
  <c r="A17" i="46"/>
  <c r="C111" i="46" s="1"/>
  <c r="A18" i="44"/>
  <c r="A17" i="44"/>
  <c r="A18" i="41"/>
  <c r="A17" i="41"/>
  <c r="A18" i="40"/>
  <c r="A17" i="40"/>
  <c r="A15" i="39"/>
  <c r="C91" i="39" s="1"/>
  <c r="A14" i="39"/>
  <c r="C90" i="39" s="1"/>
  <c r="A15" i="38"/>
  <c r="C137" i="38" s="1"/>
  <c r="A14" i="38"/>
  <c r="C136" i="38" s="1"/>
  <c r="K95" i="20" l="1"/>
  <c r="L95" i="20" s="1"/>
  <c r="M95" i="20" s="1"/>
  <c r="N95" i="20" s="1"/>
  <c r="A97" i="20" s="1"/>
  <c r="I96" i="20"/>
  <c r="D96" i="20"/>
  <c r="E96" i="20"/>
  <c r="J97" i="20"/>
  <c r="K96" i="20"/>
  <c r="L96" i="20" s="1"/>
  <c r="M96" i="20" s="1"/>
  <c r="N96" i="20" s="1"/>
  <c r="A98" i="20" s="1"/>
  <c r="C77" i="41"/>
  <c r="C157" i="41"/>
  <c r="C109" i="44"/>
  <c r="C420" i="44"/>
  <c r="C76" i="40"/>
  <c r="C156" i="40"/>
  <c r="C110" i="44"/>
  <c r="C421" i="44"/>
  <c r="C156" i="41"/>
  <c r="C76" i="41"/>
  <c r="C77" i="40"/>
  <c r="C157" i="40"/>
  <c r="I97" i="20" l="1"/>
  <c r="D97" i="20"/>
  <c r="E97" i="20"/>
  <c r="D98" i="20"/>
  <c r="I98" i="20"/>
  <c r="E98" i="20"/>
  <c r="K97" i="20"/>
  <c r="L97" i="20" s="1"/>
  <c r="M97" i="20" s="1"/>
  <c r="N97" i="20" s="1"/>
  <c r="A99" i="20" s="1"/>
  <c r="J98" i="20"/>
  <c r="I99" i="20" l="1"/>
  <c r="E99" i="20"/>
  <c r="D99" i="20"/>
  <c r="J99" i="20"/>
  <c r="K98" i="20"/>
  <c r="L98" i="20" s="1"/>
  <c r="M98" i="20" s="1"/>
  <c r="N98" i="20" s="1"/>
  <c r="A100" i="20" s="1"/>
  <c r="E23" i="21"/>
  <c r="D1267" i="19"/>
  <c r="D1266" i="19"/>
  <c r="D1265" i="19"/>
  <c r="D1264" i="19"/>
  <c r="D1263" i="19"/>
  <c r="D1262" i="19"/>
  <c r="D1261" i="19"/>
  <c r="D1260" i="19"/>
  <c r="D1259" i="19"/>
  <c r="D1258" i="19"/>
  <c r="D1257" i="19"/>
  <c r="D1256" i="19"/>
  <c r="D1255" i="19"/>
  <c r="D1254" i="19"/>
  <c r="D1253" i="19"/>
  <c r="D1252" i="19"/>
  <c r="D1251" i="19"/>
  <c r="D1250" i="19"/>
  <c r="D1249" i="19"/>
  <c r="D1248" i="19"/>
  <c r="D1247" i="19"/>
  <c r="D1246" i="19"/>
  <c r="D1245" i="19"/>
  <c r="D1244" i="19"/>
  <c r="D1243" i="19"/>
  <c r="D1242" i="19"/>
  <c r="D1241" i="19"/>
  <c r="D1240" i="19"/>
  <c r="D1239" i="19"/>
  <c r="D1238" i="19"/>
  <c r="D1237" i="19"/>
  <c r="D1236" i="19"/>
  <c r="D1235" i="19"/>
  <c r="D1234" i="19"/>
  <c r="D1233" i="19"/>
  <c r="D1232" i="19"/>
  <c r="D1231" i="19"/>
  <c r="D1230" i="19"/>
  <c r="D1229" i="19"/>
  <c r="D1228" i="19"/>
  <c r="D1227" i="19"/>
  <c r="D1226" i="19"/>
  <c r="D1225" i="19"/>
  <c r="D1224" i="19"/>
  <c r="D1223" i="19"/>
  <c r="D1222" i="19"/>
  <c r="D1221" i="19"/>
  <c r="D1220" i="19"/>
  <c r="D1219" i="19"/>
  <c r="D1218" i="19"/>
  <c r="D1217" i="19"/>
  <c r="D1216" i="19"/>
  <c r="D1215" i="19"/>
  <c r="D1214" i="19"/>
  <c r="D1213" i="19"/>
  <c r="D1212" i="19"/>
  <c r="D1211" i="19"/>
  <c r="D1210" i="19"/>
  <c r="D1209" i="19"/>
  <c r="D1208" i="19"/>
  <c r="D1207" i="19"/>
  <c r="D1206" i="19"/>
  <c r="D1205" i="19"/>
  <c r="D1204" i="19"/>
  <c r="D1203" i="19"/>
  <c r="D1202" i="19"/>
  <c r="D1201" i="19"/>
  <c r="D1200" i="19"/>
  <c r="D1199" i="19"/>
  <c r="D1198" i="19"/>
  <c r="D1197" i="19"/>
  <c r="D1196" i="19"/>
  <c r="D1195" i="19"/>
  <c r="D1194" i="19"/>
  <c r="D1193" i="19"/>
  <c r="D1192" i="19"/>
  <c r="D1191" i="19"/>
  <c r="D1190" i="19"/>
  <c r="D1189" i="19"/>
  <c r="D1188" i="19"/>
  <c r="D1187" i="19"/>
  <c r="D1186" i="19"/>
  <c r="D1185" i="19"/>
  <c r="D1184" i="19"/>
  <c r="D1183" i="19"/>
  <c r="D1182" i="19"/>
  <c r="D1181" i="19"/>
  <c r="D1180" i="19"/>
  <c r="D1179" i="19"/>
  <c r="D1178" i="19"/>
  <c r="D1177" i="19"/>
  <c r="D1176" i="19"/>
  <c r="D1175" i="19"/>
  <c r="D1174" i="19"/>
  <c r="D1173" i="19"/>
  <c r="D1172" i="19"/>
  <c r="D1171" i="19"/>
  <c r="D1170" i="19"/>
  <c r="D1169" i="19"/>
  <c r="D1168" i="19"/>
  <c r="D1167" i="19"/>
  <c r="D1166" i="19"/>
  <c r="D1165" i="19"/>
  <c r="D1164" i="19"/>
  <c r="D1163" i="19"/>
  <c r="D1162" i="19"/>
  <c r="D1161" i="19"/>
  <c r="D1160" i="19"/>
  <c r="D1159" i="19"/>
  <c r="D1158" i="19"/>
  <c r="D1157" i="19"/>
  <c r="D1156" i="19"/>
  <c r="D1155" i="19"/>
  <c r="D1154" i="19"/>
  <c r="D1153" i="19"/>
  <c r="D1152" i="19"/>
  <c r="D1151" i="19"/>
  <c r="D1150" i="19"/>
  <c r="D1149" i="19"/>
  <c r="D1148" i="19"/>
  <c r="D1147" i="19"/>
  <c r="D1146" i="19"/>
  <c r="D1145" i="19"/>
  <c r="D1144" i="19"/>
  <c r="D1143" i="19"/>
  <c r="D1142" i="19"/>
  <c r="D1141" i="19"/>
  <c r="D1140" i="19"/>
  <c r="D1139" i="19"/>
  <c r="D1138" i="19"/>
  <c r="D1137" i="19"/>
  <c r="D1136" i="19"/>
  <c r="D1135" i="19"/>
  <c r="D1134" i="19"/>
  <c r="D1133" i="19"/>
  <c r="D1132" i="19"/>
  <c r="D1131" i="19"/>
  <c r="D1130" i="19"/>
  <c r="D1129" i="19"/>
  <c r="D1128" i="19"/>
  <c r="D1127" i="19"/>
  <c r="D1126" i="19"/>
  <c r="D1125" i="19"/>
  <c r="D1124" i="19"/>
  <c r="D1123" i="19"/>
  <c r="D1122" i="19"/>
  <c r="D1121" i="19"/>
  <c r="D1120" i="19"/>
  <c r="D1119" i="19"/>
  <c r="D1118" i="19"/>
  <c r="D1117" i="19"/>
  <c r="D1116" i="19"/>
  <c r="D1115" i="19"/>
  <c r="D1114" i="19"/>
  <c r="D1113" i="19"/>
  <c r="D1112" i="19"/>
  <c r="D1111" i="19"/>
  <c r="D1110" i="19"/>
  <c r="D1109" i="19"/>
  <c r="D1108" i="19"/>
  <c r="D1107" i="19"/>
  <c r="D1106" i="19"/>
  <c r="D1105" i="19"/>
  <c r="D1104" i="19"/>
  <c r="D1103" i="19"/>
  <c r="D1102" i="19"/>
  <c r="D1101" i="19"/>
  <c r="D1100" i="19"/>
  <c r="D1099" i="19"/>
  <c r="D1098" i="19"/>
  <c r="D1097" i="19"/>
  <c r="D1096" i="19"/>
  <c r="D1095" i="19"/>
  <c r="D1094" i="19"/>
  <c r="D1093" i="19"/>
  <c r="D1092" i="19"/>
  <c r="D1091" i="19"/>
  <c r="D1090" i="19"/>
  <c r="D1089" i="19"/>
  <c r="D1088" i="19"/>
  <c r="D1087" i="19"/>
  <c r="D1086" i="19"/>
  <c r="D1085" i="19"/>
  <c r="D1084" i="19"/>
  <c r="D1083" i="19"/>
  <c r="D1082" i="19"/>
  <c r="D1081" i="19"/>
  <c r="D1080" i="19"/>
  <c r="D1079" i="19"/>
  <c r="D1078" i="19"/>
  <c r="D1077" i="19"/>
  <c r="D1076" i="19"/>
  <c r="D1075" i="19"/>
  <c r="D1074" i="19"/>
  <c r="D1073" i="19"/>
  <c r="D1072" i="19"/>
  <c r="D1071" i="19"/>
  <c r="D1070" i="19"/>
  <c r="D1069" i="19"/>
  <c r="D1068" i="19"/>
  <c r="D1067" i="19"/>
  <c r="D1066" i="19"/>
  <c r="D1065" i="19"/>
  <c r="D1064" i="19"/>
  <c r="D1063" i="19"/>
  <c r="D1062" i="19"/>
  <c r="D1061" i="19"/>
  <c r="D1060" i="19"/>
  <c r="D1059" i="19"/>
  <c r="D1058" i="19"/>
  <c r="D1057" i="19"/>
  <c r="D1056" i="19"/>
  <c r="D1055" i="19"/>
  <c r="D1054" i="19"/>
  <c r="D1053" i="19"/>
  <c r="D1052" i="19"/>
  <c r="D1051" i="19"/>
  <c r="D1050" i="19"/>
  <c r="D1049" i="19"/>
  <c r="D1048" i="19"/>
  <c r="D1047" i="19"/>
  <c r="D1046" i="19"/>
  <c r="D1045" i="19"/>
  <c r="D1044" i="19"/>
  <c r="D1043" i="19"/>
  <c r="D1042" i="19"/>
  <c r="D1041" i="19"/>
  <c r="D1040" i="19"/>
  <c r="D1039" i="19"/>
  <c r="D1038" i="19"/>
  <c r="D1037" i="19"/>
  <c r="D1036" i="19"/>
  <c r="D1035" i="19"/>
  <c r="D1034" i="19"/>
  <c r="D1033" i="19"/>
  <c r="D1032" i="19"/>
  <c r="D1031" i="19"/>
  <c r="D1030" i="19"/>
  <c r="D1029" i="19"/>
  <c r="D1028" i="19"/>
  <c r="D1027" i="19"/>
  <c r="D1026" i="19"/>
  <c r="D1025" i="19"/>
  <c r="D1024" i="19"/>
  <c r="D1023" i="19"/>
  <c r="D1022" i="19"/>
  <c r="D1021" i="19"/>
  <c r="D1020" i="19"/>
  <c r="D1019" i="19"/>
  <c r="D1018" i="19"/>
  <c r="D1017" i="19"/>
  <c r="D1016" i="19"/>
  <c r="D1015" i="19"/>
  <c r="D1014" i="19"/>
  <c r="D1013" i="19"/>
  <c r="D1012" i="19"/>
  <c r="D1011" i="19"/>
  <c r="D1010" i="19"/>
  <c r="D1009" i="19"/>
  <c r="D1008" i="19"/>
  <c r="D1007" i="19"/>
  <c r="D1006" i="19"/>
  <c r="D1005" i="19"/>
  <c r="D1004" i="19"/>
  <c r="D1003" i="19"/>
  <c r="D1002" i="19"/>
  <c r="D1001" i="19"/>
  <c r="D1000" i="19"/>
  <c r="D999" i="19"/>
  <c r="D998" i="19"/>
  <c r="D997" i="19"/>
  <c r="D996" i="19"/>
  <c r="D995" i="19"/>
  <c r="D994" i="19"/>
  <c r="D993" i="19"/>
  <c r="D992" i="19"/>
  <c r="D991" i="19"/>
  <c r="D990" i="19"/>
  <c r="D989" i="19"/>
  <c r="D988" i="19"/>
  <c r="D987" i="19"/>
  <c r="D986" i="19"/>
  <c r="D985" i="19"/>
  <c r="D984" i="19"/>
  <c r="D983" i="19"/>
  <c r="D982" i="19"/>
  <c r="D981" i="19"/>
  <c r="D980" i="19"/>
  <c r="D979" i="19"/>
  <c r="D978" i="19"/>
  <c r="D977" i="19"/>
  <c r="D976" i="19"/>
  <c r="D975" i="19"/>
  <c r="D974" i="19"/>
  <c r="D973" i="19"/>
  <c r="D972" i="19"/>
  <c r="D971" i="19"/>
  <c r="D970" i="19"/>
  <c r="D969" i="19"/>
  <c r="D968" i="19"/>
  <c r="D967" i="19"/>
  <c r="D966" i="19"/>
  <c r="D965" i="19"/>
  <c r="D964" i="19"/>
  <c r="D963" i="19"/>
  <c r="D962" i="19"/>
  <c r="D961" i="19"/>
  <c r="D960" i="19"/>
  <c r="D959" i="19"/>
  <c r="D958" i="19"/>
  <c r="D957" i="19"/>
  <c r="D956" i="19"/>
  <c r="D955" i="19"/>
  <c r="D954" i="19"/>
  <c r="D953" i="19"/>
  <c r="D952" i="19"/>
  <c r="D951" i="19"/>
  <c r="D950" i="19"/>
  <c r="D949" i="19"/>
  <c r="D948" i="19"/>
  <c r="D947" i="19"/>
  <c r="D946" i="19"/>
  <c r="D945" i="19"/>
  <c r="D944" i="19"/>
  <c r="D943" i="19"/>
  <c r="D942" i="19"/>
  <c r="D941" i="19"/>
  <c r="D940" i="19"/>
  <c r="D939" i="19"/>
  <c r="D938" i="19"/>
  <c r="D937" i="19"/>
  <c r="D936" i="19"/>
  <c r="D935" i="19"/>
  <c r="D934" i="19"/>
  <c r="D933" i="19"/>
  <c r="D932" i="19"/>
  <c r="D931" i="19"/>
  <c r="D930" i="19"/>
  <c r="D929" i="19"/>
  <c r="D928" i="19"/>
  <c r="D927" i="19"/>
  <c r="D926" i="19"/>
  <c r="D925" i="19"/>
  <c r="D924" i="19"/>
  <c r="D923" i="19"/>
  <c r="D922" i="19"/>
  <c r="D921" i="19"/>
  <c r="D920" i="19"/>
  <c r="D919" i="19"/>
  <c r="D918" i="19"/>
  <c r="D917" i="19"/>
  <c r="D916" i="19"/>
  <c r="D915" i="19"/>
  <c r="D914" i="19"/>
  <c r="D913" i="19"/>
  <c r="D912" i="19"/>
  <c r="D911" i="19"/>
  <c r="D910" i="19"/>
  <c r="D909" i="19"/>
  <c r="D908" i="19"/>
  <c r="D907" i="19"/>
  <c r="D906" i="19"/>
  <c r="D905" i="19"/>
  <c r="D904" i="19"/>
  <c r="D903" i="19"/>
  <c r="D902" i="19"/>
  <c r="D901" i="19"/>
  <c r="D900" i="19"/>
  <c r="D899" i="19"/>
  <c r="D898" i="19"/>
  <c r="D897" i="19"/>
  <c r="D896" i="19"/>
  <c r="D895" i="19"/>
  <c r="D894" i="19"/>
  <c r="D893" i="19"/>
  <c r="D892" i="19"/>
  <c r="D891" i="19"/>
  <c r="D890" i="19"/>
  <c r="D889" i="19"/>
  <c r="D888" i="19"/>
  <c r="D887" i="19"/>
  <c r="D886" i="19"/>
  <c r="D885" i="19"/>
  <c r="D884" i="19"/>
  <c r="D883" i="19"/>
  <c r="D882" i="19"/>
  <c r="D881" i="19"/>
  <c r="D880" i="19"/>
  <c r="D879" i="19"/>
  <c r="D878" i="19"/>
  <c r="D877" i="19"/>
  <c r="D876" i="19"/>
  <c r="D875" i="19"/>
  <c r="D874" i="19"/>
  <c r="D873" i="19"/>
  <c r="D872" i="19"/>
  <c r="D871" i="19"/>
  <c r="D870" i="19"/>
  <c r="D869" i="19"/>
  <c r="D868" i="19"/>
  <c r="D867" i="19"/>
  <c r="D866" i="19"/>
  <c r="D865" i="19"/>
  <c r="D864" i="19"/>
  <c r="D863" i="19"/>
  <c r="D862" i="19"/>
  <c r="D861" i="19"/>
  <c r="D860" i="19"/>
  <c r="D859" i="19"/>
  <c r="D858" i="19"/>
  <c r="D857" i="19"/>
  <c r="D856" i="19"/>
  <c r="D855" i="19"/>
  <c r="D854" i="19"/>
  <c r="D853" i="19"/>
  <c r="D852" i="19"/>
  <c r="D851" i="19"/>
  <c r="D850" i="19"/>
  <c r="D849" i="19"/>
  <c r="D848" i="19"/>
  <c r="D847" i="19"/>
  <c r="D846" i="19"/>
  <c r="D845" i="19"/>
  <c r="D844" i="19"/>
  <c r="D843" i="19"/>
  <c r="D842" i="19"/>
  <c r="D841" i="19"/>
  <c r="D840" i="19"/>
  <c r="D839" i="19"/>
  <c r="D838" i="19"/>
  <c r="D837" i="19"/>
  <c r="D836" i="19"/>
  <c r="D835" i="19"/>
  <c r="D834" i="19"/>
  <c r="D833" i="19"/>
  <c r="D832" i="19"/>
  <c r="D831" i="19"/>
  <c r="D830" i="19"/>
  <c r="D829" i="19"/>
  <c r="D828" i="19"/>
  <c r="D827" i="19"/>
  <c r="D826" i="19"/>
  <c r="D825" i="19"/>
  <c r="D824" i="19"/>
  <c r="D823" i="19"/>
  <c r="D822" i="19"/>
  <c r="D821" i="19"/>
  <c r="D820" i="19"/>
  <c r="D819" i="19"/>
  <c r="D818" i="19"/>
  <c r="D817" i="19"/>
  <c r="D816" i="19"/>
  <c r="D815" i="19"/>
  <c r="D814" i="19"/>
  <c r="D813" i="19"/>
  <c r="D812" i="19"/>
  <c r="D811" i="19"/>
  <c r="D810" i="19"/>
  <c r="D809" i="19"/>
  <c r="D808" i="19"/>
  <c r="D807" i="19"/>
  <c r="D806" i="19"/>
  <c r="D805" i="19"/>
  <c r="D804" i="19"/>
  <c r="D803" i="19"/>
  <c r="D802" i="19"/>
  <c r="D801" i="19"/>
  <c r="D800" i="19"/>
  <c r="D799" i="19"/>
  <c r="D798" i="19"/>
  <c r="D797" i="19"/>
  <c r="D796" i="19"/>
  <c r="D795" i="19"/>
  <c r="D794" i="19"/>
  <c r="D793" i="19"/>
  <c r="D792" i="19"/>
  <c r="D791" i="19"/>
  <c r="D790" i="19"/>
  <c r="D789" i="19"/>
  <c r="D788" i="19"/>
  <c r="D787" i="19"/>
  <c r="D786" i="19"/>
  <c r="D785" i="19"/>
  <c r="D784" i="19"/>
  <c r="D783" i="19"/>
  <c r="D782" i="19"/>
  <c r="D781" i="19"/>
  <c r="D780" i="19"/>
  <c r="D779" i="19"/>
  <c r="D778" i="19"/>
  <c r="D777" i="19"/>
  <c r="D776" i="19"/>
  <c r="D775" i="19"/>
  <c r="D774" i="19"/>
  <c r="D773" i="19"/>
  <c r="D772" i="19"/>
  <c r="D771" i="19"/>
  <c r="D770" i="19"/>
  <c r="D769" i="19"/>
  <c r="D768" i="19"/>
  <c r="D767" i="19"/>
  <c r="D766" i="19"/>
  <c r="D765" i="19"/>
  <c r="D764" i="19"/>
  <c r="D763" i="19"/>
  <c r="D762" i="19"/>
  <c r="D761" i="19"/>
  <c r="D760" i="19"/>
  <c r="D759" i="19"/>
  <c r="D758" i="19"/>
  <c r="D757" i="19"/>
  <c r="D756" i="19"/>
  <c r="D755" i="19"/>
  <c r="D754" i="19"/>
  <c r="D753" i="19"/>
  <c r="D752" i="19"/>
  <c r="D751" i="19"/>
  <c r="D750" i="19"/>
  <c r="D749" i="19"/>
  <c r="D748" i="19"/>
  <c r="D747" i="19"/>
  <c r="D746" i="19"/>
  <c r="D745" i="19"/>
  <c r="D744" i="19"/>
  <c r="D743" i="19"/>
  <c r="D742" i="19"/>
  <c r="D741" i="19"/>
  <c r="D740" i="19"/>
  <c r="D739" i="19"/>
  <c r="D738" i="19"/>
  <c r="D737" i="19"/>
  <c r="D736" i="19"/>
  <c r="D735" i="19"/>
  <c r="D734" i="19"/>
  <c r="D733" i="19"/>
  <c r="D732" i="19"/>
  <c r="D731" i="19"/>
  <c r="D730" i="19"/>
  <c r="D729" i="19"/>
  <c r="D728" i="19"/>
  <c r="D727" i="19"/>
  <c r="D726" i="19"/>
  <c r="D725" i="19"/>
  <c r="D724" i="19"/>
  <c r="D723" i="19"/>
  <c r="D722" i="19"/>
  <c r="D721" i="19"/>
  <c r="D720" i="19"/>
  <c r="D719" i="19"/>
  <c r="D718" i="19"/>
  <c r="D717" i="19"/>
  <c r="D716" i="19"/>
  <c r="D715" i="19"/>
  <c r="D714" i="19"/>
  <c r="D713" i="19"/>
  <c r="D712" i="19"/>
  <c r="D711" i="19"/>
  <c r="D710" i="19"/>
  <c r="D709" i="19"/>
  <c r="D708" i="19"/>
  <c r="D707" i="19"/>
  <c r="D706" i="19"/>
  <c r="D705" i="19"/>
  <c r="D704" i="19"/>
  <c r="D703" i="19"/>
  <c r="D702" i="19"/>
  <c r="D701" i="19"/>
  <c r="D700" i="19"/>
  <c r="D699" i="19"/>
  <c r="D698" i="19"/>
  <c r="D697" i="19"/>
  <c r="D696" i="19"/>
  <c r="D695" i="19"/>
  <c r="D694" i="19"/>
  <c r="D693" i="19"/>
  <c r="D692" i="19"/>
  <c r="D691" i="19"/>
  <c r="D690" i="19"/>
  <c r="D689" i="19"/>
  <c r="D688" i="19"/>
  <c r="D687" i="19"/>
  <c r="D686" i="19"/>
  <c r="D685" i="19"/>
  <c r="D684" i="19"/>
  <c r="D683" i="19"/>
  <c r="D682" i="19"/>
  <c r="D681" i="19"/>
  <c r="D680" i="19"/>
  <c r="D679" i="19"/>
  <c r="D678" i="19"/>
  <c r="D677" i="19"/>
  <c r="D676" i="19"/>
  <c r="D675" i="19"/>
  <c r="D674" i="19"/>
  <c r="D673" i="19"/>
  <c r="D672" i="19"/>
  <c r="D671" i="19"/>
  <c r="D670" i="19"/>
  <c r="D669" i="19"/>
  <c r="D668" i="19"/>
  <c r="D667" i="19"/>
  <c r="D666" i="19"/>
  <c r="D665" i="19"/>
  <c r="D664" i="19"/>
  <c r="D663" i="19"/>
  <c r="D662" i="19"/>
  <c r="D661" i="19"/>
  <c r="D660" i="19"/>
  <c r="D659" i="19"/>
  <c r="D658" i="19"/>
  <c r="D657" i="19"/>
  <c r="D656" i="19"/>
  <c r="D655" i="19"/>
  <c r="D654" i="19"/>
  <c r="D653" i="19"/>
  <c r="D652" i="19"/>
  <c r="D651" i="19"/>
  <c r="D650" i="19"/>
  <c r="D649" i="19"/>
  <c r="D648" i="19"/>
  <c r="D647" i="19"/>
  <c r="D646" i="19"/>
  <c r="D645" i="19"/>
  <c r="D644" i="19"/>
  <c r="D643" i="19"/>
  <c r="D642" i="19"/>
  <c r="D641" i="19"/>
  <c r="D640" i="19"/>
  <c r="D639" i="19"/>
  <c r="D638" i="19"/>
  <c r="D637" i="19"/>
  <c r="D636" i="19"/>
  <c r="D635" i="19"/>
  <c r="D634" i="19"/>
  <c r="D633" i="19"/>
  <c r="D632" i="19"/>
  <c r="D631" i="19"/>
  <c r="D630" i="19"/>
  <c r="D629" i="19"/>
  <c r="D628" i="19"/>
  <c r="D627" i="19"/>
  <c r="D626" i="19"/>
  <c r="D625" i="19"/>
  <c r="D624" i="19"/>
  <c r="D623" i="19"/>
  <c r="D622" i="19"/>
  <c r="D621" i="19"/>
  <c r="D620" i="19"/>
  <c r="D619" i="19"/>
  <c r="D618" i="19"/>
  <c r="D617" i="19"/>
  <c r="D616" i="19"/>
  <c r="D615" i="19"/>
  <c r="D614" i="19"/>
  <c r="D613" i="19"/>
  <c r="D612" i="19"/>
  <c r="D611" i="19"/>
  <c r="D610" i="19"/>
  <c r="D609" i="19"/>
  <c r="D608" i="19"/>
  <c r="D607" i="19"/>
  <c r="D606" i="19"/>
  <c r="D605" i="19"/>
  <c r="D604" i="19"/>
  <c r="D603" i="19"/>
  <c r="D602" i="19"/>
  <c r="D601" i="19"/>
  <c r="D600" i="19"/>
  <c r="D599" i="19"/>
  <c r="D598" i="19"/>
  <c r="D597" i="19"/>
  <c r="D596" i="19"/>
  <c r="D595" i="19"/>
  <c r="D594" i="19"/>
  <c r="D593" i="19"/>
  <c r="D592" i="19"/>
  <c r="D591" i="19"/>
  <c r="D590" i="19"/>
  <c r="D589" i="19"/>
  <c r="D588" i="19"/>
  <c r="D587" i="19"/>
  <c r="D586" i="19"/>
  <c r="D585" i="19"/>
  <c r="D584" i="19"/>
  <c r="D583" i="19"/>
  <c r="D582" i="19"/>
  <c r="D581" i="19"/>
  <c r="D580" i="19"/>
  <c r="D579" i="19"/>
  <c r="D578" i="19"/>
  <c r="D577" i="19"/>
  <c r="D576" i="19"/>
  <c r="D575" i="19"/>
  <c r="D574" i="19"/>
  <c r="D573" i="19"/>
  <c r="D572" i="19"/>
  <c r="D571" i="19"/>
  <c r="D570" i="19"/>
  <c r="D569" i="19"/>
  <c r="D568" i="19"/>
  <c r="D567" i="19"/>
  <c r="D566" i="19"/>
  <c r="D565" i="19"/>
  <c r="D564" i="19"/>
  <c r="D563" i="19"/>
  <c r="D562" i="19"/>
  <c r="D561" i="19"/>
  <c r="D560" i="19"/>
  <c r="D559" i="19"/>
  <c r="D558" i="19"/>
  <c r="D557" i="19"/>
  <c r="D556" i="19"/>
  <c r="D555" i="19"/>
  <c r="D554" i="19"/>
  <c r="D553" i="19"/>
  <c r="D552" i="19"/>
  <c r="D551" i="19"/>
  <c r="D550" i="19"/>
  <c r="D549" i="19"/>
  <c r="D548" i="19"/>
  <c r="D547" i="19"/>
  <c r="D546" i="19"/>
  <c r="D545" i="19"/>
  <c r="D544" i="19"/>
  <c r="D543" i="19"/>
  <c r="D542" i="19"/>
  <c r="D541" i="19"/>
  <c r="D540" i="19"/>
  <c r="D539" i="19"/>
  <c r="D538" i="19"/>
  <c r="D537" i="19"/>
  <c r="D536" i="19"/>
  <c r="D535" i="19"/>
  <c r="D534" i="19"/>
  <c r="D533" i="19"/>
  <c r="D532" i="19"/>
  <c r="D531" i="19"/>
  <c r="D530" i="19"/>
  <c r="D529" i="19"/>
  <c r="D528" i="19"/>
  <c r="D527" i="19"/>
  <c r="D526" i="19"/>
  <c r="D525" i="19"/>
  <c r="D524" i="19"/>
  <c r="D523" i="19"/>
  <c r="D522" i="19"/>
  <c r="D521" i="19"/>
  <c r="D520" i="19"/>
  <c r="D519" i="19"/>
  <c r="D518" i="19"/>
  <c r="D517" i="19"/>
  <c r="D516" i="19"/>
  <c r="D515" i="19"/>
  <c r="D514" i="19"/>
  <c r="D513" i="19"/>
  <c r="D512" i="19"/>
  <c r="D511" i="19"/>
  <c r="D510" i="19"/>
  <c r="D509" i="19"/>
  <c r="D508" i="19"/>
  <c r="D507" i="19"/>
  <c r="D506" i="19"/>
  <c r="D505" i="19"/>
  <c r="D504" i="19"/>
  <c r="D503" i="19"/>
  <c r="D502" i="19"/>
  <c r="D501" i="19"/>
  <c r="D500" i="19"/>
  <c r="D499" i="19"/>
  <c r="D498" i="19"/>
  <c r="D497" i="19"/>
  <c r="D496" i="19"/>
  <c r="D495" i="19"/>
  <c r="D494" i="19"/>
  <c r="D493" i="19"/>
  <c r="D492" i="19"/>
  <c r="D491" i="19"/>
  <c r="D490" i="19"/>
  <c r="D489" i="19"/>
  <c r="D488" i="19"/>
  <c r="D487" i="19"/>
  <c r="D486" i="19"/>
  <c r="D485" i="19"/>
  <c r="D484" i="19"/>
  <c r="D483" i="19"/>
  <c r="D482" i="19"/>
  <c r="D481" i="19"/>
  <c r="D480" i="19"/>
  <c r="D479" i="19"/>
  <c r="D478" i="19"/>
  <c r="D477" i="19"/>
  <c r="D476" i="19"/>
  <c r="D475" i="19"/>
  <c r="D474" i="19"/>
  <c r="D473" i="19"/>
  <c r="D472" i="19"/>
  <c r="D471" i="19"/>
  <c r="D470" i="19"/>
  <c r="D469" i="19"/>
  <c r="D468" i="19"/>
  <c r="D467" i="19"/>
  <c r="D466" i="19"/>
  <c r="D465" i="19"/>
  <c r="D464" i="19"/>
  <c r="D463" i="19"/>
  <c r="D462" i="19"/>
  <c r="D461" i="19"/>
  <c r="D460" i="19"/>
  <c r="D459" i="19"/>
  <c r="D458" i="19"/>
  <c r="D457" i="19"/>
  <c r="D456" i="19"/>
  <c r="D455" i="19"/>
  <c r="D454" i="19"/>
  <c r="D453" i="19"/>
  <c r="D452" i="19"/>
  <c r="D451" i="19"/>
  <c r="D450" i="19"/>
  <c r="D449" i="19"/>
  <c r="D448" i="19"/>
  <c r="D447" i="19"/>
  <c r="D446" i="19"/>
  <c r="D445" i="19"/>
  <c r="D444" i="19"/>
  <c r="D443" i="19"/>
  <c r="D442" i="19"/>
  <c r="D441" i="19"/>
  <c r="D440" i="19"/>
  <c r="D439" i="19"/>
  <c r="D438" i="19"/>
  <c r="D437" i="19"/>
  <c r="D436" i="19"/>
  <c r="D435" i="19"/>
  <c r="D434" i="19"/>
  <c r="D433" i="19"/>
  <c r="D432" i="19"/>
  <c r="D431" i="19"/>
  <c r="D430" i="19"/>
  <c r="D429" i="19"/>
  <c r="D428" i="19"/>
  <c r="D427" i="19"/>
  <c r="D426" i="19"/>
  <c r="D425" i="19"/>
  <c r="D424" i="19"/>
  <c r="D423" i="19"/>
  <c r="D422" i="19"/>
  <c r="D421" i="19"/>
  <c r="D420" i="19"/>
  <c r="D419" i="19"/>
  <c r="D418" i="19"/>
  <c r="D417" i="19"/>
  <c r="D416" i="19"/>
  <c r="D415" i="19"/>
  <c r="D414" i="19"/>
  <c r="D413" i="19"/>
  <c r="D412" i="19"/>
  <c r="D411" i="19"/>
  <c r="D410" i="19"/>
  <c r="D409" i="19"/>
  <c r="D408" i="19"/>
  <c r="D407" i="19"/>
  <c r="D406" i="19"/>
  <c r="D405" i="19"/>
  <c r="D404" i="19"/>
  <c r="D403" i="19"/>
  <c r="D402" i="19"/>
  <c r="D401" i="19"/>
  <c r="D400" i="19"/>
  <c r="D399" i="19"/>
  <c r="D398" i="19"/>
  <c r="D397" i="19"/>
  <c r="D396" i="19"/>
  <c r="D395" i="19"/>
  <c r="D394" i="19"/>
  <c r="D393" i="19"/>
  <c r="D392" i="19"/>
  <c r="D391" i="19"/>
  <c r="D390" i="19"/>
  <c r="D389" i="19"/>
  <c r="D388" i="19"/>
  <c r="D387" i="19"/>
  <c r="D386" i="19"/>
  <c r="D385" i="19"/>
  <c r="D384" i="19"/>
  <c r="D383" i="19"/>
  <c r="D382" i="19"/>
  <c r="D381" i="19"/>
  <c r="D380" i="19"/>
  <c r="D379" i="19"/>
  <c r="D378" i="19"/>
  <c r="D377" i="19"/>
  <c r="D376" i="19"/>
  <c r="D375" i="19"/>
  <c r="D374" i="19"/>
  <c r="D373" i="19"/>
  <c r="D372" i="19"/>
  <c r="D371" i="19"/>
  <c r="D370" i="19"/>
  <c r="D369" i="19"/>
  <c r="D368" i="19"/>
  <c r="D367" i="19"/>
  <c r="D366" i="19"/>
  <c r="D365" i="19"/>
  <c r="D364" i="19"/>
  <c r="D363" i="19"/>
  <c r="D362" i="19"/>
  <c r="D361" i="19"/>
  <c r="D360" i="19"/>
  <c r="D359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6" i="19"/>
  <c r="D345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4" i="19"/>
  <c r="D253" i="19"/>
  <c r="D252" i="19"/>
  <c r="D251" i="19"/>
  <c r="D250" i="19"/>
  <c r="D249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I100" i="20" l="1"/>
  <c r="E100" i="20"/>
  <c r="D100" i="20"/>
  <c r="J100" i="20"/>
  <c r="K99" i="20"/>
  <c r="L99" i="20" s="1"/>
  <c r="M99" i="20" s="1"/>
  <c r="N99" i="20" s="1"/>
  <c r="A101" i="20" s="1"/>
  <c r="E72" i="23"/>
  <c r="C83" i="20"/>
  <c r="C82" i="20"/>
  <c r="C85" i="20"/>
  <c r="C84" i="20"/>
  <c r="C74" i="20"/>
  <c r="C73" i="20"/>
  <c r="C80" i="20"/>
  <c r="C79" i="20"/>
  <c r="C76" i="20"/>
  <c r="C75" i="20"/>
  <c r="C71" i="20"/>
  <c r="C70" i="20"/>
  <c r="C69" i="20"/>
  <c r="C68" i="20"/>
  <c r="C67" i="20"/>
  <c r="C66" i="20"/>
  <c r="C65" i="20"/>
  <c r="C64" i="20"/>
  <c r="C63" i="20"/>
  <c r="C60" i="20"/>
  <c r="C59" i="20"/>
  <c r="C58" i="20"/>
  <c r="C57" i="20"/>
  <c r="C56" i="20"/>
  <c r="C54" i="20"/>
  <c r="C53" i="20"/>
  <c r="C31" i="20"/>
  <c r="C30" i="20"/>
  <c r="C37" i="20"/>
  <c r="C36" i="20"/>
  <c r="C35" i="20"/>
  <c r="C34" i="20"/>
  <c r="C33" i="20"/>
  <c r="C32" i="20"/>
  <c r="C27" i="20"/>
  <c r="C28" i="20"/>
  <c r="C29" i="20"/>
  <c r="C26" i="20"/>
  <c r="J4" i="30"/>
  <c r="G24" i="36"/>
  <c r="K14" i="43" s="1"/>
  <c r="G26" i="36"/>
  <c r="K11" i="43" s="1"/>
  <c r="G22" i="36"/>
  <c r="K8" i="43" s="1"/>
  <c r="G19" i="36"/>
  <c r="H14" i="43" s="1"/>
  <c r="G18" i="36"/>
  <c r="H11" i="43" s="1"/>
  <c r="G17" i="36"/>
  <c r="H8" i="43" s="1"/>
  <c r="G16" i="36"/>
  <c r="E14" i="43" s="1"/>
  <c r="G15" i="36"/>
  <c r="E11" i="43" s="1"/>
  <c r="G14" i="36"/>
  <c r="E8" i="43" s="1"/>
  <c r="C12" i="51"/>
  <c r="D21" i="50"/>
  <c r="D20" i="50"/>
  <c r="D18" i="50"/>
  <c r="E102" i="23"/>
  <c r="AJ51" i="30"/>
  <c r="AJ52" i="30"/>
  <c r="AJ53" i="30"/>
  <c r="AJ54" i="30"/>
  <c r="AJ55" i="30"/>
  <c r="AJ56" i="30"/>
  <c r="AJ57" i="30"/>
  <c r="AJ58" i="30"/>
  <c r="AJ59" i="30"/>
  <c r="AJ60" i="30"/>
  <c r="AJ61" i="30"/>
  <c r="AJ62" i="30"/>
  <c r="AJ63" i="30"/>
  <c r="AJ64" i="30"/>
  <c r="AJ65" i="30"/>
  <c r="AJ66" i="30"/>
  <c r="AJ67" i="30"/>
  <c r="AJ68" i="30"/>
  <c r="AJ69" i="30"/>
  <c r="AJ70" i="30"/>
  <c r="AJ71" i="30"/>
  <c r="AJ72" i="30"/>
  <c r="AJ73" i="30"/>
  <c r="AJ74" i="30"/>
  <c r="AJ75" i="30"/>
  <c r="AJ76" i="30"/>
  <c r="AJ77" i="30"/>
  <c r="AJ78" i="30"/>
  <c r="AD51" i="30"/>
  <c r="AE51" i="30" s="1"/>
  <c r="AF51" i="30" s="1"/>
  <c r="AD52" i="30"/>
  <c r="AE52" i="30" s="1"/>
  <c r="AF52" i="30" s="1"/>
  <c r="AG52" i="30" s="1"/>
  <c r="AI52" i="30" s="1"/>
  <c r="AD53" i="30"/>
  <c r="AE53" i="30" s="1"/>
  <c r="AF53" i="30" s="1"/>
  <c r="AD54" i="30"/>
  <c r="AE54" i="30" s="1"/>
  <c r="AF54" i="30" s="1"/>
  <c r="AD55" i="30"/>
  <c r="AE55" i="30" s="1"/>
  <c r="AF55" i="30" s="1"/>
  <c r="AG55" i="30" s="1"/>
  <c r="AI55" i="30" s="1"/>
  <c r="AD56" i="30"/>
  <c r="AE56" i="30" s="1"/>
  <c r="AF56" i="30" s="1"/>
  <c r="AD57" i="30"/>
  <c r="AE57" i="30" s="1"/>
  <c r="AF57" i="30" s="1"/>
  <c r="AD58" i="30"/>
  <c r="AE58" i="30" s="1"/>
  <c r="AF58" i="30" s="1"/>
  <c r="AD59" i="30"/>
  <c r="AE59" i="30" s="1"/>
  <c r="AF59" i="30" s="1"/>
  <c r="AH59" i="30" s="1"/>
  <c r="AD60" i="30"/>
  <c r="AE60" i="30" s="1"/>
  <c r="AF60" i="30" s="1"/>
  <c r="AG60" i="30" s="1"/>
  <c r="AI60" i="30" s="1"/>
  <c r="AD61" i="30"/>
  <c r="AE61" i="30" s="1"/>
  <c r="AF61" i="30" s="1"/>
  <c r="AD62" i="30"/>
  <c r="AE62" i="30" s="1"/>
  <c r="AF62" i="30" s="1"/>
  <c r="AH62" i="30" s="1"/>
  <c r="AD63" i="30"/>
  <c r="AE63" i="30" s="1"/>
  <c r="AF63" i="30" s="1"/>
  <c r="AD64" i="30"/>
  <c r="AE64" i="30" s="1"/>
  <c r="AF64" i="30" s="1"/>
  <c r="AD65" i="30"/>
  <c r="AE65" i="30" s="1"/>
  <c r="AF65" i="30" s="1"/>
  <c r="AD66" i="30"/>
  <c r="AE66" i="30" s="1"/>
  <c r="AF66" i="30" s="1"/>
  <c r="AG66" i="30" s="1"/>
  <c r="AI66" i="30" s="1"/>
  <c r="AD67" i="30"/>
  <c r="AE67" i="30" s="1"/>
  <c r="AF67" i="30" s="1"/>
  <c r="AD68" i="30"/>
  <c r="AE68" i="30" s="1"/>
  <c r="AF68" i="30" s="1"/>
  <c r="AD69" i="30"/>
  <c r="AE69" i="30" s="1"/>
  <c r="AF69" i="30" s="1"/>
  <c r="AD70" i="30"/>
  <c r="AE70" i="30" s="1"/>
  <c r="AF70" i="30" s="1"/>
  <c r="AD71" i="30"/>
  <c r="AE71" i="30" s="1"/>
  <c r="AF71" i="30" s="1"/>
  <c r="AG71" i="30" s="1"/>
  <c r="AI71" i="30" s="1"/>
  <c r="AD72" i="30"/>
  <c r="AE72" i="30" s="1"/>
  <c r="AF72" i="30" s="1"/>
  <c r="AG72" i="30" s="1"/>
  <c r="AI72" i="30" s="1"/>
  <c r="AD73" i="30"/>
  <c r="AE73" i="30" s="1"/>
  <c r="AF73" i="30" s="1"/>
  <c r="AD74" i="30"/>
  <c r="AE74" i="30" s="1"/>
  <c r="AF74" i="30" s="1"/>
  <c r="AH74" i="30" s="1"/>
  <c r="AD75" i="30"/>
  <c r="AE75" i="30" s="1"/>
  <c r="AF75" i="30" s="1"/>
  <c r="AH75" i="30" s="1"/>
  <c r="AD76" i="30"/>
  <c r="AE76" i="30" s="1"/>
  <c r="AF76" i="30" s="1"/>
  <c r="AD77" i="30"/>
  <c r="AE77" i="30" s="1"/>
  <c r="AF77" i="30" s="1"/>
  <c r="AH77" i="30" s="1"/>
  <c r="AD78" i="30"/>
  <c r="AE78" i="30" s="1"/>
  <c r="AF78" i="30" s="1"/>
  <c r="AJ15" i="30"/>
  <c r="AJ16" i="30"/>
  <c r="AJ17" i="30"/>
  <c r="AJ18" i="30"/>
  <c r="AJ19" i="30"/>
  <c r="AJ20" i="30"/>
  <c r="AJ21" i="30"/>
  <c r="AJ22" i="30"/>
  <c r="AJ23" i="30"/>
  <c r="AJ24" i="30"/>
  <c r="AJ25" i="30"/>
  <c r="AJ26" i="30"/>
  <c r="AJ27" i="30"/>
  <c r="AJ28" i="30"/>
  <c r="AJ29" i="30"/>
  <c r="AJ30" i="30"/>
  <c r="AJ31" i="30"/>
  <c r="AJ32" i="30"/>
  <c r="AJ33" i="30"/>
  <c r="AJ34" i="30"/>
  <c r="AJ35" i="30"/>
  <c r="AJ36" i="30"/>
  <c r="AJ37" i="30"/>
  <c r="AJ38" i="30"/>
  <c r="AJ39" i="30"/>
  <c r="AJ40" i="30"/>
  <c r="AJ41" i="30"/>
  <c r="AJ42" i="30"/>
  <c r="AJ43" i="30"/>
  <c r="AJ44" i="30"/>
  <c r="AJ45" i="30"/>
  <c r="AJ46" i="30"/>
  <c r="AJ47" i="30"/>
  <c r="AJ48" i="30"/>
  <c r="AJ49" i="30"/>
  <c r="AJ50" i="30"/>
  <c r="AJ3" i="30"/>
  <c r="AJ4" i="30" s="1"/>
  <c r="AJ5" i="30" s="1"/>
  <c r="AJ6" i="30" s="1"/>
  <c r="AJ7" i="30" s="1"/>
  <c r="AJ8" i="30" s="1"/>
  <c r="AJ9" i="30" s="1"/>
  <c r="AJ10" i="30" s="1"/>
  <c r="AJ11" i="30" s="1"/>
  <c r="AJ12" i="30" s="1"/>
  <c r="AJ13" i="30" s="1"/>
  <c r="AJ14" i="30" s="1"/>
  <c r="AD15" i="30"/>
  <c r="AE15" i="30" s="1"/>
  <c r="AF15" i="30" s="1"/>
  <c r="AG15" i="30" s="1"/>
  <c r="AI15" i="30" s="1"/>
  <c r="AD16" i="30"/>
  <c r="AE16" i="30" s="1"/>
  <c r="AF16" i="30" s="1"/>
  <c r="AH16" i="30" s="1"/>
  <c r="AD17" i="30"/>
  <c r="AE17" i="30" s="1"/>
  <c r="AF17" i="30" s="1"/>
  <c r="AD18" i="30"/>
  <c r="AE18" i="30" s="1"/>
  <c r="AF18" i="30" s="1"/>
  <c r="AD19" i="30"/>
  <c r="AE19" i="30" s="1"/>
  <c r="AF19" i="30" s="1"/>
  <c r="AH19" i="30" s="1"/>
  <c r="AD20" i="30"/>
  <c r="AE20" i="30" s="1"/>
  <c r="AF20" i="30" s="1"/>
  <c r="AD21" i="30"/>
  <c r="AE21" i="30" s="1"/>
  <c r="AF21" i="30" s="1"/>
  <c r="AD22" i="30"/>
  <c r="AE22" i="30" s="1"/>
  <c r="AF22" i="30" s="1"/>
  <c r="AG22" i="30" s="1"/>
  <c r="AI22" i="30" s="1"/>
  <c r="AD23" i="30"/>
  <c r="AE23" i="30" s="1"/>
  <c r="AF23" i="30" s="1"/>
  <c r="AH23" i="30" s="1"/>
  <c r="AD24" i="30"/>
  <c r="AE24" i="30" s="1"/>
  <c r="AF24" i="30" s="1"/>
  <c r="AH24" i="30" s="1"/>
  <c r="AD25" i="30"/>
  <c r="AE25" i="30" s="1"/>
  <c r="AF25" i="30" s="1"/>
  <c r="AD26" i="30"/>
  <c r="AE26" i="30" s="1"/>
  <c r="AF26" i="30" s="1"/>
  <c r="AD27" i="30"/>
  <c r="AE27" i="30" s="1"/>
  <c r="AF27" i="30" s="1"/>
  <c r="AD28" i="30"/>
  <c r="AE28" i="30" s="1"/>
  <c r="AF28" i="30" s="1"/>
  <c r="AH28" i="30" s="1"/>
  <c r="AD29" i="30"/>
  <c r="AE29" i="30" s="1"/>
  <c r="AF29" i="30" s="1"/>
  <c r="AH29" i="30" s="1"/>
  <c r="AD30" i="30"/>
  <c r="AE30" i="30" s="1"/>
  <c r="AF30" i="30" s="1"/>
  <c r="AH30" i="30" s="1"/>
  <c r="AD31" i="30"/>
  <c r="AE31" i="30" s="1"/>
  <c r="AF31" i="30" s="1"/>
  <c r="AD32" i="30"/>
  <c r="AE32" i="30" s="1"/>
  <c r="AF32" i="30" s="1"/>
  <c r="AD33" i="30"/>
  <c r="AE33" i="30" s="1"/>
  <c r="AF33" i="30" s="1"/>
  <c r="AG33" i="30" s="1"/>
  <c r="AI33" i="30" s="1"/>
  <c r="AD34" i="30"/>
  <c r="AE34" i="30" s="1"/>
  <c r="AF34" i="30" s="1"/>
  <c r="AD35" i="30"/>
  <c r="AE35" i="30" s="1"/>
  <c r="AF35" i="30" s="1"/>
  <c r="AG35" i="30" s="1"/>
  <c r="AI35" i="30" s="1"/>
  <c r="AD36" i="30"/>
  <c r="AE36" i="30" s="1"/>
  <c r="AF36" i="30" s="1"/>
  <c r="AH36" i="30" s="1"/>
  <c r="AD37" i="30"/>
  <c r="AE37" i="30" s="1"/>
  <c r="AF37" i="30" s="1"/>
  <c r="AH37" i="30" s="1"/>
  <c r="AD38" i="30"/>
  <c r="AE38" i="30" s="1"/>
  <c r="AF38" i="30" s="1"/>
  <c r="AH38" i="30" s="1"/>
  <c r="AD39" i="30"/>
  <c r="AE39" i="30" s="1"/>
  <c r="AF39" i="30" s="1"/>
  <c r="AD40" i="30"/>
  <c r="AE40" i="30" s="1"/>
  <c r="AF40" i="30" s="1"/>
  <c r="AH40" i="30" s="1"/>
  <c r="AD41" i="30"/>
  <c r="AE41" i="30" s="1"/>
  <c r="AF41" i="30" s="1"/>
  <c r="AD42" i="30"/>
  <c r="AE42" i="30" s="1"/>
  <c r="AF42" i="30" s="1"/>
  <c r="AH42" i="30" s="1"/>
  <c r="AD43" i="30"/>
  <c r="AE43" i="30" s="1"/>
  <c r="AF43" i="30" s="1"/>
  <c r="AD44" i="30"/>
  <c r="AE44" i="30" s="1"/>
  <c r="AF44" i="30" s="1"/>
  <c r="AH44" i="30" s="1"/>
  <c r="AD45" i="30"/>
  <c r="AE45" i="30" s="1"/>
  <c r="AF45" i="30" s="1"/>
  <c r="AD46" i="30"/>
  <c r="AE46" i="30" s="1"/>
  <c r="AF46" i="30" s="1"/>
  <c r="AD47" i="30"/>
  <c r="AE47" i="30" s="1"/>
  <c r="AF47" i="30" s="1"/>
  <c r="AD48" i="30"/>
  <c r="AE48" i="30" s="1"/>
  <c r="AF48" i="30" s="1"/>
  <c r="AH48" i="30" s="1"/>
  <c r="AD49" i="30"/>
  <c r="AE49" i="30" s="1"/>
  <c r="AF49" i="30" s="1"/>
  <c r="AD50" i="30"/>
  <c r="AE50" i="30" s="1"/>
  <c r="AF50" i="30" s="1"/>
  <c r="AD3" i="30"/>
  <c r="AE3" i="30" s="1"/>
  <c r="AC52" i="30"/>
  <c r="AC53" i="30"/>
  <c r="AC54" i="30"/>
  <c r="AC55" i="30"/>
  <c r="AC56" i="30"/>
  <c r="AC57" i="30"/>
  <c r="AC58" i="30"/>
  <c r="AC59" i="30"/>
  <c r="AC60" i="30"/>
  <c r="AC61" i="30"/>
  <c r="AC62" i="30"/>
  <c r="AC63" i="30"/>
  <c r="AC64" i="30"/>
  <c r="AC65" i="30"/>
  <c r="AC66" i="30"/>
  <c r="AC67" i="30"/>
  <c r="AC68" i="30"/>
  <c r="AC69" i="30"/>
  <c r="AC70" i="30"/>
  <c r="AC71" i="30"/>
  <c r="AC72" i="30"/>
  <c r="AC73" i="30"/>
  <c r="AC74" i="30"/>
  <c r="AC75" i="30"/>
  <c r="AC76" i="30"/>
  <c r="AC77" i="30"/>
  <c r="AC78" i="30"/>
  <c r="Z2" i="30"/>
  <c r="W47" i="58" s="1"/>
  <c r="W20" i="19"/>
  <c r="A14" i="46"/>
  <c r="C71" i="46" s="1"/>
  <c r="A14" i="44"/>
  <c r="C71" i="44" s="1"/>
  <c r="A2" i="46"/>
  <c r="C19" i="46" s="1"/>
  <c r="A2" i="44"/>
  <c r="C19" i="44" s="1"/>
  <c r="O14" i="43"/>
  <c r="P14" i="43" s="1"/>
  <c r="L14" i="43"/>
  <c r="M14" i="43" s="1"/>
  <c r="O8" i="43"/>
  <c r="P8" i="43" s="1"/>
  <c r="O11" i="43"/>
  <c r="P11" i="43" s="1"/>
  <c r="L8" i="43"/>
  <c r="M8" i="43" s="1"/>
  <c r="L11" i="43"/>
  <c r="M11" i="43" s="1"/>
  <c r="S8" i="43"/>
  <c r="AB1903" i="32"/>
  <c r="AB1902" i="32"/>
  <c r="AB1901" i="32"/>
  <c r="AB1900" i="32"/>
  <c r="AB1899" i="32"/>
  <c r="AB1898" i="32"/>
  <c r="AB1897" i="32"/>
  <c r="AB1896" i="32"/>
  <c r="AB1895" i="32"/>
  <c r="AB1894" i="32"/>
  <c r="AB1893" i="32"/>
  <c r="AB1892" i="32"/>
  <c r="AB1891" i="32"/>
  <c r="AB1890" i="32"/>
  <c r="AB1889" i="32"/>
  <c r="AB1888" i="32"/>
  <c r="AB1887" i="32"/>
  <c r="AB1886" i="32"/>
  <c r="AB1885" i="32"/>
  <c r="AB1884" i="32"/>
  <c r="AB1883" i="32"/>
  <c r="AB1882" i="32"/>
  <c r="AB1881" i="32"/>
  <c r="AB1880" i="32"/>
  <c r="AB1879" i="32"/>
  <c r="AB1878" i="32"/>
  <c r="AB1877" i="32"/>
  <c r="AB1876" i="32"/>
  <c r="AB1875" i="32"/>
  <c r="AB1874" i="32"/>
  <c r="AB1873" i="32"/>
  <c r="AB1872" i="32"/>
  <c r="AB1871" i="32"/>
  <c r="AB1870" i="32"/>
  <c r="AB1869" i="32"/>
  <c r="AB1868" i="32"/>
  <c r="AB1867" i="32"/>
  <c r="AB1866" i="32"/>
  <c r="AB1865" i="32"/>
  <c r="AB1864" i="32"/>
  <c r="AB1863" i="32"/>
  <c r="AB1862" i="32"/>
  <c r="AB1861" i="32"/>
  <c r="AB1860" i="32"/>
  <c r="AB1859" i="32"/>
  <c r="AB1858" i="32"/>
  <c r="AB1857" i="32"/>
  <c r="AB1856" i="32"/>
  <c r="AB1855" i="32"/>
  <c r="AB1854" i="32"/>
  <c r="AB1853" i="32"/>
  <c r="AB1852" i="32"/>
  <c r="AB1851" i="32"/>
  <c r="AB1850" i="32"/>
  <c r="AB1849" i="32"/>
  <c r="AB1848" i="32"/>
  <c r="AB1847" i="32"/>
  <c r="AB1846" i="32"/>
  <c r="AB1845" i="32"/>
  <c r="AB1844" i="32"/>
  <c r="AB1843" i="32"/>
  <c r="AB1842" i="32"/>
  <c r="AB1841" i="32"/>
  <c r="AB1840" i="32"/>
  <c r="AB1839" i="32"/>
  <c r="AB1838" i="32"/>
  <c r="AB1837" i="32"/>
  <c r="AB1836" i="32"/>
  <c r="AB1835" i="32"/>
  <c r="AB1834" i="32"/>
  <c r="AB1833" i="32"/>
  <c r="AB1832" i="32"/>
  <c r="AB1831" i="32"/>
  <c r="AB1830" i="32"/>
  <c r="AB1829" i="32"/>
  <c r="AB1828" i="32"/>
  <c r="AB1827" i="32"/>
  <c r="AB1826" i="32"/>
  <c r="AB1825" i="32"/>
  <c r="AB1824" i="32"/>
  <c r="AB1823" i="32"/>
  <c r="AB1822" i="32"/>
  <c r="AB1821" i="32"/>
  <c r="AB1820" i="32"/>
  <c r="AB1819" i="32"/>
  <c r="AB1818" i="32"/>
  <c r="AB1817" i="32"/>
  <c r="AB1816" i="32"/>
  <c r="AB1815" i="32"/>
  <c r="AB1814" i="32"/>
  <c r="AB1813" i="32"/>
  <c r="AB1812" i="32"/>
  <c r="AB1811" i="32"/>
  <c r="AB1810" i="32"/>
  <c r="AB1809" i="32"/>
  <c r="AB1808" i="32"/>
  <c r="AB1807" i="32"/>
  <c r="AB1806" i="32"/>
  <c r="AB1805" i="32"/>
  <c r="AB1804" i="32"/>
  <c r="AB1803" i="32"/>
  <c r="AB1802" i="32"/>
  <c r="AB1801" i="32"/>
  <c r="AB1800" i="32"/>
  <c r="AB1799" i="32"/>
  <c r="AB1798" i="32"/>
  <c r="AB1797" i="32"/>
  <c r="AB1796" i="32"/>
  <c r="AB1795" i="32"/>
  <c r="AB1794" i="32"/>
  <c r="AB1793" i="32"/>
  <c r="AB1792" i="32"/>
  <c r="AB1791" i="32"/>
  <c r="AB1790" i="32"/>
  <c r="AB1789" i="32"/>
  <c r="AB1788" i="32"/>
  <c r="AB1787" i="32"/>
  <c r="AB1786" i="32"/>
  <c r="AB1785" i="32"/>
  <c r="AB1784" i="32"/>
  <c r="AB1783" i="32"/>
  <c r="AB1782" i="32"/>
  <c r="AB1781" i="32"/>
  <c r="AB1780" i="32"/>
  <c r="AB1779" i="32"/>
  <c r="AB1778" i="32"/>
  <c r="AB1777" i="32"/>
  <c r="AB1776" i="32"/>
  <c r="AB1775" i="32"/>
  <c r="AB1774" i="32"/>
  <c r="AB1773" i="32"/>
  <c r="AB1772" i="32"/>
  <c r="AB1771" i="32"/>
  <c r="AB1770" i="32"/>
  <c r="AB1769" i="32"/>
  <c r="AB1768" i="32"/>
  <c r="AB1767" i="32"/>
  <c r="AB1766" i="32"/>
  <c r="AB1765" i="32"/>
  <c r="AB1764" i="32"/>
  <c r="AB1763" i="32"/>
  <c r="AB1762" i="32"/>
  <c r="AB1761" i="32"/>
  <c r="AB1760" i="32"/>
  <c r="AB1759" i="32"/>
  <c r="AB1758" i="32"/>
  <c r="AB1757" i="32"/>
  <c r="AB1756" i="32"/>
  <c r="AB1755" i="32"/>
  <c r="AB1754" i="32"/>
  <c r="AB1753" i="32"/>
  <c r="AB1752" i="32"/>
  <c r="AB1751" i="32"/>
  <c r="AB1750" i="32"/>
  <c r="AB1749" i="32"/>
  <c r="AB1748" i="32"/>
  <c r="AB1747" i="32"/>
  <c r="AB1746" i="32"/>
  <c r="AB1745" i="32"/>
  <c r="AB1744" i="32"/>
  <c r="AB1743" i="32"/>
  <c r="AB1742" i="32"/>
  <c r="AB1741" i="32"/>
  <c r="AB1740" i="32"/>
  <c r="AB1739" i="32"/>
  <c r="AB1738" i="32"/>
  <c r="AB1737" i="32"/>
  <c r="AB1736" i="32"/>
  <c r="AB1735" i="32"/>
  <c r="AB1734" i="32"/>
  <c r="AB1733" i="32"/>
  <c r="AB1732" i="32"/>
  <c r="AB1731" i="32"/>
  <c r="AB1730" i="32"/>
  <c r="AB1729" i="32"/>
  <c r="AB1728" i="32"/>
  <c r="AB1727" i="32"/>
  <c r="AB1726" i="32"/>
  <c r="AB1725" i="32"/>
  <c r="AB1724" i="32"/>
  <c r="AB1723" i="32"/>
  <c r="AB1722" i="32"/>
  <c r="AB1721" i="32"/>
  <c r="AB1720" i="32"/>
  <c r="AB1719" i="32"/>
  <c r="AB1718" i="32"/>
  <c r="AB1717" i="32"/>
  <c r="AB1716" i="32"/>
  <c r="AB1715" i="32"/>
  <c r="AB1714" i="32"/>
  <c r="AB1713" i="32"/>
  <c r="AB1712" i="32"/>
  <c r="AB1711" i="32"/>
  <c r="AB1710" i="32"/>
  <c r="AB1709" i="32"/>
  <c r="AB1708" i="32"/>
  <c r="AB1707" i="32"/>
  <c r="AB1706" i="32"/>
  <c r="AB1705" i="32"/>
  <c r="AB1704" i="32"/>
  <c r="AB1703" i="32"/>
  <c r="AB1702" i="32"/>
  <c r="AB1701" i="32"/>
  <c r="AB1700" i="32"/>
  <c r="AB1699" i="32"/>
  <c r="AB1698" i="32"/>
  <c r="AB1697" i="32"/>
  <c r="AB1696" i="32"/>
  <c r="AB1695" i="32"/>
  <c r="AB1694" i="32"/>
  <c r="AB1693" i="32"/>
  <c r="AB1692" i="32"/>
  <c r="AB1691" i="32"/>
  <c r="AB1690" i="32"/>
  <c r="AB1689" i="32"/>
  <c r="AB1688" i="32"/>
  <c r="AB1687" i="32"/>
  <c r="AB1686" i="32"/>
  <c r="AB1685" i="32"/>
  <c r="AB1684" i="32"/>
  <c r="AB1683" i="32"/>
  <c r="AB1682" i="32"/>
  <c r="AB1681" i="32"/>
  <c r="AB1680" i="32"/>
  <c r="AB1679" i="32"/>
  <c r="AB1678" i="32"/>
  <c r="AB1677" i="32"/>
  <c r="AB1676" i="32"/>
  <c r="AB1675" i="32"/>
  <c r="AB1674" i="32"/>
  <c r="AB1673" i="32"/>
  <c r="AB1672" i="32"/>
  <c r="AB1671" i="32"/>
  <c r="AB1670" i="32"/>
  <c r="AB1669" i="32"/>
  <c r="AB1668" i="32"/>
  <c r="AB1667" i="32"/>
  <c r="AB1666" i="32"/>
  <c r="AB1665" i="32"/>
  <c r="AB1664" i="32"/>
  <c r="AB1663" i="32"/>
  <c r="AB1662" i="32"/>
  <c r="AB1661" i="32"/>
  <c r="AB1660" i="32"/>
  <c r="AB1659" i="32"/>
  <c r="AB1658" i="32"/>
  <c r="AB1657" i="32"/>
  <c r="AB1656" i="32"/>
  <c r="AB1655" i="32"/>
  <c r="AB1654" i="32"/>
  <c r="AB1653" i="32"/>
  <c r="AB1652" i="32"/>
  <c r="AB1651" i="32"/>
  <c r="AB1650" i="32"/>
  <c r="AB1649" i="32"/>
  <c r="AB1648" i="32"/>
  <c r="AB1647" i="32"/>
  <c r="AB1646" i="32"/>
  <c r="AB1645" i="32"/>
  <c r="AB1644" i="32"/>
  <c r="AB1643" i="32"/>
  <c r="AB1642" i="32"/>
  <c r="AB1641" i="32"/>
  <c r="AB1640" i="32"/>
  <c r="AB1639" i="32"/>
  <c r="AB1638" i="32"/>
  <c r="AB1637" i="32"/>
  <c r="AB1636" i="32"/>
  <c r="AB1635" i="32"/>
  <c r="AB1634" i="32"/>
  <c r="AB1633" i="32"/>
  <c r="AB1632" i="32"/>
  <c r="AB1631" i="32"/>
  <c r="AB1630" i="32"/>
  <c r="AB1629" i="32"/>
  <c r="AB1628" i="32"/>
  <c r="AB1627" i="32"/>
  <c r="AB1626" i="32"/>
  <c r="AB1625" i="32"/>
  <c r="AB1624" i="32"/>
  <c r="AB1623" i="32"/>
  <c r="AB1622" i="32"/>
  <c r="AB1621" i="32"/>
  <c r="AB1620" i="32"/>
  <c r="AB1619" i="32"/>
  <c r="AB1618" i="32"/>
  <c r="AB1617" i="32"/>
  <c r="AB1616" i="32"/>
  <c r="AB1615" i="32"/>
  <c r="AB1614" i="32"/>
  <c r="AB1613" i="32"/>
  <c r="AB1612" i="32"/>
  <c r="AB1611" i="32"/>
  <c r="AB1610" i="32"/>
  <c r="AB1609" i="32"/>
  <c r="AB1608" i="32"/>
  <c r="AB1607" i="32"/>
  <c r="AB1606" i="32"/>
  <c r="AB1605" i="32"/>
  <c r="AB1604" i="32"/>
  <c r="AB1603" i="32"/>
  <c r="AB1602" i="32"/>
  <c r="AB1601" i="32"/>
  <c r="AB1600" i="32"/>
  <c r="AB1599" i="32"/>
  <c r="AB1598" i="32"/>
  <c r="AB1597" i="32"/>
  <c r="AB1596" i="32"/>
  <c r="AB1595" i="32"/>
  <c r="AB1594" i="32"/>
  <c r="AB1593" i="32"/>
  <c r="AB1592" i="32"/>
  <c r="AB1591" i="32"/>
  <c r="AB1590" i="32"/>
  <c r="AB1589" i="32"/>
  <c r="AB1588" i="32"/>
  <c r="AB1587" i="32"/>
  <c r="AB1586" i="32"/>
  <c r="AB1585" i="32"/>
  <c r="AB1584" i="32"/>
  <c r="AB1583" i="32"/>
  <c r="AB1582" i="32"/>
  <c r="AB1581" i="32"/>
  <c r="AB1580" i="32"/>
  <c r="AB1579" i="32"/>
  <c r="AB1578" i="32"/>
  <c r="AB1577" i="32"/>
  <c r="AB1576" i="32"/>
  <c r="AB1575" i="32"/>
  <c r="AB1574" i="32"/>
  <c r="AB1573" i="32"/>
  <c r="AB1572" i="32"/>
  <c r="AB1571" i="32"/>
  <c r="AB1570" i="32"/>
  <c r="AB1569" i="32"/>
  <c r="AB1568" i="32"/>
  <c r="AB1567" i="32"/>
  <c r="AB1566" i="32"/>
  <c r="AB1565" i="32"/>
  <c r="AB1564" i="32"/>
  <c r="AB1563" i="32"/>
  <c r="AB1562" i="32"/>
  <c r="AB1561" i="32"/>
  <c r="AB1560" i="32"/>
  <c r="AB1559" i="32"/>
  <c r="AB1558" i="32"/>
  <c r="AB1557" i="32"/>
  <c r="AB1556" i="32"/>
  <c r="AB1555" i="32"/>
  <c r="AB1554" i="32"/>
  <c r="AB1553" i="32"/>
  <c r="AB1552" i="32"/>
  <c r="AB1551" i="32"/>
  <c r="AB1550" i="32"/>
  <c r="AB1549" i="32"/>
  <c r="AB1548" i="32"/>
  <c r="AB1547" i="32"/>
  <c r="AB1546" i="32"/>
  <c r="AB1545" i="32"/>
  <c r="AB1544" i="32"/>
  <c r="AB1543" i="32"/>
  <c r="AB1542" i="32"/>
  <c r="AB1541" i="32"/>
  <c r="AB1540" i="32"/>
  <c r="AB1539" i="32"/>
  <c r="AB1538" i="32"/>
  <c r="AB1537" i="32"/>
  <c r="AB1536" i="32"/>
  <c r="AB1535" i="32"/>
  <c r="AB1534" i="32"/>
  <c r="AB1533" i="32"/>
  <c r="AB1532" i="32"/>
  <c r="AB1531" i="32"/>
  <c r="AB1530" i="32"/>
  <c r="AB1529" i="32"/>
  <c r="AB1528" i="32"/>
  <c r="AB1527" i="32"/>
  <c r="AB1526" i="32"/>
  <c r="AB1525" i="32"/>
  <c r="AB1524" i="32"/>
  <c r="AB1523" i="32"/>
  <c r="AB1522" i="32"/>
  <c r="AB1521" i="32"/>
  <c r="AB1520" i="32"/>
  <c r="AB1519" i="32"/>
  <c r="AB1518" i="32"/>
  <c r="AB1517" i="32"/>
  <c r="AB1516" i="32"/>
  <c r="AB1515" i="32"/>
  <c r="AB1514" i="32"/>
  <c r="AB1513" i="32"/>
  <c r="AB1512" i="32"/>
  <c r="AB1511" i="32"/>
  <c r="AB1510" i="32"/>
  <c r="AB1509" i="32"/>
  <c r="AB1508" i="32"/>
  <c r="AB1507" i="32"/>
  <c r="AB1506" i="32"/>
  <c r="AB1505" i="32"/>
  <c r="AB1504" i="32"/>
  <c r="AB1503" i="32"/>
  <c r="AB1502" i="32"/>
  <c r="AB1501" i="32"/>
  <c r="AB1500" i="32"/>
  <c r="AB1499" i="32"/>
  <c r="AB1498" i="32"/>
  <c r="AB1497" i="32"/>
  <c r="AB1496" i="32"/>
  <c r="AB1495" i="32"/>
  <c r="AB1494" i="32"/>
  <c r="AB1493" i="32"/>
  <c r="AB1492" i="32"/>
  <c r="AB1491" i="32"/>
  <c r="AB1490" i="32"/>
  <c r="AB1489" i="32"/>
  <c r="AB1488" i="32"/>
  <c r="AB1487" i="32"/>
  <c r="AB1486" i="32"/>
  <c r="AB1485" i="32"/>
  <c r="AB1484" i="32"/>
  <c r="AB1483" i="32"/>
  <c r="AB1482" i="32"/>
  <c r="AB1481" i="32"/>
  <c r="AB1480" i="32"/>
  <c r="AB1479" i="32"/>
  <c r="AB1478" i="32"/>
  <c r="AB1477" i="32"/>
  <c r="AB1476" i="32"/>
  <c r="AB1475" i="32"/>
  <c r="AB1474" i="32"/>
  <c r="AB1473" i="32"/>
  <c r="AB1472" i="32"/>
  <c r="AB1471" i="32"/>
  <c r="AB1470" i="32"/>
  <c r="AB1469" i="32"/>
  <c r="AB1468" i="32"/>
  <c r="AB1467" i="32"/>
  <c r="AB1466" i="32"/>
  <c r="AB1465" i="32"/>
  <c r="AB1464" i="32"/>
  <c r="AB1463" i="32"/>
  <c r="AB1462" i="32"/>
  <c r="AB1461" i="32"/>
  <c r="AB1460" i="32"/>
  <c r="AB1459" i="32"/>
  <c r="AB1458" i="32"/>
  <c r="AB1457" i="32"/>
  <c r="AB1456" i="32"/>
  <c r="AB1455" i="32"/>
  <c r="AB1454" i="32"/>
  <c r="AB1453" i="32"/>
  <c r="AB1452" i="32"/>
  <c r="AB1451" i="32"/>
  <c r="AB1450" i="32"/>
  <c r="AB1449" i="32"/>
  <c r="AB1448" i="32"/>
  <c r="AB1447" i="32"/>
  <c r="AB1446" i="32"/>
  <c r="AB1445" i="32"/>
  <c r="AB1444" i="32"/>
  <c r="AB1443" i="32"/>
  <c r="AB1442" i="32"/>
  <c r="AB1441" i="32"/>
  <c r="AB1440" i="32"/>
  <c r="AB1439" i="32"/>
  <c r="AB1438" i="32"/>
  <c r="AB1437" i="32"/>
  <c r="AB1436" i="32"/>
  <c r="AB1435" i="32"/>
  <c r="AB1434" i="32"/>
  <c r="AB1433" i="32"/>
  <c r="AB1432" i="32"/>
  <c r="AB1431" i="32"/>
  <c r="AB1430" i="32"/>
  <c r="AB1429" i="32"/>
  <c r="AB1428" i="32"/>
  <c r="AB1427" i="32"/>
  <c r="AB1426" i="32"/>
  <c r="AB1425" i="32"/>
  <c r="AB1424" i="32"/>
  <c r="AB1423" i="32"/>
  <c r="AB1422" i="32"/>
  <c r="AB1421" i="32"/>
  <c r="AB1420" i="32"/>
  <c r="AB1419" i="32"/>
  <c r="AB1418" i="32"/>
  <c r="AB1417" i="32"/>
  <c r="AB1416" i="32"/>
  <c r="AB1415" i="32"/>
  <c r="AB1414" i="32"/>
  <c r="AB1413" i="32"/>
  <c r="AB1412" i="32"/>
  <c r="AB1411" i="32"/>
  <c r="AB1410" i="32"/>
  <c r="AB1409" i="32"/>
  <c r="AB1408" i="32"/>
  <c r="AB1407" i="32"/>
  <c r="AB1406" i="32"/>
  <c r="AB1405" i="32"/>
  <c r="AB1404" i="32"/>
  <c r="AB1403" i="32"/>
  <c r="AB1402" i="32"/>
  <c r="AB1401" i="32"/>
  <c r="AB1400" i="32"/>
  <c r="AB1399" i="32"/>
  <c r="AB1398" i="32"/>
  <c r="AB1397" i="32"/>
  <c r="AB1396" i="32"/>
  <c r="AB1395" i="32"/>
  <c r="AB1394" i="32"/>
  <c r="AB1393" i="32"/>
  <c r="AB1392" i="32"/>
  <c r="AB1391" i="32"/>
  <c r="AB1390" i="32"/>
  <c r="AB1389" i="32"/>
  <c r="AB1388" i="32"/>
  <c r="AB1387" i="32"/>
  <c r="AB1386" i="32"/>
  <c r="AB1385" i="32"/>
  <c r="AB1384" i="32"/>
  <c r="AB1383" i="32"/>
  <c r="AB1382" i="32"/>
  <c r="AB1381" i="32"/>
  <c r="AB1380" i="32"/>
  <c r="AB1379" i="32"/>
  <c r="AB1378" i="32"/>
  <c r="AB1377" i="32"/>
  <c r="AB1376" i="32"/>
  <c r="AB1375" i="32"/>
  <c r="AB1374" i="32"/>
  <c r="AB1373" i="32"/>
  <c r="AB1372" i="32"/>
  <c r="AB1371" i="32"/>
  <c r="AB1370" i="32"/>
  <c r="AB1369" i="32"/>
  <c r="AB1368" i="32"/>
  <c r="AB1367" i="32"/>
  <c r="AB1366" i="32"/>
  <c r="AB1365" i="32"/>
  <c r="AB1364" i="32"/>
  <c r="AB1363" i="32"/>
  <c r="AB1362" i="32"/>
  <c r="AB1361" i="32"/>
  <c r="AB1360" i="32"/>
  <c r="AB1359" i="32"/>
  <c r="AB1358" i="32"/>
  <c r="AB1357" i="32"/>
  <c r="AB1356" i="32"/>
  <c r="AB1355" i="32"/>
  <c r="AB1354" i="32"/>
  <c r="AB1353" i="32"/>
  <c r="AB1352" i="32"/>
  <c r="AB1351" i="32"/>
  <c r="AB1350" i="32"/>
  <c r="AB1349" i="32"/>
  <c r="AB1348" i="32"/>
  <c r="AB1347" i="32"/>
  <c r="AB1346" i="32"/>
  <c r="AB1345" i="32"/>
  <c r="AB1344" i="32"/>
  <c r="AB1343" i="32"/>
  <c r="AB1342" i="32"/>
  <c r="AB1341" i="32"/>
  <c r="AB1340" i="32"/>
  <c r="AB1339" i="32"/>
  <c r="AB1338" i="32"/>
  <c r="AB1337" i="32"/>
  <c r="AB1336" i="32"/>
  <c r="AB1335" i="32"/>
  <c r="AB1334" i="32"/>
  <c r="AB1333" i="32"/>
  <c r="AB1332" i="32"/>
  <c r="AB1331" i="32"/>
  <c r="AB1330" i="32"/>
  <c r="AB1329" i="32"/>
  <c r="AB1328" i="32"/>
  <c r="AB1327" i="32"/>
  <c r="AB1326" i="32"/>
  <c r="AB1325" i="32"/>
  <c r="AB1324" i="32"/>
  <c r="AB1323" i="32"/>
  <c r="AB1322" i="32"/>
  <c r="AB1321" i="32"/>
  <c r="AB1320" i="32"/>
  <c r="AB1319" i="32"/>
  <c r="AB1318" i="32"/>
  <c r="AB1317" i="32"/>
  <c r="AB1316" i="32"/>
  <c r="AB1315" i="32"/>
  <c r="AB1314" i="32"/>
  <c r="AB1313" i="32"/>
  <c r="AB1312" i="32"/>
  <c r="AB1311" i="32"/>
  <c r="AB1310" i="32"/>
  <c r="AB1309" i="32"/>
  <c r="AB1308" i="32"/>
  <c r="AB1307" i="32"/>
  <c r="AB1306" i="32"/>
  <c r="AB1305" i="32"/>
  <c r="AB1304" i="32"/>
  <c r="AB1303" i="32"/>
  <c r="AB1302" i="32"/>
  <c r="AB1301" i="32"/>
  <c r="AB1300" i="32"/>
  <c r="AB1299" i="32"/>
  <c r="AB1298" i="32"/>
  <c r="AB1297" i="32"/>
  <c r="AB1296" i="32"/>
  <c r="AB1295" i="32"/>
  <c r="AB1294" i="32"/>
  <c r="AB1293" i="32"/>
  <c r="AB1292" i="32"/>
  <c r="AB1291" i="32"/>
  <c r="AB1290" i="32"/>
  <c r="AB1289" i="32"/>
  <c r="AB1288" i="32"/>
  <c r="AB1287" i="32"/>
  <c r="AB1286" i="32"/>
  <c r="AB1285" i="32"/>
  <c r="AB1284" i="32"/>
  <c r="AB1283" i="32"/>
  <c r="AB1282" i="32"/>
  <c r="AB1281" i="32"/>
  <c r="AB1280" i="32"/>
  <c r="AB1279" i="32"/>
  <c r="AB1278" i="32"/>
  <c r="AB1277" i="32"/>
  <c r="AB1276" i="32"/>
  <c r="AB1275" i="32"/>
  <c r="AB1274" i="32"/>
  <c r="AB1273" i="32"/>
  <c r="AB1272" i="32"/>
  <c r="AB1271" i="32"/>
  <c r="AB1270" i="32"/>
  <c r="AB1269" i="32"/>
  <c r="AB1268" i="32"/>
  <c r="AB1267" i="32"/>
  <c r="AB1266" i="32"/>
  <c r="AB1265" i="32"/>
  <c r="AB1264" i="32"/>
  <c r="AB1263" i="32"/>
  <c r="AB1262" i="32"/>
  <c r="AB1261" i="32"/>
  <c r="AB1260" i="32"/>
  <c r="AB1259" i="32"/>
  <c r="AB1258" i="32"/>
  <c r="AB1257" i="32"/>
  <c r="AB1256" i="32"/>
  <c r="AB1255" i="32"/>
  <c r="AB1254" i="32"/>
  <c r="AB1253" i="32"/>
  <c r="AB1252" i="32"/>
  <c r="AB1251" i="32"/>
  <c r="AB1250" i="32"/>
  <c r="AB1249" i="32"/>
  <c r="AB1248" i="32"/>
  <c r="AB1247" i="32"/>
  <c r="AB1246" i="32"/>
  <c r="AB1245" i="32"/>
  <c r="AB1244" i="32"/>
  <c r="AB1243" i="32"/>
  <c r="AB1242" i="32"/>
  <c r="AB1241" i="32"/>
  <c r="AB1240" i="32"/>
  <c r="AB1239" i="32"/>
  <c r="AB1238" i="32"/>
  <c r="AB1237" i="32"/>
  <c r="AB1236" i="32"/>
  <c r="AB1235" i="32"/>
  <c r="AB1234" i="32"/>
  <c r="AB1233" i="32"/>
  <c r="AB1232" i="32"/>
  <c r="AB1231" i="32"/>
  <c r="AB1230" i="32"/>
  <c r="AB1229" i="32"/>
  <c r="AB1228" i="32"/>
  <c r="AB1227" i="32"/>
  <c r="AB1226" i="32"/>
  <c r="AB1225" i="32"/>
  <c r="AB1224" i="32"/>
  <c r="AB1223" i="32"/>
  <c r="AB1222" i="32"/>
  <c r="AB1221" i="32"/>
  <c r="AB1220" i="32"/>
  <c r="AB1219" i="32"/>
  <c r="AB1218" i="32"/>
  <c r="AB1217" i="32"/>
  <c r="AB1216" i="32"/>
  <c r="AB1215" i="32"/>
  <c r="AB1214" i="32"/>
  <c r="AB1213" i="32"/>
  <c r="AB1212" i="32"/>
  <c r="AB1211" i="32"/>
  <c r="AB1210" i="32"/>
  <c r="AB1209" i="32"/>
  <c r="AB1208" i="32"/>
  <c r="AB1207" i="32"/>
  <c r="AB1206" i="32"/>
  <c r="AB1205" i="32"/>
  <c r="AB1204" i="32"/>
  <c r="AB1203" i="32"/>
  <c r="AB1202" i="32"/>
  <c r="AB1201" i="32"/>
  <c r="AB1200" i="32"/>
  <c r="AB1199" i="32"/>
  <c r="AB1198" i="32"/>
  <c r="AB1197" i="32"/>
  <c r="AB1196" i="32"/>
  <c r="AB1195" i="32"/>
  <c r="AB1194" i="32"/>
  <c r="AB1193" i="32"/>
  <c r="AB1192" i="32"/>
  <c r="AB1191" i="32"/>
  <c r="AB1190" i="32"/>
  <c r="AB1189" i="32"/>
  <c r="AB1188" i="32"/>
  <c r="AB1187" i="32"/>
  <c r="AB1186" i="32"/>
  <c r="AB1185" i="32"/>
  <c r="AB1184" i="32"/>
  <c r="AB1183" i="32"/>
  <c r="AB1182" i="32"/>
  <c r="AB1181" i="32"/>
  <c r="AB1180" i="32"/>
  <c r="AB1179" i="32"/>
  <c r="AB1178" i="32"/>
  <c r="AB1177" i="32"/>
  <c r="AB1176" i="32"/>
  <c r="AB1175" i="32"/>
  <c r="AB1174" i="32"/>
  <c r="AB1173" i="32"/>
  <c r="AB1172" i="32"/>
  <c r="AB1171" i="32"/>
  <c r="AB1170" i="32"/>
  <c r="AB1169" i="32"/>
  <c r="AB1168" i="32"/>
  <c r="AB1167" i="32"/>
  <c r="AB1166" i="32"/>
  <c r="AB1165" i="32"/>
  <c r="AB1164" i="32"/>
  <c r="AB1163" i="32"/>
  <c r="AB1162" i="32"/>
  <c r="AB1161" i="32"/>
  <c r="AB1160" i="32"/>
  <c r="AB1159" i="32"/>
  <c r="AB1158" i="32"/>
  <c r="AB1157" i="32"/>
  <c r="AB1156" i="32"/>
  <c r="AB1155" i="32"/>
  <c r="AB1154" i="32"/>
  <c r="AB1153" i="32"/>
  <c r="AB1152" i="32"/>
  <c r="AB1151" i="32"/>
  <c r="AB1150" i="32"/>
  <c r="AB1149" i="32"/>
  <c r="AB1148" i="32"/>
  <c r="AB1147" i="32"/>
  <c r="AB1146" i="32"/>
  <c r="AB1145" i="32"/>
  <c r="AB1144" i="32"/>
  <c r="AB1143" i="32"/>
  <c r="AB1142" i="32"/>
  <c r="AB1141" i="32"/>
  <c r="AB1140" i="32"/>
  <c r="AB1139" i="32"/>
  <c r="AB1138" i="32"/>
  <c r="AB1137" i="32"/>
  <c r="AB1136" i="32"/>
  <c r="AB1135" i="32"/>
  <c r="AB1134" i="32"/>
  <c r="AB1133" i="32"/>
  <c r="AB1132" i="32"/>
  <c r="AB1131" i="32"/>
  <c r="AB1130" i="32"/>
  <c r="AB1129" i="32"/>
  <c r="AB1128" i="32"/>
  <c r="AB1127" i="32"/>
  <c r="AB1126" i="32"/>
  <c r="AB1125" i="32"/>
  <c r="AB1124" i="32"/>
  <c r="AB1123" i="32"/>
  <c r="AB1122" i="32"/>
  <c r="AB1121" i="32"/>
  <c r="AB1120" i="32"/>
  <c r="AB1119" i="32"/>
  <c r="AB1118" i="32"/>
  <c r="AB1117" i="32"/>
  <c r="AB1116" i="32"/>
  <c r="AB1115" i="32"/>
  <c r="AB1114" i="32"/>
  <c r="AB1113" i="32"/>
  <c r="AB1112" i="32"/>
  <c r="AB1111" i="32"/>
  <c r="AB1110" i="32"/>
  <c r="AB1109" i="32"/>
  <c r="AB1108" i="32"/>
  <c r="AB1107" i="32"/>
  <c r="AB1106" i="32"/>
  <c r="AB1105" i="32"/>
  <c r="AB1104" i="32"/>
  <c r="AB1103" i="32"/>
  <c r="AB1102" i="32"/>
  <c r="AB1101" i="32"/>
  <c r="AB1100" i="32"/>
  <c r="AB1099" i="32"/>
  <c r="AB1098" i="32"/>
  <c r="AB1097" i="32"/>
  <c r="AB1096" i="32"/>
  <c r="AB1095" i="32"/>
  <c r="AB1094" i="32"/>
  <c r="AB1093" i="32"/>
  <c r="AB1092" i="32"/>
  <c r="AB1091" i="32"/>
  <c r="AB1090" i="32"/>
  <c r="AB1089" i="32"/>
  <c r="AB1088" i="32"/>
  <c r="AB1087" i="32"/>
  <c r="AB1086" i="32"/>
  <c r="AB1085" i="32"/>
  <c r="AB1084" i="32"/>
  <c r="AB1083" i="32"/>
  <c r="AB1082" i="32"/>
  <c r="AB1081" i="32"/>
  <c r="AB1080" i="32"/>
  <c r="AB1079" i="32"/>
  <c r="AB1078" i="32"/>
  <c r="AB1077" i="32"/>
  <c r="AB1076" i="32"/>
  <c r="AB1075" i="32"/>
  <c r="AB1074" i="32"/>
  <c r="AB1073" i="32"/>
  <c r="AB1072" i="32"/>
  <c r="AB1071" i="32"/>
  <c r="AB1070" i="32"/>
  <c r="AB1069" i="32"/>
  <c r="AB1068" i="32"/>
  <c r="AB1067" i="32"/>
  <c r="AB1066" i="32"/>
  <c r="AB1065" i="32"/>
  <c r="AB1064" i="32"/>
  <c r="AB1063" i="32"/>
  <c r="AB1062" i="32"/>
  <c r="AB1061" i="32"/>
  <c r="AB1060" i="32"/>
  <c r="AB1059" i="32"/>
  <c r="AB1058" i="32"/>
  <c r="AB1057" i="32"/>
  <c r="AB1056" i="32"/>
  <c r="AB1055" i="32"/>
  <c r="AB1054" i="32"/>
  <c r="AB1053" i="32"/>
  <c r="AB1052" i="32"/>
  <c r="AB1051" i="32"/>
  <c r="AB1050" i="32"/>
  <c r="AB1049" i="32"/>
  <c r="AB1048" i="32"/>
  <c r="AB1047" i="32"/>
  <c r="AB1046" i="32"/>
  <c r="AB1045" i="32"/>
  <c r="AB1044" i="32"/>
  <c r="AB1043" i="32"/>
  <c r="AB1042" i="32"/>
  <c r="AB1041" i="32"/>
  <c r="AB1040" i="32"/>
  <c r="AB1039" i="32"/>
  <c r="AB1038" i="32"/>
  <c r="AB1037" i="32"/>
  <c r="AB1036" i="32"/>
  <c r="AB1035" i="32"/>
  <c r="AB1034" i="32"/>
  <c r="AB1033" i="32"/>
  <c r="AB1032" i="32"/>
  <c r="AB1031" i="32"/>
  <c r="AB1030" i="32"/>
  <c r="AB1029" i="32"/>
  <c r="AB1028" i="32"/>
  <c r="AB1027" i="32"/>
  <c r="AB1026" i="32"/>
  <c r="AB1025" i="32"/>
  <c r="AB1024" i="32"/>
  <c r="AB1023" i="32"/>
  <c r="AB1022" i="32"/>
  <c r="AB1021" i="32"/>
  <c r="AB1020" i="32"/>
  <c r="AB1019" i="32"/>
  <c r="AB1018" i="32"/>
  <c r="AB1017" i="32"/>
  <c r="AB1016" i="32"/>
  <c r="AB1015" i="32"/>
  <c r="AB1014" i="32"/>
  <c r="AB1013" i="32"/>
  <c r="AB1012" i="32"/>
  <c r="AB1011" i="32"/>
  <c r="AB1010" i="32"/>
  <c r="AB1009" i="32"/>
  <c r="AB1008" i="32"/>
  <c r="AB1007" i="32"/>
  <c r="AB1006" i="32"/>
  <c r="AB1005" i="32"/>
  <c r="AB1004" i="32"/>
  <c r="AB1003" i="32"/>
  <c r="AB1002" i="32"/>
  <c r="AB1001" i="32"/>
  <c r="AB1000" i="32"/>
  <c r="AB999" i="32"/>
  <c r="AB998" i="32"/>
  <c r="AB997" i="32"/>
  <c r="AB996" i="32"/>
  <c r="AB995" i="32"/>
  <c r="AB994" i="32"/>
  <c r="AB993" i="32"/>
  <c r="AB992" i="32"/>
  <c r="AB991" i="32"/>
  <c r="AB990" i="32"/>
  <c r="AB989" i="32"/>
  <c r="AB988" i="32"/>
  <c r="AB987" i="32"/>
  <c r="AB986" i="32"/>
  <c r="AB985" i="32"/>
  <c r="AB984" i="32"/>
  <c r="AB983" i="32"/>
  <c r="AB982" i="32"/>
  <c r="AB981" i="32"/>
  <c r="AB980" i="32"/>
  <c r="AB979" i="32"/>
  <c r="AB978" i="32"/>
  <c r="AB977" i="32"/>
  <c r="AB976" i="32"/>
  <c r="AB975" i="32"/>
  <c r="AB974" i="32"/>
  <c r="AB973" i="32"/>
  <c r="AB972" i="32"/>
  <c r="AB971" i="32"/>
  <c r="AB970" i="32"/>
  <c r="AB969" i="32"/>
  <c r="AB968" i="32"/>
  <c r="AB967" i="32"/>
  <c r="AB966" i="32"/>
  <c r="AB965" i="32"/>
  <c r="AB964" i="32"/>
  <c r="AB963" i="32"/>
  <c r="AB962" i="32"/>
  <c r="AB961" i="32"/>
  <c r="AB960" i="32"/>
  <c r="AB959" i="32"/>
  <c r="AB958" i="32"/>
  <c r="AB957" i="32"/>
  <c r="AB956" i="32"/>
  <c r="AB955" i="32"/>
  <c r="AB954" i="32"/>
  <c r="AB953" i="32"/>
  <c r="AB952" i="32"/>
  <c r="AB951" i="32"/>
  <c r="AB950" i="32"/>
  <c r="AB949" i="32"/>
  <c r="AB948" i="32"/>
  <c r="AB947" i="32"/>
  <c r="AB946" i="32"/>
  <c r="AB945" i="32"/>
  <c r="AB944" i="32"/>
  <c r="AB943" i="32"/>
  <c r="AB942" i="32"/>
  <c r="AB941" i="32"/>
  <c r="AB940" i="32"/>
  <c r="AB939" i="32"/>
  <c r="AB938" i="32"/>
  <c r="AB937" i="32"/>
  <c r="AB936" i="32"/>
  <c r="AB935" i="32"/>
  <c r="AB934" i="32"/>
  <c r="AB933" i="32"/>
  <c r="AB932" i="32"/>
  <c r="AB931" i="32"/>
  <c r="AB930" i="32"/>
  <c r="AB929" i="32"/>
  <c r="AB928" i="32"/>
  <c r="AB927" i="32"/>
  <c r="AB926" i="32"/>
  <c r="AB925" i="32"/>
  <c r="AB924" i="32"/>
  <c r="AB923" i="32"/>
  <c r="AB922" i="32"/>
  <c r="AB921" i="32"/>
  <c r="AB920" i="32"/>
  <c r="AB919" i="32"/>
  <c r="AB918" i="32"/>
  <c r="AB917" i="32"/>
  <c r="AB916" i="32"/>
  <c r="AB915" i="32"/>
  <c r="AB914" i="32"/>
  <c r="AB913" i="32"/>
  <c r="AB912" i="32"/>
  <c r="AB911" i="32"/>
  <c r="AB910" i="32"/>
  <c r="AB909" i="32"/>
  <c r="AB908" i="32"/>
  <c r="AB907" i="32"/>
  <c r="AB906" i="32"/>
  <c r="AB905" i="32"/>
  <c r="AB904" i="32"/>
  <c r="AB903" i="32"/>
  <c r="AB902" i="32"/>
  <c r="AB901" i="32"/>
  <c r="AB900" i="32"/>
  <c r="AB899" i="32"/>
  <c r="AB898" i="32"/>
  <c r="AB897" i="32"/>
  <c r="AB896" i="32"/>
  <c r="AB895" i="32"/>
  <c r="AB894" i="32"/>
  <c r="AB893" i="32"/>
  <c r="AB892" i="32"/>
  <c r="AB891" i="32"/>
  <c r="AB890" i="32"/>
  <c r="AB889" i="32"/>
  <c r="AB888" i="32"/>
  <c r="AB887" i="32"/>
  <c r="AB886" i="32"/>
  <c r="AB885" i="32"/>
  <c r="AB884" i="32"/>
  <c r="AB883" i="32"/>
  <c r="AB882" i="32"/>
  <c r="AB881" i="32"/>
  <c r="AB880" i="32"/>
  <c r="AB879" i="32"/>
  <c r="AB878" i="32"/>
  <c r="AB877" i="32"/>
  <c r="AB876" i="32"/>
  <c r="AB875" i="32"/>
  <c r="AB874" i="32"/>
  <c r="AB873" i="32"/>
  <c r="AB872" i="32"/>
  <c r="AB871" i="32"/>
  <c r="AB870" i="32"/>
  <c r="AB869" i="32"/>
  <c r="AB868" i="32"/>
  <c r="AB867" i="32"/>
  <c r="AB866" i="32"/>
  <c r="AB865" i="32"/>
  <c r="AB864" i="32"/>
  <c r="AB863" i="32"/>
  <c r="AB862" i="32"/>
  <c r="AB861" i="32"/>
  <c r="AB860" i="32"/>
  <c r="AB859" i="32"/>
  <c r="AB858" i="32"/>
  <c r="AB857" i="32"/>
  <c r="AB856" i="32"/>
  <c r="AB855" i="32"/>
  <c r="AB854" i="32"/>
  <c r="AB853" i="32"/>
  <c r="AB852" i="32"/>
  <c r="AB851" i="32"/>
  <c r="AB850" i="32"/>
  <c r="AB849" i="32"/>
  <c r="AB848" i="32"/>
  <c r="AB847" i="32"/>
  <c r="AB846" i="32"/>
  <c r="AB845" i="32"/>
  <c r="AB844" i="32"/>
  <c r="AB843" i="32"/>
  <c r="AB842" i="32"/>
  <c r="AB841" i="32"/>
  <c r="AB840" i="32"/>
  <c r="AB839" i="32"/>
  <c r="AB838" i="32"/>
  <c r="AB837" i="32"/>
  <c r="AB836" i="32"/>
  <c r="AB835" i="32"/>
  <c r="AB834" i="32"/>
  <c r="AB833" i="32"/>
  <c r="AB832" i="32"/>
  <c r="AB831" i="32"/>
  <c r="AB830" i="32"/>
  <c r="AB829" i="32"/>
  <c r="AB828" i="32"/>
  <c r="AB827" i="32"/>
  <c r="AB826" i="32"/>
  <c r="AB825" i="32"/>
  <c r="AB824" i="32"/>
  <c r="AB823" i="32"/>
  <c r="AB822" i="32"/>
  <c r="AB821" i="32"/>
  <c r="AB820" i="32"/>
  <c r="AB819" i="32"/>
  <c r="AB818" i="32"/>
  <c r="AB817" i="32"/>
  <c r="AB816" i="32"/>
  <c r="AB815" i="32"/>
  <c r="AB814" i="32"/>
  <c r="AB813" i="32"/>
  <c r="AB812" i="32"/>
  <c r="AB811" i="32"/>
  <c r="AB810" i="32"/>
  <c r="AB809" i="32"/>
  <c r="AB808" i="32"/>
  <c r="AB807" i="32"/>
  <c r="AB806" i="32"/>
  <c r="AB805" i="32"/>
  <c r="AB804" i="32"/>
  <c r="AB803" i="32"/>
  <c r="AB802" i="32"/>
  <c r="AB801" i="32"/>
  <c r="AB800" i="32"/>
  <c r="AB799" i="32"/>
  <c r="AB798" i="32"/>
  <c r="AB797" i="32"/>
  <c r="AB796" i="32"/>
  <c r="AB795" i="32"/>
  <c r="AB794" i="32"/>
  <c r="AB793" i="32"/>
  <c r="AB792" i="32"/>
  <c r="AB791" i="32"/>
  <c r="AB790" i="32"/>
  <c r="AB789" i="32"/>
  <c r="AB788" i="32"/>
  <c r="AB787" i="32"/>
  <c r="AB786" i="32"/>
  <c r="AB785" i="32"/>
  <c r="AB784" i="32"/>
  <c r="AB783" i="32"/>
  <c r="AB782" i="32"/>
  <c r="AB781" i="32"/>
  <c r="AB780" i="32"/>
  <c r="AB779" i="32"/>
  <c r="AB778" i="32"/>
  <c r="AB777" i="32"/>
  <c r="AB776" i="32"/>
  <c r="AB775" i="32"/>
  <c r="AB774" i="32"/>
  <c r="AB773" i="32"/>
  <c r="AB772" i="32"/>
  <c r="AB771" i="32"/>
  <c r="AB770" i="32"/>
  <c r="AB769" i="32"/>
  <c r="AB768" i="32"/>
  <c r="AB767" i="32"/>
  <c r="AB766" i="32"/>
  <c r="AB765" i="32"/>
  <c r="AB764" i="32"/>
  <c r="AB763" i="32"/>
  <c r="AB762" i="32"/>
  <c r="AB761" i="32"/>
  <c r="AB760" i="32"/>
  <c r="AB759" i="32"/>
  <c r="AB758" i="32"/>
  <c r="AB757" i="32"/>
  <c r="AB756" i="32"/>
  <c r="AB755" i="32"/>
  <c r="AB754" i="32"/>
  <c r="AB753" i="32"/>
  <c r="AB752" i="32"/>
  <c r="AB751" i="32"/>
  <c r="AB750" i="32"/>
  <c r="AB749" i="32"/>
  <c r="AB748" i="32"/>
  <c r="AB747" i="32"/>
  <c r="AB746" i="32"/>
  <c r="AB745" i="32"/>
  <c r="AB744" i="32"/>
  <c r="AB743" i="32"/>
  <c r="AB742" i="32"/>
  <c r="AB741" i="32"/>
  <c r="AB740" i="32"/>
  <c r="AB739" i="32"/>
  <c r="AB738" i="32"/>
  <c r="AB737" i="32"/>
  <c r="AB736" i="32"/>
  <c r="AB735" i="32"/>
  <c r="AB734" i="32"/>
  <c r="AB733" i="32"/>
  <c r="AB732" i="32"/>
  <c r="AB731" i="32"/>
  <c r="AB730" i="32"/>
  <c r="AB729" i="32"/>
  <c r="AB728" i="32"/>
  <c r="AB727" i="32"/>
  <c r="AB726" i="32"/>
  <c r="AB725" i="32"/>
  <c r="AB724" i="32"/>
  <c r="AB723" i="32"/>
  <c r="AB722" i="32"/>
  <c r="AB721" i="32"/>
  <c r="AB720" i="32"/>
  <c r="AB719" i="32"/>
  <c r="AB718" i="32"/>
  <c r="AB717" i="32"/>
  <c r="AB716" i="32"/>
  <c r="AB715" i="32"/>
  <c r="AB714" i="32"/>
  <c r="AB713" i="32"/>
  <c r="AB712" i="32"/>
  <c r="AB711" i="32"/>
  <c r="AB710" i="32"/>
  <c r="AB709" i="32"/>
  <c r="AB708" i="32"/>
  <c r="AB707" i="32"/>
  <c r="AB706" i="32"/>
  <c r="AB705" i="32"/>
  <c r="AB704" i="32"/>
  <c r="AB703" i="32"/>
  <c r="AB702" i="32"/>
  <c r="AB701" i="32"/>
  <c r="AB700" i="32"/>
  <c r="AB699" i="32"/>
  <c r="AB698" i="32"/>
  <c r="AB697" i="32"/>
  <c r="AB696" i="32"/>
  <c r="AB695" i="32"/>
  <c r="AB694" i="32"/>
  <c r="AB693" i="32"/>
  <c r="AB692" i="32"/>
  <c r="AB691" i="32"/>
  <c r="AB690" i="32"/>
  <c r="AB689" i="32"/>
  <c r="AB688" i="32"/>
  <c r="AB687" i="32"/>
  <c r="AB686" i="32"/>
  <c r="AB685" i="32"/>
  <c r="AB684" i="32"/>
  <c r="AB683" i="32"/>
  <c r="AB682" i="32"/>
  <c r="AB681" i="32"/>
  <c r="AB680" i="32"/>
  <c r="AB679" i="32"/>
  <c r="AB678" i="32"/>
  <c r="AB677" i="32"/>
  <c r="AB676" i="32"/>
  <c r="AB675" i="32"/>
  <c r="AB674" i="32"/>
  <c r="AB673" i="32"/>
  <c r="AB672" i="32"/>
  <c r="AB671" i="32"/>
  <c r="AB670" i="32"/>
  <c r="AB669" i="32"/>
  <c r="AB668" i="32"/>
  <c r="AB667" i="32"/>
  <c r="AB666" i="32"/>
  <c r="AB665" i="32"/>
  <c r="AB664" i="32"/>
  <c r="AB663" i="32"/>
  <c r="AB662" i="32"/>
  <c r="AB661" i="32"/>
  <c r="AB660" i="32"/>
  <c r="AB659" i="32"/>
  <c r="AB658" i="32"/>
  <c r="AB657" i="32"/>
  <c r="AB656" i="32"/>
  <c r="AB655" i="32"/>
  <c r="AB654" i="32"/>
  <c r="AB653" i="32"/>
  <c r="AB652" i="32"/>
  <c r="AB651" i="32"/>
  <c r="AB650" i="32"/>
  <c r="AB649" i="32"/>
  <c r="AB648" i="32"/>
  <c r="AB647" i="32"/>
  <c r="AB646" i="32"/>
  <c r="AB645" i="32"/>
  <c r="AB644" i="32"/>
  <c r="AB643" i="32"/>
  <c r="AB642" i="32"/>
  <c r="AB641" i="32"/>
  <c r="AB640" i="32"/>
  <c r="AB639" i="32"/>
  <c r="AB638" i="32"/>
  <c r="AB637" i="32"/>
  <c r="AB636" i="32"/>
  <c r="AB635" i="32"/>
  <c r="AB634" i="32"/>
  <c r="AB633" i="32"/>
  <c r="AB632" i="32"/>
  <c r="AB631" i="32"/>
  <c r="AB630" i="32"/>
  <c r="AB629" i="32"/>
  <c r="AB628" i="32"/>
  <c r="AB627" i="32"/>
  <c r="AB626" i="32"/>
  <c r="AB625" i="32"/>
  <c r="AB624" i="32"/>
  <c r="AB623" i="32"/>
  <c r="AB622" i="32"/>
  <c r="AB621" i="32"/>
  <c r="AB620" i="32"/>
  <c r="AB619" i="32"/>
  <c r="AB618" i="32"/>
  <c r="AB617" i="32"/>
  <c r="AB616" i="32"/>
  <c r="AB615" i="32"/>
  <c r="AB614" i="32"/>
  <c r="AB613" i="32"/>
  <c r="AB612" i="32"/>
  <c r="AB611" i="32"/>
  <c r="AB610" i="32"/>
  <c r="AB609" i="32"/>
  <c r="AB608" i="32"/>
  <c r="AB607" i="32"/>
  <c r="AB606" i="32"/>
  <c r="AB605" i="32"/>
  <c r="AB604" i="32"/>
  <c r="AB603" i="32"/>
  <c r="AB602" i="32"/>
  <c r="AB601" i="32"/>
  <c r="AB600" i="32"/>
  <c r="AB599" i="32"/>
  <c r="AB598" i="32"/>
  <c r="AB597" i="32"/>
  <c r="AB596" i="32"/>
  <c r="AB595" i="32"/>
  <c r="AB594" i="32"/>
  <c r="AB593" i="32"/>
  <c r="AB592" i="32"/>
  <c r="AB591" i="32"/>
  <c r="AB590" i="32"/>
  <c r="AB589" i="32"/>
  <c r="AB588" i="32"/>
  <c r="AB587" i="32"/>
  <c r="AB586" i="32"/>
  <c r="AB585" i="32"/>
  <c r="AB584" i="32"/>
  <c r="AB583" i="32"/>
  <c r="AB582" i="32"/>
  <c r="AB581" i="32"/>
  <c r="AB580" i="32"/>
  <c r="AB579" i="32"/>
  <c r="AB578" i="32"/>
  <c r="AB577" i="32"/>
  <c r="AB576" i="32"/>
  <c r="AB575" i="32"/>
  <c r="AB574" i="32"/>
  <c r="AB573" i="32"/>
  <c r="AB572" i="32"/>
  <c r="AB571" i="32"/>
  <c r="AB570" i="32"/>
  <c r="AB569" i="32"/>
  <c r="AB568" i="32"/>
  <c r="AB567" i="32"/>
  <c r="AB566" i="32"/>
  <c r="AB565" i="32"/>
  <c r="AB564" i="32"/>
  <c r="AB563" i="32"/>
  <c r="AB562" i="32"/>
  <c r="AB561" i="32"/>
  <c r="AB560" i="32"/>
  <c r="AB559" i="32"/>
  <c r="AB558" i="32"/>
  <c r="AB557" i="32"/>
  <c r="AB556" i="32"/>
  <c r="AB555" i="32"/>
  <c r="AB554" i="32"/>
  <c r="AB553" i="32"/>
  <c r="AB552" i="32"/>
  <c r="AB551" i="32"/>
  <c r="AB550" i="32"/>
  <c r="AB549" i="32"/>
  <c r="AB548" i="32"/>
  <c r="AB547" i="32"/>
  <c r="AB546" i="32"/>
  <c r="AB545" i="32"/>
  <c r="AB544" i="32"/>
  <c r="AB543" i="32"/>
  <c r="AB542" i="32"/>
  <c r="AB541" i="32"/>
  <c r="AB540" i="32"/>
  <c r="AB539" i="32"/>
  <c r="AB538" i="32"/>
  <c r="AB537" i="32"/>
  <c r="AB536" i="32"/>
  <c r="AB535" i="32"/>
  <c r="AB534" i="32"/>
  <c r="AB533" i="32"/>
  <c r="AB532" i="32"/>
  <c r="AB531" i="32"/>
  <c r="AB530" i="32"/>
  <c r="AB529" i="32"/>
  <c r="AB528" i="32"/>
  <c r="AB527" i="32"/>
  <c r="AB526" i="32"/>
  <c r="AB525" i="32"/>
  <c r="AB524" i="32"/>
  <c r="AB523" i="32"/>
  <c r="AB522" i="32"/>
  <c r="AB521" i="32"/>
  <c r="AB520" i="32"/>
  <c r="AB519" i="32"/>
  <c r="AB518" i="32"/>
  <c r="AB517" i="32"/>
  <c r="AB516" i="32"/>
  <c r="AB515" i="32"/>
  <c r="AB514" i="32"/>
  <c r="AB513" i="32"/>
  <c r="AB512" i="32"/>
  <c r="AB511" i="32"/>
  <c r="AB510" i="32"/>
  <c r="AB509" i="32"/>
  <c r="AB508" i="32"/>
  <c r="AB507" i="32"/>
  <c r="AB506" i="32"/>
  <c r="AB505" i="32"/>
  <c r="AB504" i="32"/>
  <c r="AB503" i="32"/>
  <c r="AB502" i="32"/>
  <c r="AB501" i="32"/>
  <c r="AB500" i="32"/>
  <c r="AB499" i="32"/>
  <c r="AB498" i="32"/>
  <c r="AB497" i="32"/>
  <c r="AB496" i="32"/>
  <c r="AB495" i="32"/>
  <c r="AB494" i="32"/>
  <c r="AB493" i="32"/>
  <c r="AB492" i="32"/>
  <c r="AB491" i="32"/>
  <c r="AB490" i="32"/>
  <c r="AB489" i="32"/>
  <c r="AB488" i="32"/>
  <c r="AB487" i="32"/>
  <c r="AB486" i="32"/>
  <c r="AB485" i="32"/>
  <c r="AB484" i="32"/>
  <c r="AB483" i="32"/>
  <c r="AB482" i="32"/>
  <c r="AB481" i="32"/>
  <c r="AB480" i="32"/>
  <c r="AB479" i="32"/>
  <c r="AB478" i="32"/>
  <c r="AB477" i="32"/>
  <c r="AB476" i="32"/>
  <c r="AB475" i="32"/>
  <c r="AB474" i="32"/>
  <c r="AB473" i="32"/>
  <c r="AB472" i="32"/>
  <c r="AB471" i="32"/>
  <c r="AB470" i="32"/>
  <c r="AB469" i="32"/>
  <c r="AB468" i="32"/>
  <c r="AB467" i="32"/>
  <c r="AB466" i="32"/>
  <c r="AB465" i="32"/>
  <c r="AB464" i="32"/>
  <c r="AB463" i="32"/>
  <c r="AB462" i="32"/>
  <c r="AB461" i="32"/>
  <c r="AB460" i="32"/>
  <c r="AB459" i="32"/>
  <c r="AB458" i="32"/>
  <c r="AB457" i="32"/>
  <c r="AB456" i="32"/>
  <c r="AB455" i="32"/>
  <c r="AB454" i="32"/>
  <c r="AB453" i="32"/>
  <c r="AB452" i="32"/>
  <c r="AB451" i="32"/>
  <c r="AB450" i="32"/>
  <c r="AB449" i="32"/>
  <c r="AB448" i="32"/>
  <c r="AB447" i="32"/>
  <c r="AB446" i="32"/>
  <c r="AB445" i="32"/>
  <c r="AB444" i="32"/>
  <c r="AB443" i="32"/>
  <c r="AB442" i="32"/>
  <c r="AB441" i="32"/>
  <c r="AB440" i="32"/>
  <c r="AB439" i="32"/>
  <c r="AB438" i="32"/>
  <c r="AB437" i="32"/>
  <c r="AB436" i="32"/>
  <c r="AB435" i="32"/>
  <c r="AB434" i="32"/>
  <c r="AB433" i="32"/>
  <c r="AB432" i="32"/>
  <c r="AB431" i="32"/>
  <c r="AB430" i="32"/>
  <c r="AB429" i="32"/>
  <c r="AB428" i="32"/>
  <c r="AB427" i="32"/>
  <c r="AB426" i="32"/>
  <c r="AB425" i="32"/>
  <c r="AB424" i="32"/>
  <c r="AB423" i="32"/>
  <c r="AB422" i="32"/>
  <c r="AB421" i="32"/>
  <c r="AB420" i="32"/>
  <c r="AB419" i="32"/>
  <c r="AB418" i="32"/>
  <c r="AB417" i="32"/>
  <c r="AB416" i="32"/>
  <c r="AB415" i="32"/>
  <c r="AB414" i="32"/>
  <c r="AB413" i="32"/>
  <c r="AB412" i="32"/>
  <c r="AB411" i="32"/>
  <c r="AB410" i="32"/>
  <c r="AB409" i="32"/>
  <c r="AB408" i="32"/>
  <c r="AB407" i="32"/>
  <c r="AB406" i="32"/>
  <c r="AB405" i="32"/>
  <c r="AB404" i="32"/>
  <c r="AB403" i="32"/>
  <c r="AB402" i="32"/>
  <c r="AB401" i="32"/>
  <c r="AB400" i="32"/>
  <c r="AB399" i="32"/>
  <c r="AB398" i="32"/>
  <c r="AB397" i="32"/>
  <c r="AB396" i="32"/>
  <c r="AB395" i="32"/>
  <c r="AB394" i="32"/>
  <c r="AB393" i="32"/>
  <c r="AB392" i="32"/>
  <c r="AB391" i="32"/>
  <c r="AB390" i="32"/>
  <c r="AB389" i="32"/>
  <c r="AB388" i="32"/>
  <c r="AB387" i="32"/>
  <c r="AB386" i="32"/>
  <c r="AB385" i="32"/>
  <c r="AB384" i="32"/>
  <c r="AB383" i="32"/>
  <c r="AB382" i="32"/>
  <c r="AB381" i="32"/>
  <c r="AB380" i="32"/>
  <c r="AB379" i="32"/>
  <c r="AB378" i="32"/>
  <c r="AB377" i="32"/>
  <c r="AB376" i="32"/>
  <c r="AB375" i="32"/>
  <c r="AB374" i="32"/>
  <c r="AB373" i="32"/>
  <c r="AB372" i="32"/>
  <c r="AB371" i="32"/>
  <c r="AB370" i="32"/>
  <c r="AB369" i="32"/>
  <c r="AB368" i="32"/>
  <c r="AB367" i="32"/>
  <c r="AB366" i="32"/>
  <c r="AB365" i="32"/>
  <c r="AB364" i="32"/>
  <c r="AB363" i="32"/>
  <c r="AB362" i="32"/>
  <c r="AB361" i="32"/>
  <c r="AB360" i="32"/>
  <c r="AB359" i="32"/>
  <c r="AB358" i="32"/>
  <c r="AB357" i="32"/>
  <c r="AB356" i="32"/>
  <c r="AB355" i="32"/>
  <c r="AB354" i="32"/>
  <c r="AB353" i="32"/>
  <c r="AB352" i="32"/>
  <c r="AB351" i="32"/>
  <c r="AB350" i="32"/>
  <c r="AB349" i="32"/>
  <c r="AB348" i="32"/>
  <c r="AB347" i="32"/>
  <c r="AB346" i="32"/>
  <c r="AB345" i="32"/>
  <c r="AB344" i="32"/>
  <c r="AB343" i="32"/>
  <c r="AB342" i="32"/>
  <c r="AB341" i="32"/>
  <c r="AB340" i="32"/>
  <c r="AB339" i="32"/>
  <c r="AB338" i="32"/>
  <c r="AB337" i="32"/>
  <c r="AB336" i="32"/>
  <c r="AB335" i="32"/>
  <c r="AB334" i="32"/>
  <c r="AB333" i="32"/>
  <c r="AB332" i="32"/>
  <c r="AB331" i="32"/>
  <c r="AB330" i="32"/>
  <c r="AB329" i="32"/>
  <c r="AB328" i="32"/>
  <c r="AB327" i="32"/>
  <c r="AB326" i="32"/>
  <c r="AB325" i="32"/>
  <c r="AB324" i="32"/>
  <c r="AB323" i="32"/>
  <c r="AB322" i="32"/>
  <c r="AB321" i="32"/>
  <c r="AB320" i="32"/>
  <c r="AB319" i="32"/>
  <c r="AB318" i="32"/>
  <c r="AB317" i="32"/>
  <c r="AB316" i="32"/>
  <c r="AB315" i="32"/>
  <c r="AB314" i="32"/>
  <c r="AB313" i="32"/>
  <c r="AB312" i="32"/>
  <c r="AB311" i="32"/>
  <c r="AB310" i="32"/>
  <c r="AB309" i="32"/>
  <c r="AB308" i="32"/>
  <c r="AB307" i="32"/>
  <c r="AB306" i="32"/>
  <c r="AB305" i="32"/>
  <c r="AB304" i="32"/>
  <c r="AB303" i="32"/>
  <c r="AB302" i="32"/>
  <c r="AB301" i="32"/>
  <c r="AB300" i="32"/>
  <c r="AB299" i="32"/>
  <c r="AB298" i="32"/>
  <c r="AB297" i="32"/>
  <c r="AB296" i="32"/>
  <c r="AB295" i="32"/>
  <c r="AB294" i="32"/>
  <c r="AB293" i="32"/>
  <c r="AB292" i="32"/>
  <c r="AB291" i="32"/>
  <c r="AB290" i="32"/>
  <c r="AB289" i="32"/>
  <c r="AB288" i="32"/>
  <c r="AB287" i="32"/>
  <c r="AB286" i="32"/>
  <c r="AB285" i="32"/>
  <c r="AB284" i="32"/>
  <c r="AB283" i="32"/>
  <c r="AB282" i="32"/>
  <c r="AB281" i="32"/>
  <c r="AB280" i="32"/>
  <c r="AB279" i="32"/>
  <c r="AB278" i="32"/>
  <c r="AB277" i="32"/>
  <c r="AB276" i="32"/>
  <c r="AB275" i="32"/>
  <c r="AB274" i="32"/>
  <c r="AB273" i="32"/>
  <c r="AB272" i="32"/>
  <c r="AB271" i="32"/>
  <c r="AB270" i="32"/>
  <c r="AB269" i="32"/>
  <c r="AB268" i="32"/>
  <c r="AB267" i="32"/>
  <c r="AB266" i="32"/>
  <c r="AB265" i="32"/>
  <c r="AB264" i="32"/>
  <c r="AB263" i="32"/>
  <c r="AB262" i="32"/>
  <c r="AB261" i="32"/>
  <c r="AB260" i="32"/>
  <c r="AB259" i="32"/>
  <c r="AB258" i="32"/>
  <c r="AB257" i="32"/>
  <c r="AB256" i="32"/>
  <c r="AB255" i="32"/>
  <c r="AB254" i="32"/>
  <c r="AB253" i="32"/>
  <c r="AB252" i="32"/>
  <c r="AB251" i="32"/>
  <c r="AB250" i="32"/>
  <c r="AB249" i="32"/>
  <c r="AB248" i="32"/>
  <c r="AB247" i="32"/>
  <c r="AB246" i="32"/>
  <c r="AB245" i="32"/>
  <c r="AB244" i="32"/>
  <c r="AB243" i="32"/>
  <c r="AB242" i="32"/>
  <c r="AB241" i="32"/>
  <c r="AB240" i="32"/>
  <c r="AB239" i="32"/>
  <c r="AB238" i="32"/>
  <c r="AB237" i="32"/>
  <c r="AB236" i="32"/>
  <c r="AB235" i="32"/>
  <c r="AB234" i="32"/>
  <c r="AB233" i="32"/>
  <c r="AB232" i="32"/>
  <c r="AB231" i="32"/>
  <c r="AB230" i="32"/>
  <c r="AB229" i="32"/>
  <c r="AB228" i="32"/>
  <c r="AB227" i="32"/>
  <c r="AB226" i="32"/>
  <c r="AB225" i="32"/>
  <c r="AB224" i="32"/>
  <c r="AB223" i="32"/>
  <c r="AB222" i="32"/>
  <c r="AB221" i="32"/>
  <c r="AB220" i="32"/>
  <c r="AB219" i="32"/>
  <c r="AB218" i="32"/>
  <c r="AB217" i="32"/>
  <c r="AB216" i="32"/>
  <c r="AB215" i="32"/>
  <c r="AB214" i="32"/>
  <c r="AB213" i="32"/>
  <c r="AB212" i="32"/>
  <c r="AB211" i="32"/>
  <c r="AB210" i="32"/>
  <c r="AB209" i="32"/>
  <c r="AB208" i="32"/>
  <c r="AB207" i="32"/>
  <c r="AB206" i="32"/>
  <c r="AB205" i="32"/>
  <c r="AB204" i="32"/>
  <c r="AB203" i="32"/>
  <c r="AB202" i="32"/>
  <c r="AB201" i="32"/>
  <c r="AB200" i="32"/>
  <c r="AB199" i="32"/>
  <c r="AB198" i="32"/>
  <c r="AB197" i="32"/>
  <c r="AB196" i="32"/>
  <c r="AB195" i="32"/>
  <c r="AB194" i="32"/>
  <c r="AB193" i="32"/>
  <c r="AB192" i="32"/>
  <c r="AB191" i="32"/>
  <c r="AB190" i="32"/>
  <c r="AB189" i="32"/>
  <c r="AB188" i="32"/>
  <c r="AB187" i="32"/>
  <c r="AB186" i="32"/>
  <c r="AB185" i="32"/>
  <c r="AB184" i="32"/>
  <c r="AB183" i="32"/>
  <c r="AB182" i="32"/>
  <c r="AB181" i="32"/>
  <c r="AB180" i="32"/>
  <c r="AB179" i="32"/>
  <c r="AB178" i="32"/>
  <c r="AB177" i="32"/>
  <c r="AB176" i="32"/>
  <c r="AB175" i="32"/>
  <c r="AB174" i="32"/>
  <c r="AB173" i="32"/>
  <c r="AB172" i="32"/>
  <c r="AB171" i="32"/>
  <c r="AB170" i="32"/>
  <c r="AB169" i="32"/>
  <c r="AB168" i="32"/>
  <c r="AB167" i="32"/>
  <c r="AB166" i="32"/>
  <c r="AB165" i="32"/>
  <c r="AB164" i="32"/>
  <c r="AB163" i="32"/>
  <c r="AB162" i="32"/>
  <c r="AB161" i="32"/>
  <c r="AB160" i="32"/>
  <c r="AB159" i="32"/>
  <c r="AB158" i="32"/>
  <c r="AB157" i="32"/>
  <c r="AB156" i="32"/>
  <c r="AB155" i="32"/>
  <c r="AB154" i="32"/>
  <c r="AB153" i="32"/>
  <c r="AB152" i="32"/>
  <c r="AB151" i="32"/>
  <c r="AB150" i="32"/>
  <c r="AB149" i="32"/>
  <c r="AB148" i="32"/>
  <c r="AB147" i="32"/>
  <c r="AB146" i="32"/>
  <c r="AB145" i="32"/>
  <c r="AB144" i="32"/>
  <c r="AB143" i="32"/>
  <c r="AB142" i="32"/>
  <c r="AB141" i="32"/>
  <c r="AB140" i="32"/>
  <c r="AB139" i="32"/>
  <c r="AB138" i="32"/>
  <c r="AB137" i="32"/>
  <c r="AB136" i="32"/>
  <c r="AB135" i="32"/>
  <c r="AB134" i="32"/>
  <c r="AB133" i="32"/>
  <c r="AB132" i="32"/>
  <c r="AB131" i="32"/>
  <c r="AB130" i="32"/>
  <c r="AB129" i="32"/>
  <c r="AB128" i="32"/>
  <c r="AB127" i="32"/>
  <c r="AB126" i="32"/>
  <c r="AB125" i="32"/>
  <c r="AB124" i="32"/>
  <c r="AB123" i="32"/>
  <c r="AB122" i="32"/>
  <c r="AB121" i="32"/>
  <c r="AB120" i="32"/>
  <c r="AB119" i="32"/>
  <c r="AB118" i="32"/>
  <c r="AB117" i="32"/>
  <c r="AB116" i="32"/>
  <c r="AB115" i="32"/>
  <c r="AB114" i="32"/>
  <c r="AB113" i="32"/>
  <c r="AB112" i="32"/>
  <c r="AB111" i="32"/>
  <c r="AB110" i="32"/>
  <c r="AB109" i="32"/>
  <c r="AB108" i="32"/>
  <c r="AB107" i="32"/>
  <c r="AB106" i="32"/>
  <c r="AB105" i="32"/>
  <c r="AB104" i="32"/>
  <c r="AB103" i="32"/>
  <c r="AB102" i="32"/>
  <c r="AB101" i="32"/>
  <c r="AB100" i="32"/>
  <c r="AB99" i="32"/>
  <c r="AB98" i="32"/>
  <c r="AB97" i="32"/>
  <c r="AB96" i="32"/>
  <c r="AB95" i="32"/>
  <c r="AB94" i="32"/>
  <c r="AB93" i="32"/>
  <c r="AB92" i="32"/>
  <c r="AB91" i="32"/>
  <c r="AB90" i="32"/>
  <c r="AB89" i="32"/>
  <c r="AB88" i="32"/>
  <c r="AB87" i="32"/>
  <c r="AB86" i="32"/>
  <c r="AB85" i="32"/>
  <c r="AB84" i="32"/>
  <c r="AB83" i="32"/>
  <c r="AB82" i="32"/>
  <c r="AB81" i="32"/>
  <c r="AB80" i="32"/>
  <c r="AB79" i="32"/>
  <c r="AB78" i="32"/>
  <c r="AB77" i="32"/>
  <c r="AB76" i="32"/>
  <c r="AB75" i="32"/>
  <c r="AB74" i="32"/>
  <c r="AB73" i="32"/>
  <c r="AB72" i="32"/>
  <c r="AB71" i="32"/>
  <c r="AB70" i="32"/>
  <c r="AB69" i="32"/>
  <c r="AB68" i="32"/>
  <c r="AB67" i="32"/>
  <c r="AB66" i="32"/>
  <c r="AB65" i="32"/>
  <c r="AB64" i="32"/>
  <c r="AB63" i="32"/>
  <c r="AB62" i="32"/>
  <c r="AB61" i="32"/>
  <c r="AB60" i="32"/>
  <c r="AB59" i="32"/>
  <c r="AB58" i="32"/>
  <c r="AB57" i="32"/>
  <c r="AB56" i="32"/>
  <c r="AB55" i="32"/>
  <c r="AB54" i="32"/>
  <c r="AB53" i="32"/>
  <c r="AB52" i="32"/>
  <c r="AB51" i="32"/>
  <c r="AB50" i="32"/>
  <c r="AB49" i="32"/>
  <c r="AB48" i="32"/>
  <c r="AB47" i="32"/>
  <c r="AB46" i="32"/>
  <c r="AB45" i="32"/>
  <c r="AB44" i="32"/>
  <c r="AB43" i="32"/>
  <c r="AB42" i="32"/>
  <c r="AB41" i="32"/>
  <c r="AB40" i="32"/>
  <c r="AB39" i="32"/>
  <c r="AB38" i="32"/>
  <c r="AB37" i="32"/>
  <c r="AB36" i="32"/>
  <c r="AB35" i="32"/>
  <c r="AB34" i="32"/>
  <c r="AB33" i="32"/>
  <c r="AB32" i="32"/>
  <c r="AB31" i="32"/>
  <c r="AB30" i="32"/>
  <c r="AB29" i="32"/>
  <c r="AB28" i="32"/>
  <c r="AB27" i="32"/>
  <c r="AB26" i="32"/>
  <c r="AB25" i="32"/>
  <c r="AB24" i="32"/>
  <c r="AB23" i="32"/>
  <c r="AB22" i="32"/>
  <c r="AB21" i="32"/>
  <c r="AB20" i="32"/>
  <c r="AB19" i="32"/>
  <c r="AB18" i="32"/>
  <c r="AB17" i="32"/>
  <c r="AB16" i="32"/>
  <c r="AB15" i="32"/>
  <c r="AB14" i="32"/>
  <c r="AB13" i="32"/>
  <c r="AB12" i="32"/>
  <c r="AB11" i="32"/>
  <c r="AB10" i="32"/>
  <c r="AB9" i="32"/>
  <c r="AB8" i="32"/>
  <c r="AB7" i="32"/>
  <c r="AB6" i="32"/>
  <c r="AB5" i="32"/>
  <c r="AB4" i="32"/>
  <c r="AB3" i="32"/>
  <c r="AB2" i="32"/>
  <c r="AB3" i="31"/>
  <c r="AB4" i="31"/>
  <c r="AB5" i="31"/>
  <c r="AB6" i="31"/>
  <c r="AB7" i="31"/>
  <c r="AB8" i="31"/>
  <c r="AB9" i="31"/>
  <c r="AB10" i="31"/>
  <c r="AB11" i="31"/>
  <c r="AB12" i="31"/>
  <c r="AB13" i="31"/>
  <c r="AB14" i="31"/>
  <c r="AB15" i="31"/>
  <c r="AB16" i="31"/>
  <c r="AB17" i="31"/>
  <c r="AB18" i="31"/>
  <c r="AB19" i="31"/>
  <c r="AB20" i="31"/>
  <c r="AB21" i="31"/>
  <c r="AB22" i="31"/>
  <c r="AB23" i="31"/>
  <c r="AB24" i="31"/>
  <c r="AB25" i="31"/>
  <c r="AB26" i="31"/>
  <c r="AB27" i="31"/>
  <c r="AB28" i="31"/>
  <c r="AB29" i="31"/>
  <c r="AB30" i="31"/>
  <c r="AB31" i="31"/>
  <c r="AB32" i="31"/>
  <c r="AB33" i="31"/>
  <c r="AB34" i="31"/>
  <c r="AB35" i="31"/>
  <c r="AB36" i="31"/>
  <c r="AB37" i="31"/>
  <c r="AB38" i="31"/>
  <c r="AB39" i="31"/>
  <c r="AB40" i="31"/>
  <c r="AB41" i="31"/>
  <c r="AB42" i="31"/>
  <c r="AB43" i="31"/>
  <c r="AB44" i="31"/>
  <c r="AB45" i="31"/>
  <c r="AB46" i="31"/>
  <c r="AB47" i="31"/>
  <c r="AB48" i="31"/>
  <c r="AB49" i="31"/>
  <c r="AB50" i="31"/>
  <c r="AB51" i="31"/>
  <c r="AB52" i="31"/>
  <c r="AB53" i="31"/>
  <c r="AB54" i="31"/>
  <c r="AB55" i="31"/>
  <c r="AB56" i="31"/>
  <c r="AB57" i="31"/>
  <c r="AB58" i="31"/>
  <c r="AB59" i="31"/>
  <c r="AB60" i="31"/>
  <c r="AB61" i="31"/>
  <c r="AB62" i="31"/>
  <c r="AB63" i="31"/>
  <c r="AB64" i="31"/>
  <c r="AB65" i="31"/>
  <c r="AB66" i="31"/>
  <c r="AB67" i="31"/>
  <c r="AB68" i="31"/>
  <c r="AB69" i="31"/>
  <c r="AB70" i="31"/>
  <c r="AB71" i="31"/>
  <c r="AB72" i="31"/>
  <c r="AB73" i="31"/>
  <c r="AB74" i="31"/>
  <c r="AB75" i="31"/>
  <c r="AB76" i="31"/>
  <c r="AB77" i="31"/>
  <c r="AB78" i="31"/>
  <c r="AB79" i="31"/>
  <c r="AB80" i="31"/>
  <c r="AB81" i="31"/>
  <c r="AB82" i="31"/>
  <c r="AB83" i="31"/>
  <c r="AB84" i="31"/>
  <c r="AB85" i="31"/>
  <c r="AB86" i="31"/>
  <c r="AB87" i="31"/>
  <c r="AB88" i="31"/>
  <c r="AB89" i="31"/>
  <c r="AB90" i="31"/>
  <c r="AB91" i="31"/>
  <c r="AB92" i="31"/>
  <c r="AB93" i="31"/>
  <c r="AB94" i="31"/>
  <c r="AB95" i="31"/>
  <c r="AB96" i="31"/>
  <c r="AB97" i="31"/>
  <c r="AB98" i="31"/>
  <c r="AB99" i="31"/>
  <c r="AB100" i="31"/>
  <c r="AB101" i="31"/>
  <c r="AB102" i="31"/>
  <c r="AB103" i="31"/>
  <c r="AB104" i="31"/>
  <c r="AB105" i="31"/>
  <c r="AB106" i="31"/>
  <c r="AB107" i="31"/>
  <c r="AB108" i="31"/>
  <c r="AB109" i="31"/>
  <c r="AB110" i="31"/>
  <c r="AB111" i="31"/>
  <c r="AB112" i="31"/>
  <c r="AB113" i="31"/>
  <c r="AB114" i="31"/>
  <c r="AB115" i="31"/>
  <c r="AB116" i="31"/>
  <c r="AB117" i="31"/>
  <c r="AB118" i="31"/>
  <c r="AB119" i="31"/>
  <c r="AB120" i="31"/>
  <c r="AB121" i="31"/>
  <c r="AB122" i="31"/>
  <c r="AB123" i="31"/>
  <c r="AB124" i="31"/>
  <c r="AB125" i="31"/>
  <c r="AB126" i="31"/>
  <c r="AB127" i="31"/>
  <c r="AB128" i="31"/>
  <c r="AB129" i="31"/>
  <c r="AB130" i="31"/>
  <c r="AB131" i="31"/>
  <c r="AB132" i="31"/>
  <c r="AB133" i="31"/>
  <c r="AB134" i="31"/>
  <c r="AB135" i="31"/>
  <c r="AB136" i="31"/>
  <c r="AB137" i="31"/>
  <c r="AB138" i="31"/>
  <c r="AB139" i="31"/>
  <c r="AB140" i="31"/>
  <c r="AB141" i="31"/>
  <c r="AB142" i="31"/>
  <c r="AB143" i="31"/>
  <c r="AB144" i="31"/>
  <c r="AB145" i="31"/>
  <c r="AB146" i="31"/>
  <c r="AB147" i="31"/>
  <c r="AB148" i="31"/>
  <c r="AB149" i="31"/>
  <c r="AB150" i="31"/>
  <c r="AB151" i="31"/>
  <c r="AB152" i="31"/>
  <c r="AB153" i="31"/>
  <c r="AB154" i="31"/>
  <c r="AB155" i="31"/>
  <c r="AB156" i="31"/>
  <c r="AB157" i="31"/>
  <c r="AB158" i="31"/>
  <c r="AB159" i="31"/>
  <c r="AB160" i="31"/>
  <c r="AB161" i="31"/>
  <c r="AB162" i="31"/>
  <c r="AB163" i="31"/>
  <c r="AB164" i="31"/>
  <c r="AB165" i="31"/>
  <c r="AB166" i="31"/>
  <c r="AB167" i="31"/>
  <c r="AB168" i="31"/>
  <c r="AB169" i="31"/>
  <c r="AB170" i="31"/>
  <c r="AB171" i="31"/>
  <c r="AB172" i="31"/>
  <c r="AB173" i="31"/>
  <c r="AB174" i="31"/>
  <c r="AB175" i="31"/>
  <c r="AB176" i="31"/>
  <c r="AB177" i="31"/>
  <c r="AB178" i="31"/>
  <c r="AB179" i="31"/>
  <c r="AB180" i="31"/>
  <c r="AB181" i="31"/>
  <c r="AB182" i="31"/>
  <c r="AB183" i="31"/>
  <c r="AB184" i="31"/>
  <c r="AB185" i="31"/>
  <c r="AB186" i="31"/>
  <c r="AB187" i="31"/>
  <c r="AB188" i="31"/>
  <c r="AB189" i="31"/>
  <c r="AB190" i="31"/>
  <c r="AB191" i="31"/>
  <c r="AB192" i="31"/>
  <c r="AB193" i="31"/>
  <c r="AB194" i="31"/>
  <c r="AB195" i="31"/>
  <c r="AB196" i="31"/>
  <c r="AB197" i="31"/>
  <c r="AB198" i="31"/>
  <c r="AB199" i="31"/>
  <c r="AB200" i="31"/>
  <c r="AB201" i="31"/>
  <c r="AB202" i="31"/>
  <c r="AB203" i="31"/>
  <c r="AB204" i="31"/>
  <c r="AB205" i="31"/>
  <c r="AB206" i="31"/>
  <c r="AB207" i="31"/>
  <c r="AB208" i="31"/>
  <c r="AB209" i="31"/>
  <c r="AB210" i="31"/>
  <c r="AB211" i="31"/>
  <c r="AB212" i="31"/>
  <c r="AB213" i="31"/>
  <c r="AB214" i="31"/>
  <c r="AB215" i="31"/>
  <c r="AB216" i="31"/>
  <c r="AB217" i="31"/>
  <c r="AB218" i="31"/>
  <c r="AB219" i="31"/>
  <c r="AB220" i="31"/>
  <c r="AB221" i="31"/>
  <c r="AB222" i="31"/>
  <c r="AB223" i="31"/>
  <c r="AB224" i="31"/>
  <c r="AB225" i="31"/>
  <c r="AB226" i="31"/>
  <c r="AB227" i="31"/>
  <c r="AB228" i="31"/>
  <c r="AB229" i="31"/>
  <c r="AB230" i="31"/>
  <c r="AB231" i="31"/>
  <c r="AB232" i="31"/>
  <c r="AB233" i="31"/>
  <c r="AB234" i="31"/>
  <c r="AB235" i="31"/>
  <c r="AB236" i="31"/>
  <c r="AB237" i="31"/>
  <c r="AB238" i="31"/>
  <c r="AB239" i="31"/>
  <c r="AB240" i="31"/>
  <c r="AB241" i="31"/>
  <c r="AB242" i="31"/>
  <c r="AB243" i="31"/>
  <c r="AB244" i="31"/>
  <c r="AB245" i="31"/>
  <c r="AB246" i="31"/>
  <c r="AB247" i="31"/>
  <c r="AB248" i="31"/>
  <c r="AB249" i="31"/>
  <c r="AB250" i="31"/>
  <c r="AB251" i="31"/>
  <c r="AB252" i="31"/>
  <c r="AB253" i="31"/>
  <c r="AB254" i="31"/>
  <c r="AB255" i="31"/>
  <c r="AB256" i="31"/>
  <c r="AB257" i="31"/>
  <c r="AB258" i="31"/>
  <c r="AB259" i="31"/>
  <c r="AB260" i="31"/>
  <c r="AB261" i="31"/>
  <c r="AB262" i="31"/>
  <c r="AB263" i="31"/>
  <c r="AB264" i="31"/>
  <c r="AB265" i="31"/>
  <c r="AB266" i="31"/>
  <c r="AB267" i="31"/>
  <c r="AB268" i="31"/>
  <c r="AB269" i="31"/>
  <c r="AB270" i="31"/>
  <c r="AB271" i="31"/>
  <c r="AB272" i="31"/>
  <c r="AB273" i="31"/>
  <c r="AB274" i="31"/>
  <c r="AB275" i="31"/>
  <c r="AB276" i="31"/>
  <c r="AB277" i="31"/>
  <c r="AB278" i="31"/>
  <c r="AB279" i="31"/>
  <c r="AB280" i="31"/>
  <c r="AB281" i="31"/>
  <c r="AB282" i="31"/>
  <c r="AB283" i="31"/>
  <c r="AB284" i="31"/>
  <c r="AB285" i="31"/>
  <c r="AB286" i="31"/>
  <c r="AB287" i="31"/>
  <c r="AB288" i="31"/>
  <c r="AB289" i="31"/>
  <c r="AB290" i="31"/>
  <c r="AB291" i="31"/>
  <c r="AB292" i="31"/>
  <c r="AB293" i="31"/>
  <c r="AB294" i="31"/>
  <c r="AB295" i="31"/>
  <c r="AB296" i="31"/>
  <c r="AB297" i="31"/>
  <c r="AB298" i="31"/>
  <c r="AB299" i="31"/>
  <c r="AB300" i="31"/>
  <c r="AB301" i="31"/>
  <c r="AB302" i="31"/>
  <c r="AB303" i="31"/>
  <c r="AB304" i="31"/>
  <c r="AB305" i="31"/>
  <c r="AB306" i="31"/>
  <c r="AB307" i="31"/>
  <c r="AB308" i="31"/>
  <c r="AB309" i="31"/>
  <c r="AB310" i="31"/>
  <c r="AB311" i="31"/>
  <c r="AB312" i="31"/>
  <c r="AB313" i="31"/>
  <c r="AB314" i="31"/>
  <c r="AB315" i="31"/>
  <c r="AB316" i="31"/>
  <c r="AB317" i="31"/>
  <c r="AB318" i="31"/>
  <c r="AB319" i="31"/>
  <c r="AB320" i="31"/>
  <c r="AB321" i="31"/>
  <c r="AB322" i="31"/>
  <c r="AB323" i="31"/>
  <c r="AB324" i="31"/>
  <c r="AB325" i="31"/>
  <c r="AB326" i="31"/>
  <c r="AB327" i="31"/>
  <c r="AB328" i="31"/>
  <c r="AB329" i="31"/>
  <c r="AB330" i="31"/>
  <c r="AB331" i="31"/>
  <c r="AB332" i="31"/>
  <c r="AB333" i="31"/>
  <c r="AB334" i="31"/>
  <c r="AB335" i="31"/>
  <c r="AB336" i="31"/>
  <c r="AB337" i="31"/>
  <c r="AB338" i="31"/>
  <c r="AB339" i="31"/>
  <c r="AB340" i="31"/>
  <c r="AB341" i="31"/>
  <c r="AB342" i="31"/>
  <c r="AB343" i="31"/>
  <c r="AB344" i="31"/>
  <c r="AB345" i="31"/>
  <c r="AB346" i="31"/>
  <c r="AB347" i="31"/>
  <c r="AB348" i="31"/>
  <c r="AB349" i="31"/>
  <c r="AB350" i="31"/>
  <c r="AB351" i="31"/>
  <c r="AB352" i="31"/>
  <c r="AB353" i="31"/>
  <c r="AB354" i="31"/>
  <c r="AB355" i="31"/>
  <c r="AB356" i="31"/>
  <c r="AB357" i="31"/>
  <c r="AB358" i="31"/>
  <c r="AB359" i="31"/>
  <c r="AB360" i="31"/>
  <c r="AB361" i="31"/>
  <c r="AB362" i="31"/>
  <c r="AB363" i="31"/>
  <c r="AB364" i="31"/>
  <c r="AB365" i="31"/>
  <c r="AB366" i="31"/>
  <c r="AB367" i="31"/>
  <c r="AB368" i="31"/>
  <c r="AB369" i="31"/>
  <c r="AB370" i="31"/>
  <c r="AB371" i="31"/>
  <c r="AB372" i="31"/>
  <c r="AB373" i="31"/>
  <c r="AB374" i="31"/>
  <c r="AB375" i="31"/>
  <c r="AB376" i="31"/>
  <c r="AB377" i="31"/>
  <c r="AB378" i="31"/>
  <c r="AB379" i="31"/>
  <c r="AB380" i="31"/>
  <c r="AB381" i="31"/>
  <c r="AB382" i="31"/>
  <c r="AB383" i="31"/>
  <c r="AB384" i="31"/>
  <c r="AB385" i="31"/>
  <c r="AB386" i="31"/>
  <c r="AB387" i="31"/>
  <c r="AB388" i="31"/>
  <c r="AB389" i="31"/>
  <c r="AB390" i="31"/>
  <c r="AB391" i="31"/>
  <c r="AB392" i="31"/>
  <c r="AB393" i="31"/>
  <c r="AB394" i="31"/>
  <c r="AB395" i="31"/>
  <c r="AB396" i="31"/>
  <c r="AB397" i="31"/>
  <c r="AB398" i="31"/>
  <c r="AB399" i="31"/>
  <c r="AB400" i="31"/>
  <c r="AB401" i="31"/>
  <c r="AB402" i="31"/>
  <c r="AB403" i="31"/>
  <c r="AB404" i="31"/>
  <c r="AB405" i="31"/>
  <c r="AB406" i="31"/>
  <c r="AB407" i="31"/>
  <c r="AB408" i="31"/>
  <c r="AB409" i="31"/>
  <c r="AB410" i="31"/>
  <c r="AB411" i="31"/>
  <c r="AB412" i="31"/>
  <c r="AB413" i="31"/>
  <c r="AB414" i="31"/>
  <c r="AB415" i="31"/>
  <c r="AB416" i="31"/>
  <c r="AB417" i="31"/>
  <c r="AB418" i="31"/>
  <c r="AB419" i="31"/>
  <c r="AB420" i="31"/>
  <c r="AB421" i="31"/>
  <c r="AB422" i="31"/>
  <c r="AB423" i="31"/>
  <c r="AB424" i="31"/>
  <c r="AB425" i="31"/>
  <c r="AB426" i="31"/>
  <c r="AB427" i="31"/>
  <c r="AB428" i="31"/>
  <c r="AB429" i="31"/>
  <c r="AB430" i="31"/>
  <c r="AB431" i="31"/>
  <c r="AB432" i="31"/>
  <c r="AB433" i="31"/>
  <c r="AB434" i="31"/>
  <c r="AB435" i="31"/>
  <c r="AB436" i="31"/>
  <c r="AB437" i="31"/>
  <c r="AB438" i="31"/>
  <c r="AB439" i="31"/>
  <c r="AB440" i="31"/>
  <c r="AB441" i="31"/>
  <c r="AB442" i="31"/>
  <c r="AB443" i="31"/>
  <c r="AB444" i="31"/>
  <c r="AB445" i="31"/>
  <c r="AB446" i="31"/>
  <c r="AB447" i="31"/>
  <c r="AB448" i="31"/>
  <c r="AB449" i="31"/>
  <c r="AB450" i="31"/>
  <c r="AB451" i="31"/>
  <c r="AB452" i="31"/>
  <c r="AB453" i="31"/>
  <c r="AB454" i="31"/>
  <c r="AB455" i="31"/>
  <c r="AB456" i="31"/>
  <c r="AB457" i="31"/>
  <c r="AB458" i="31"/>
  <c r="AB459" i="31"/>
  <c r="AB460" i="31"/>
  <c r="AB461" i="31"/>
  <c r="AB462" i="31"/>
  <c r="AB463" i="31"/>
  <c r="AB464" i="31"/>
  <c r="AB465" i="31"/>
  <c r="AB466" i="31"/>
  <c r="AB467" i="31"/>
  <c r="AB468" i="31"/>
  <c r="AB469" i="31"/>
  <c r="AB470" i="31"/>
  <c r="AB471" i="31"/>
  <c r="AB472" i="31"/>
  <c r="AB473" i="31"/>
  <c r="AB474" i="31"/>
  <c r="AB475" i="31"/>
  <c r="AB476" i="31"/>
  <c r="AB477" i="31"/>
  <c r="AB478" i="31"/>
  <c r="AB479" i="31"/>
  <c r="AB480" i="31"/>
  <c r="AB481" i="31"/>
  <c r="AB482" i="31"/>
  <c r="AB483" i="31"/>
  <c r="AB484" i="31"/>
  <c r="AB485" i="31"/>
  <c r="AB486" i="31"/>
  <c r="AB487" i="31"/>
  <c r="AB488" i="31"/>
  <c r="AB489" i="31"/>
  <c r="AB490" i="31"/>
  <c r="AB491" i="31"/>
  <c r="AB492" i="31"/>
  <c r="AB493" i="31"/>
  <c r="AB494" i="31"/>
  <c r="AB495" i="31"/>
  <c r="AB496" i="31"/>
  <c r="AB497" i="31"/>
  <c r="AB498" i="31"/>
  <c r="AB499" i="31"/>
  <c r="AB500" i="31"/>
  <c r="AB501" i="31"/>
  <c r="AB502" i="31"/>
  <c r="AB503" i="31"/>
  <c r="AB504" i="31"/>
  <c r="AB505" i="31"/>
  <c r="AB506" i="31"/>
  <c r="AB507" i="31"/>
  <c r="AB508" i="31"/>
  <c r="AB509" i="31"/>
  <c r="AB510" i="31"/>
  <c r="AB511" i="31"/>
  <c r="AB512" i="31"/>
  <c r="AB513" i="31"/>
  <c r="AB514" i="31"/>
  <c r="AB515" i="31"/>
  <c r="AB516" i="31"/>
  <c r="AB517" i="31"/>
  <c r="AB518" i="31"/>
  <c r="AB519" i="31"/>
  <c r="AB520" i="31"/>
  <c r="AB521" i="31"/>
  <c r="AB522" i="31"/>
  <c r="AB523" i="31"/>
  <c r="AB524" i="31"/>
  <c r="AB525" i="31"/>
  <c r="AB526" i="31"/>
  <c r="AB527" i="31"/>
  <c r="AB528" i="31"/>
  <c r="AB529" i="31"/>
  <c r="AB530" i="31"/>
  <c r="AB531" i="31"/>
  <c r="AB532" i="31"/>
  <c r="AB533" i="31"/>
  <c r="AB534" i="31"/>
  <c r="AB535" i="31"/>
  <c r="AB536" i="31"/>
  <c r="AB537" i="31"/>
  <c r="AB538" i="31"/>
  <c r="AB539" i="31"/>
  <c r="AB540" i="31"/>
  <c r="AB541" i="31"/>
  <c r="AB542" i="31"/>
  <c r="AB543" i="31"/>
  <c r="AB544" i="31"/>
  <c r="AB545" i="31"/>
  <c r="AB546" i="31"/>
  <c r="AB547" i="31"/>
  <c r="AB548" i="31"/>
  <c r="AB549" i="31"/>
  <c r="AB550" i="31"/>
  <c r="AB551" i="31"/>
  <c r="AB552" i="31"/>
  <c r="AB553" i="31"/>
  <c r="AB554" i="31"/>
  <c r="AB555" i="31"/>
  <c r="AB556" i="31"/>
  <c r="AB557" i="31"/>
  <c r="AB558" i="31"/>
  <c r="AB559" i="31"/>
  <c r="AB560" i="31"/>
  <c r="AB561" i="31"/>
  <c r="AB562" i="31"/>
  <c r="AB563" i="31"/>
  <c r="AB564" i="31"/>
  <c r="AB565" i="31"/>
  <c r="AB566" i="31"/>
  <c r="AB567" i="31"/>
  <c r="AB568" i="31"/>
  <c r="AB569" i="31"/>
  <c r="AB570" i="31"/>
  <c r="AB571" i="31"/>
  <c r="AB572" i="31"/>
  <c r="AB573" i="31"/>
  <c r="AB574" i="31"/>
  <c r="AB575" i="31"/>
  <c r="AB576" i="31"/>
  <c r="AB577" i="31"/>
  <c r="AB578" i="31"/>
  <c r="AB579" i="31"/>
  <c r="AB580" i="31"/>
  <c r="AB581" i="31"/>
  <c r="AB582" i="31"/>
  <c r="AB583" i="31"/>
  <c r="AB584" i="31"/>
  <c r="AB585" i="31"/>
  <c r="AB586" i="31"/>
  <c r="AB587" i="31"/>
  <c r="AB588" i="31"/>
  <c r="AB589" i="31"/>
  <c r="AB590" i="31"/>
  <c r="AB591" i="31"/>
  <c r="AB592" i="31"/>
  <c r="AB593" i="31"/>
  <c r="AB594" i="31"/>
  <c r="AB595" i="31"/>
  <c r="AB596" i="31"/>
  <c r="AB597" i="31"/>
  <c r="AB598" i="31"/>
  <c r="AB599" i="31"/>
  <c r="AB600" i="31"/>
  <c r="AB601" i="31"/>
  <c r="AB602" i="31"/>
  <c r="AB603" i="31"/>
  <c r="AB604" i="31"/>
  <c r="AB605" i="31"/>
  <c r="AB606" i="31"/>
  <c r="AB607" i="31"/>
  <c r="AB608" i="31"/>
  <c r="AB609" i="31"/>
  <c r="AB610" i="31"/>
  <c r="AB611" i="31"/>
  <c r="AB612" i="31"/>
  <c r="AB613" i="31"/>
  <c r="AB614" i="31"/>
  <c r="AB615" i="31"/>
  <c r="AB616" i="31"/>
  <c r="AB617" i="31"/>
  <c r="AB618" i="31"/>
  <c r="AB619" i="31"/>
  <c r="AB620" i="31"/>
  <c r="AB621" i="31"/>
  <c r="AB622" i="31"/>
  <c r="AB623" i="31"/>
  <c r="AB624" i="31"/>
  <c r="AB625" i="31"/>
  <c r="AB626" i="31"/>
  <c r="AB627" i="31"/>
  <c r="AB628" i="31"/>
  <c r="AB629" i="31"/>
  <c r="AB630" i="31"/>
  <c r="AB631" i="31"/>
  <c r="AB632" i="31"/>
  <c r="AB633" i="31"/>
  <c r="AB634" i="31"/>
  <c r="AB635" i="31"/>
  <c r="AB636" i="31"/>
  <c r="AB637" i="31"/>
  <c r="AB638" i="31"/>
  <c r="AB639" i="31"/>
  <c r="AB640" i="31"/>
  <c r="AB641" i="31"/>
  <c r="AB642" i="31"/>
  <c r="AB643" i="31"/>
  <c r="AB644" i="31"/>
  <c r="AB645" i="31"/>
  <c r="AB646" i="31"/>
  <c r="AB647" i="31"/>
  <c r="AB648" i="31"/>
  <c r="AB649" i="31"/>
  <c r="AB650" i="31"/>
  <c r="AB651" i="31"/>
  <c r="AB652" i="31"/>
  <c r="AB653" i="31"/>
  <c r="AB654" i="31"/>
  <c r="AB655" i="31"/>
  <c r="AB656" i="31"/>
  <c r="AB657" i="31"/>
  <c r="AB658" i="31"/>
  <c r="AB659" i="31"/>
  <c r="AB660" i="31"/>
  <c r="AB661" i="31"/>
  <c r="AB662" i="31"/>
  <c r="AB663" i="31"/>
  <c r="AB664" i="31"/>
  <c r="AB665" i="31"/>
  <c r="AB666" i="31"/>
  <c r="AB667" i="31"/>
  <c r="AB668" i="31"/>
  <c r="AB669" i="31"/>
  <c r="AB670" i="31"/>
  <c r="AB671" i="31"/>
  <c r="AB672" i="31"/>
  <c r="AB673" i="31"/>
  <c r="AB674" i="31"/>
  <c r="AB675" i="31"/>
  <c r="AB676" i="31"/>
  <c r="AB677" i="31"/>
  <c r="AB678" i="31"/>
  <c r="AB679" i="31"/>
  <c r="AB680" i="31"/>
  <c r="AB681" i="31"/>
  <c r="AB682" i="31"/>
  <c r="AB683" i="31"/>
  <c r="AB684" i="31"/>
  <c r="AB685" i="31"/>
  <c r="AB686" i="31"/>
  <c r="AB687" i="31"/>
  <c r="AB688" i="31"/>
  <c r="AB689" i="31"/>
  <c r="AB690" i="31"/>
  <c r="AB691" i="31"/>
  <c r="AB692" i="31"/>
  <c r="AB693" i="31"/>
  <c r="AB694" i="31"/>
  <c r="AB695" i="31"/>
  <c r="AB696" i="31"/>
  <c r="AB697" i="31"/>
  <c r="AB698" i="31"/>
  <c r="AB699" i="31"/>
  <c r="AB700" i="31"/>
  <c r="AB701" i="31"/>
  <c r="AB702" i="31"/>
  <c r="AB703" i="31"/>
  <c r="AB704" i="31"/>
  <c r="AB705" i="31"/>
  <c r="AB706" i="31"/>
  <c r="AB707" i="31"/>
  <c r="AB708" i="31"/>
  <c r="AB709" i="31"/>
  <c r="AB710" i="31"/>
  <c r="AB711" i="31"/>
  <c r="AB712" i="31"/>
  <c r="AB713" i="31"/>
  <c r="AB714" i="31"/>
  <c r="AB715" i="31"/>
  <c r="AB716" i="31"/>
  <c r="AB717" i="31"/>
  <c r="AB718" i="31"/>
  <c r="AB719" i="31"/>
  <c r="AB720" i="31"/>
  <c r="AB721" i="31"/>
  <c r="AB722" i="31"/>
  <c r="AB723" i="31"/>
  <c r="AB724" i="31"/>
  <c r="AB725" i="31"/>
  <c r="AB726" i="31"/>
  <c r="AB727" i="31"/>
  <c r="AB728" i="31"/>
  <c r="AB729" i="31"/>
  <c r="AB730" i="31"/>
  <c r="AB731" i="31"/>
  <c r="AB732" i="31"/>
  <c r="AB733" i="31"/>
  <c r="AB734" i="31"/>
  <c r="AB735" i="31"/>
  <c r="AB736" i="31"/>
  <c r="AB737" i="31"/>
  <c r="AB738" i="31"/>
  <c r="AB739" i="31"/>
  <c r="AB740" i="31"/>
  <c r="AB741" i="31"/>
  <c r="AB742" i="31"/>
  <c r="AB743" i="31"/>
  <c r="AB744" i="31"/>
  <c r="AB745" i="31"/>
  <c r="AB746" i="31"/>
  <c r="AB747" i="31"/>
  <c r="AB748" i="31"/>
  <c r="AB749" i="31"/>
  <c r="AB750" i="31"/>
  <c r="AB751" i="31"/>
  <c r="AB752" i="31"/>
  <c r="AB753" i="31"/>
  <c r="AB754" i="31"/>
  <c r="AB755" i="31"/>
  <c r="AB756" i="31"/>
  <c r="AB757" i="31"/>
  <c r="AB758" i="31"/>
  <c r="AB759" i="31"/>
  <c r="AB760" i="31"/>
  <c r="AB761" i="31"/>
  <c r="AB762" i="31"/>
  <c r="AB763" i="31"/>
  <c r="AB764" i="31"/>
  <c r="AB765" i="31"/>
  <c r="AB766" i="31"/>
  <c r="AB767" i="31"/>
  <c r="AB768" i="31"/>
  <c r="AB769" i="31"/>
  <c r="AB770" i="31"/>
  <c r="AB771" i="31"/>
  <c r="AB772" i="31"/>
  <c r="AB773" i="31"/>
  <c r="AB774" i="31"/>
  <c r="AB775" i="31"/>
  <c r="AB776" i="31"/>
  <c r="AB777" i="31"/>
  <c r="AB778" i="31"/>
  <c r="AB779" i="31"/>
  <c r="AB780" i="31"/>
  <c r="AB781" i="31"/>
  <c r="AB782" i="31"/>
  <c r="AB783" i="31"/>
  <c r="AB784" i="31"/>
  <c r="AB785" i="31"/>
  <c r="AB786" i="31"/>
  <c r="AB787" i="31"/>
  <c r="AB788" i="31"/>
  <c r="AB789" i="31"/>
  <c r="AB790" i="31"/>
  <c r="AB791" i="31"/>
  <c r="AB792" i="31"/>
  <c r="AB793" i="31"/>
  <c r="AB794" i="31"/>
  <c r="AB795" i="31"/>
  <c r="AB796" i="31"/>
  <c r="AB797" i="31"/>
  <c r="AB798" i="31"/>
  <c r="AB799" i="31"/>
  <c r="AB800" i="31"/>
  <c r="AB801" i="31"/>
  <c r="AB802" i="31"/>
  <c r="AB803" i="31"/>
  <c r="AB804" i="31"/>
  <c r="AB805" i="31"/>
  <c r="AB806" i="31"/>
  <c r="AB807" i="31"/>
  <c r="AB808" i="31"/>
  <c r="AB809" i="31"/>
  <c r="AB810" i="31"/>
  <c r="AB811" i="31"/>
  <c r="AB812" i="31"/>
  <c r="AB813" i="31"/>
  <c r="AB814" i="31"/>
  <c r="AB815" i="31"/>
  <c r="AB816" i="31"/>
  <c r="AB817" i="31"/>
  <c r="AB818" i="31"/>
  <c r="AB819" i="31"/>
  <c r="AB820" i="31"/>
  <c r="AB821" i="31"/>
  <c r="AB822" i="31"/>
  <c r="AB823" i="31"/>
  <c r="AB824" i="31"/>
  <c r="AB825" i="31"/>
  <c r="AB826" i="31"/>
  <c r="AB827" i="31"/>
  <c r="AB828" i="31"/>
  <c r="AB829" i="31"/>
  <c r="AB830" i="31"/>
  <c r="AB831" i="31"/>
  <c r="AB832" i="31"/>
  <c r="AB833" i="31"/>
  <c r="AB834" i="31"/>
  <c r="AB835" i="31"/>
  <c r="AB836" i="31"/>
  <c r="AB837" i="31"/>
  <c r="AB838" i="31"/>
  <c r="AB839" i="31"/>
  <c r="AB840" i="31"/>
  <c r="AB841" i="31"/>
  <c r="AB842" i="31"/>
  <c r="AB843" i="31"/>
  <c r="AB844" i="31"/>
  <c r="AB845" i="31"/>
  <c r="AB846" i="31"/>
  <c r="AB847" i="31"/>
  <c r="AB848" i="31"/>
  <c r="AB849" i="31"/>
  <c r="AB850" i="31"/>
  <c r="AB851" i="31"/>
  <c r="AB852" i="31"/>
  <c r="AB853" i="31"/>
  <c r="AB854" i="31"/>
  <c r="AB855" i="31"/>
  <c r="AB856" i="31"/>
  <c r="AB857" i="31"/>
  <c r="AB858" i="31"/>
  <c r="AB859" i="31"/>
  <c r="AB860" i="31"/>
  <c r="AB861" i="31"/>
  <c r="AB862" i="31"/>
  <c r="AB863" i="31"/>
  <c r="AB864" i="31"/>
  <c r="AB865" i="31"/>
  <c r="AB866" i="31"/>
  <c r="AB867" i="31"/>
  <c r="AB868" i="31"/>
  <c r="AB869" i="31"/>
  <c r="AB870" i="31"/>
  <c r="AB871" i="31"/>
  <c r="AB872" i="31"/>
  <c r="AB873" i="31"/>
  <c r="AB874" i="31"/>
  <c r="AB875" i="31"/>
  <c r="AB876" i="31"/>
  <c r="AB877" i="31"/>
  <c r="AB878" i="31"/>
  <c r="AB879" i="31"/>
  <c r="AB880" i="31"/>
  <c r="AB881" i="31"/>
  <c r="AB882" i="31"/>
  <c r="AB883" i="31"/>
  <c r="AB884" i="31"/>
  <c r="AB885" i="31"/>
  <c r="AB886" i="31"/>
  <c r="AB887" i="31"/>
  <c r="AB888" i="31"/>
  <c r="AB889" i="31"/>
  <c r="AB890" i="31"/>
  <c r="AB891" i="31"/>
  <c r="AB892" i="31"/>
  <c r="AB893" i="31"/>
  <c r="AB894" i="31"/>
  <c r="AB895" i="31"/>
  <c r="AB896" i="31"/>
  <c r="AB897" i="31"/>
  <c r="AB898" i="31"/>
  <c r="AB899" i="31"/>
  <c r="AB900" i="31"/>
  <c r="AB901" i="31"/>
  <c r="AB902" i="31"/>
  <c r="AB903" i="31"/>
  <c r="AB904" i="31"/>
  <c r="AB905" i="31"/>
  <c r="AB906" i="31"/>
  <c r="AB907" i="31"/>
  <c r="AB908" i="31"/>
  <c r="AB909" i="31"/>
  <c r="AB910" i="31"/>
  <c r="AB911" i="31"/>
  <c r="AB912" i="31"/>
  <c r="AB913" i="31"/>
  <c r="AB914" i="31"/>
  <c r="AB915" i="31"/>
  <c r="AB916" i="31"/>
  <c r="AB917" i="31"/>
  <c r="AB918" i="31"/>
  <c r="AB919" i="31"/>
  <c r="AB920" i="31"/>
  <c r="AB921" i="31"/>
  <c r="AB922" i="31"/>
  <c r="AB923" i="31"/>
  <c r="AB924" i="31"/>
  <c r="AB925" i="31"/>
  <c r="AB926" i="31"/>
  <c r="AB927" i="31"/>
  <c r="AB928" i="31"/>
  <c r="AB929" i="31"/>
  <c r="AB930" i="31"/>
  <c r="AB931" i="31"/>
  <c r="AB932" i="31"/>
  <c r="AB933" i="31"/>
  <c r="AB934" i="31"/>
  <c r="AB935" i="31"/>
  <c r="AB936" i="31"/>
  <c r="AB937" i="31"/>
  <c r="AB938" i="31"/>
  <c r="AB939" i="31"/>
  <c r="AB940" i="31"/>
  <c r="AB941" i="31"/>
  <c r="AB942" i="31"/>
  <c r="AB943" i="31"/>
  <c r="AB944" i="31"/>
  <c r="AB945" i="31"/>
  <c r="AB946" i="31"/>
  <c r="AB947" i="31"/>
  <c r="AB948" i="31"/>
  <c r="AB949" i="31"/>
  <c r="AB950" i="31"/>
  <c r="AB951" i="31"/>
  <c r="AB952" i="31"/>
  <c r="AB953" i="31"/>
  <c r="AB954" i="31"/>
  <c r="AB955" i="31"/>
  <c r="AB956" i="31"/>
  <c r="AB957" i="31"/>
  <c r="AB958" i="31"/>
  <c r="AB959" i="31"/>
  <c r="AB960" i="31"/>
  <c r="AB961" i="31"/>
  <c r="AB962" i="31"/>
  <c r="AB963" i="31"/>
  <c r="AB964" i="31"/>
  <c r="AB965" i="31"/>
  <c r="AB966" i="31"/>
  <c r="AB967" i="31"/>
  <c r="AB968" i="31"/>
  <c r="AB969" i="31"/>
  <c r="AB970" i="31"/>
  <c r="AB971" i="31"/>
  <c r="AB972" i="31"/>
  <c r="AB973" i="31"/>
  <c r="AB974" i="31"/>
  <c r="AB975" i="31"/>
  <c r="AB976" i="31"/>
  <c r="AB977" i="31"/>
  <c r="AB978" i="31"/>
  <c r="AB979" i="31"/>
  <c r="AB980" i="31"/>
  <c r="AB981" i="31"/>
  <c r="AB982" i="31"/>
  <c r="AB983" i="31"/>
  <c r="AB984" i="31"/>
  <c r="AB985" i="31"/>
  <c r="AB986" i="31"/>
  <c r="AB987" i="31"/>
  <c r="AB988" i="31"/>
  <c r="AB989" i="31"/>
  <c r="AB990" i="31"/>
  <c r="AB991" i="31"/>
  <c r="AB992" i="31"/>
  <c r="AB993" i="31"/>
  <c r="AB994" i="31"/>
  <c r="AB995" i="31"/>
  <c r="AB996" i="31"/>
  <c r="AB997" i="31"/>
  <c r="AB998" i="31"/>
  <c r="AB999" i="31"/>
  <c r="AB1000" i="31"/>
  <c r="AB1001" i="31"/>
  <c r="AB1002" i="31"/>
  <c r="AB1003" i="31"/>
  <c r="AB1004" i="31"/>
  <c r="AB1005" i="31"/>
  <c r="AB1006" i="31"/>
  <c r="AB1007" i="31"/>
  <c r="AB1008" i="31"/>
  <c r="AB1009" i="31"/>
  <c r="AB1010" i="31"/>
  <c r="AB1011" i="31"/>
  <c r="AB1012" i="31"/>
  <c r="AB1013" i="31"/>
  <c r="AB1014" i="31"/>
  <c r="AB1015" i="31"/>
  <c r="AB1016" i="31"/>
  <c r="AB1017" i="31"/>
  <c r="AB1018" i="31"/>
  <c r="AB1019" i="31"/>
  <c r="AB1020" i="31"/>
  <c r="AB1021" i="31"/>
  <c r="AB1022" i="31"/>
  <c r="AB1023" i="31"/>
  <c r="AB1024" i="31"/>
  <c r="AB1025" i="31"/>
  <c r="AB1026" i="31"/>
  <c r="AB1027" i="31"/>
  <c r="AB1028" i="31"/>
  <c r="AB1029" i="31"/>
  <c r="AB1030" i="31"/>
  <c r="AB1031" i="31"/>
  <c r="AB1032" i="31"/>
  <c r="AB1033" i="31"/>
  <c r="AB1034" i="31"/>
  <c r="AB1035" i="31"/>
  <c r="AB1036" i="31"/>
  <c r="AB1037" i="31"/>
  <c r="AB1038" i="31"/>
  <c r="AB1039" i="31"/>
  <c r="AB1040" i="31"/>
  <c r="AB1041" i="31"/>
  <c r="AB1042" i="31"/>
  <c r="AB1043" i="31"/>
  <c r="AB1044" i="31"/>
  <c r="AB1045" i="31"/>
  <c r="AB1046" i="31"/>
  <c r="AB1047" i="31"/>
  <c r="AB1048" i="31"/>
  <c r="AB1049" i="31"/>
  <c r="AB1050" i="31"/>
  <c r="AB1051" i="31"/>
  <c r="AB1052" i="31"/>
  <c r="AB1053" i="31"/>
  <c r="AB1054" i="31"/>
  <c r="AB1055" i="31"/>
  <c r="AB1056" i="31"/>
  <c r="AB1057" i="31"/>
  <c r="AB1058" i="31"/>
  <c r="AB1059" i="31"/>
  <c r="AB1060" i="31"/>
  <c r="AB1061" i="31"/>
  <c r="AB1062" i="31"/>
  <c r="AB1063" i="31"/>
  <c r="AB1064" i="31"/>
  <c r="AB1065" i="31"/>
  <c r="AB1066" i="31"/>
  <c r="AB1067" i="31"/>
  <c r="AB1068" i="31"/>
  <c r="AB1069" i="31"/>
  <c r="AB1070" i="31"/>
  <c r="AB1071" i="31"/>
  <c r="AB1072" i="31"/>
  <c r="AB1073" i="31"/>
  <c r="AB1074" i="31"/>
  <c r="AB1075" i="31"/>
  <c r="AB1076" i="31"/>
  <c r="AB1077" i="31"/>
  <c r="AB1078" i="31"/>
  <c r="AB1079" i="31"/>
  <c r="AB1080" i="31"/>
  <c r="AB1081" i="31"/>
  <c r="AB1082" i="31"/>
  <c r="AB1083" i="31"/>
  <c r="AB1084" i="31"/>
  <c r="AB1085" i="31"/>
  <c r="AB1086" i="31"/>
  <c r="AB1087" i="31"/>
  <c r="AB1088" i="31"/>
  <c r="AB1089" i="31"/>
  <c r="AB1090" i="31"/>
  <c r="AB1091" i="31"/>
  <c r="AB1092" i="31"/>
  <c r="AB1093" i="31"/>
  <c r="AB1094" i="31"/>
  <c r="AB1095" i="31"/>
  <c r="AB1096" i="31"/>
  <c r="AB1097" i="31"/>
  <c r="AB1098" i="31"/>
  <c r="AB1099" i="31"/>
  <c r="AB1100" i="31"/>
  <c r="AB1101" i="31"/>
  <c r="AB1102" i="31"/>
  <c r="AB1103" i="31"/>
  <c r="AB1104" i="31"/>
  <c r="AB1105" i="31"/>
  <c r="AB1106" i="31"/>
  <c r="AB1107" i="31"/>
  <c r="AB1108" i="31"/>
  <c r="AB1109" i="31"/>
  <c r="AB1110" i="31"/>
  <c r="AB1111" i="31"/>
  <c r="AB1112" i="31"/>
  <c r="AB1113" i="31"/>
  <c r="AB1114" i="31"/>
  <c r="AB1115" i="31"/>
  <c r="AB1116" i="31"/>
  <c r="AB1117" i="31"/>
  <c r="AB1118" i="31"/>
  <c r="AB1119" i="31"/>
  <c r="AB1120" i="31"/>
  <c r="AB1121" i="31"/>
  <c r="AB1122" i="31"/>
  <c r="AB1123" i="31"/>
  <c r="AB1124" i="31"/>
  <c r="AB1125" i="31"/>
  <c r="AB1126" i="31"/>
  <c r="AB1127" i="31"/>
  <c r="AB1128" i="31"/>
  <c r="AB1129" i="31"/>
  <c r="AB1130" i="31"/>
  <c r="AB1131" i="31"/>
  <c r="AB1132" i="31"/>
  <c r="AB1133" i="31"/>
  <c r="AB1134" i="31"/>
  <c r="AB1135" i="31"/>
  <c r="AB1136" i="31"/>
  <c r="AB1137" i="31"/>
  <c r="AB1138" i="31"/>
  <c r="AB1139" i="31"/>
  <c r="AB1140" i="31"/>
  <c r="AB1141" i="31"/>
  <c r="AB1142" i="31"/>
  <c r="AB1143" i="31"/>
  <c r="AB1144" i="31"/>
  <c r="AB1145" i="31"/>
  <c r="AB1146" i="31"/>
  <c r="AB1147" i="31"/>
  <c r="AB1148" i="31"/>
  <c r="AB1149" i="31"/>
  <c r="AB1150" i="31"/>
  <c r="AB1151" i="31"/>
  <c r="AB1152" i="31"/>
  <c r="AB1153" i="31"/>
  <c r="AB1154" i="31"/>
  <c r="AB1155" i="31"/>
  <c r="AB1156" i="31"/>
  <c r="AB1157" i="31"/>
  <c r="AB1158" i="31"/>
  <c r="AB1159" i="31"/>
  <c r="AB1160" i="31"/>
  <c r="AB1161" i="31"/>
  <c r="AB1162" i="31"/>
  <c r="AB1163" i="31"/>
  <c r="AB1164" i="31"/>
  <c r="AB1165" i="31"/>
  <c r="AB1166" i="31"/>
  <c r="AB1167" i="31"/>
  <c r="AB1168" i="31"/>
  <c r="AB1169" i="31"/>
  <c r="AB1170" i="31"/>
  <c r="AB1171" i="31"/>
  <c r="AB1172" i="31"/>
  <c r="AB1173" i="31"/>
  <c r="AB1174" i="31"/>
  <c r="AB1175" i="31"/>
  <c r="AB1176" i="31"/>
  <c r="AB1177" i="31"/>
  <c r="AB1178" i="31"/>
  <c r="AB1179" i="31"/>
  <c r="AB1180" i="31"/>
  <c r="AB1181" i="31"/>
  <c r="AB1182" i="31"/>
  <c r="AB1183" i="31"/>
  <c r="AB1184" i="31"/>
  <c r="AB1185" i="31"/>
  <c r="AB1186" i="31"/>
  <c r="AB1187" i="31"/>
  <c r="AB1188" i="31"/>
  <c r="AB1189" i="31"/>
  <c r="AB1190" i="31"/>
  <c r="AB1191" i="31"/>
  <c r="AB1192" i="31"/>
  <c r="AB1193" i="31"/>
  <c r="AB1194" i="31"/>
  <c r="AB1195" i="31"/>
  <c r="AB1196" i="31"/>
  <c r="AB1197" i="31"/>
  <c r="AB1198" i="31"/>
  <c r="AB1199" i="31"/>
  <c r="AB1200" i="31"/>
  <c r="AB1201" i="31"/>
  <c r="AB1202" i="31"/>
  <c r="AB1203" i="31"/>
  <c r="AB1204" i="31"/>
  <c r="AB1205" i="31"/>
  <c r="AB1206" i="31"/>
  <c r="AB1207" i="31"/>
  <c r="AB1208" i="31"/>
  <c r="AB1209" i="31"/>
  <c r="AB1210" i="31"/>
  <c r="AB1211" i="31"/>
  <c r="AB1212" i="31"/>
  <c r="AB1213" i="31"/>
  <c r="AB1214" i="31"/>
  <c r="AB1215" i="31"/>
  <c r="AB1216" i="31"/>
  <c r="AB1217" i="31"/>
  <c r="AB1218" i="31"/>
  <c r="AB1219" i="31"/>
  <c r="AB1220" i="31"/>
  <c r="AB1221" i="31"/>
  <c r="AB1222" i="31"/>
  <c r="AB1223" i="31"/>
  <c r="AB1224" i="31"/>
  <c r="AB1225" i="31"/>
  <c r="AB1226" i="31"/>
  <c r="AB1227" i="31"/>
  <c r="AB1228" i="31"/>
  <c r="AB1229" i="31"/>
  <c r="AB1230" i="31"/>
  <c r="AB1231" i="31"/>
  <c r="AB1232" i="31"/>
  <c r="AB1233" i="31"/>
  <c r="AB1234" i="31"/>
  <c r="AB1235" i="31"/>
  <c r="AB1236" i="31"/>
  <c r="AB1237" i="31"/>
  <c r="AB1238" i="31"/>
  <c r="AB1239" i="31"/>
  <c r="AB1240" i="31"/>
  <c r="AB1241" i="31"/>
  <c r="AB1242" i="31"/>
  <c r="AB1243" i="31"/>
  <c r="AB1244" i="31"/>
  <c r="AB1245" i="31"/>
  <c r="AB1246" i="31"/>
  <c r="AB1247" i="31"/>
  <c r="AB1248" i="31"/>
  <c r="AB1249" i="31"/>
  <c r="AB1250" i="31"/>
  <c r="AB1251" i="31"/>
  <c r="AB1252" i="31"/>
  <c r="AB1253" i="31"/>
  <c r="AB1254" i="31"/>
  <c r="AB1255" i="31"/>
  <c r="AB1256" i="31"/>
  <c r="AB1257" i="31"/>
  <c r="AB1258" i="31"/>
  <c r="AB1259" i="31"/>
  <c r="AB1260" i="31"/>
  <c r="AB1261" i="31"/>
  <c r="AB1262" i="31"/>
  <c r="AB1263" i="31"/>
  <c r="AB1264" i="31"/>
  <c r="AB1265" i="31"/>
  <c r="AB1266" i="31"/>
  <c r="AB1267" i="31"/>
  <c r="AB1268" i="31"/>
  <c r="AB1269" i="31"/>
  <c r="AB1270" i="31"/>
  <c r="AB1271" i="31"/>
  <c r="AB1272" i="31"/>
  <c r="AB1273" i="31"/>
  <c r="AB1274" i="31"/>
  <c r="AB1275" i="31"/>
  <c r="AB1276" i="31"/>
  <c r="AB1277" i="31"/>
  <c r="AB1278" i="31"/>
  <c r="AB1279" i="31"/>
  <c r="AB1280" i="31"/>
  <c r="AB1281" i="31"/>
  <c r="AB1282" i="31"/>
  <c r="AB1283" i="31"/>
  <c r="AB1284" i="31"/>
  <c r="AB1285" i="31"/>
  <c r="AB1286" i="31"/>
  <c r="AB1287" i="31"/>
  <c r="AB1288" i="31"/>
  <c r="AB1289" i="31"/>
  <c r="AB1290" i="31"/>
  <c r="AB1291" i="31"/>
  <c r="AB1292" i="31"/>
  <c r="AB1293" i="31"/>
  <c r="AB1294" i="31"/>
  <c r="AB1295" i="31"/>
  <c r="AB1296" i="31"/>
  <c r="AB1297" i="31"/>
  <c r="AB1298" i="31"/>
  <c r="AB1299" i="31"/>
  <c r="AB1300" i="31"/>
  <c r="AB1301" i="31"/>
  <c r="AB1302" i="31"/>
  <c r="AB1303" i="31"/>
  <c r="AB1304" i="31"/>
  <c r="AB1305" i="31"/>
  <c r="AB1306" i="31"/>
  <c r="AB1307" i="31"/>
  <c r="AB1308" i="31"/>
  <c r="AB1309" i="31"/>
  <c r="AB1310" i="31"/>
  <c r="AB1311" i="31"/>
  <c r="AB1312" i="31"/>
  <c r="AB1313" i="31"/>
  <c r="AB1314" i="31"/>
  <c r="AB1315" i="31"/>
  <c r="AB1316" i="31"/>
  <c r="AB1317" i="31"/>
  <c r="AB1318" i="31"/>
  <c r="AB1319" i="31"/>
  <c r="AB1320" i="31"/>
  <c r="AB1321" i="31"/>
  <c r="AB1322" i="31"/>
  <c r="AB1323" i="31"/>
  <c r="AB1324" i="31"/>
  <c r="AB1325" i="31"/>
  <c r="AB1326" i="31"/>
  <c r="AB1327" i="31"/>
  <c r="AB1328" i="31"/>
  <c r="AB1329" i="31"/>
  <c r="AB1330" i="31"/>
  <c r="AB1331" i="31"/>
  <c r="AB1332" i="31"/>
  <c r="AB1333" i="31"/>
  <c r="AB1334" i="31"/>
  <c r="AB1335" i="31"/>
  <c r="AB1336" i="31"/>
  <c r="AB1337" i="31"/>
  <c r="AB1338" i="31"/>
  <c r="AB1339" i="31"/>
  <c r="AB1340" i="31"/>
  <c r="AB1341" i="31"/>
  <c r="AB1342" i="31"/>
  <c r="AB1343" i="31"/>
  <c r="AB1344" i="31"/>
  <c r="AB1345" i="31"/>
  <c r="AB1346" i="31"/>
  <c r="AB1347" i="31"/>
  <c r="AB1348" i="31"/>
  <c r="AB1349" i="31"/>
  <c r="AB1350" i="31"/>
  <c r="AB1351" i="31"/>
  <c r="AB1352" i="31"/>
  <c r="AB1353" i="31"/>
  <c r="AB1354" i="31"/>
  <c r="AB1355" i="31"/>
  <c r="AB1356" i="31"/>
  <c r="AB1357" i="31"/>
  <c r="AB1358" i="31"/>
  <c r="AB1359" i="31"/>
  <c r="AB1360" i="31"/>
  <c r="AB1361" i="31"/>
  <c r="AB1362" i="31"/>
  <c r="AB1363" i="31"/>
  <c r="AB1364" i="31"/>
  <c r="AB1365" i="31"/>
  <c r="AB1366" i="31"/>
  <c r="AB1367" i="31"/>
  <c r="AB1368" i="31"/>
  <c r="AB1369" i="31"/>
  <c r="AB1370" i="31"/>
  <c r="AB1371" i="31"/>
  <c r="AB1372" i="31"/>
  <c r="AB1373" i="31"/>
  <c r="AB1374" i="31"/>
  <c r="AB1375" i="31"/>
  <c r="AB1376" i="31"/>
  <c r="AB1377" i="31"/>
  <c r="AB1378" i="31"/>
  <c r="AB1379" i="31"/>
  <c r="AB1380" i="31"/>
  <c r="AB1381" i="31"/>
  <c r="AB1382" i="31"/>
  <c r="AB1383" i="31"/>
  <c r="AB1384" i="31"/>
  <c r="AB1385" i="31"/>
  <c r="AB1386" i="31"/>
  <c r="AB1387" i="31"/>
  <c r="AB1388" i="31"/>
  <c r="AB1389" i="31"/>
  <c r="AB1390" i="31"/>
  <c r="AB1391" i="31"/>
  <c r="AB1392" i="31"/>
  <c r="AB1393" i="31"/>
  <c r="AB1394" i="31"/>
  <c r="AB1395" i="31"/>
  <c r="AB1396" i="31"/>
  <c r="AB1397" i="31"/>
  <c r="AB1398" i="31"/>
  <c r="AB1399" i="31"/>
  <c r="AB1400" i="31"/>
  <c r="AB1401" i="31"/>
  <c r="AB1402" i="31"/>
  <c r="AB1403" i="31"/>
  <c r="AB1404" i="31"/>
  <c r="AB1405" i="31"/>
  <c r="AB1406" i="31"/>
  <c r="AB1407" i="31"/>
  <c r="AB1408" i="31"/>
  <c r="AB1409" i="31"/>
  <c r="AB1410" i="31"/>
  <c r="AB1411" i="31"/>
  <c r="AB1412" i="31"/>
  <c r="AB1413" i="31"/>
  <c r="AB1414" i="31"/>
  <c r="AB1415" i="31"/>
  <c r="AB1416" i="31"/>
  <c r="AB1417" i="31"/>
  <c r="AB1418" i="31"/>
  <c r="AB1419" i="31"/>
  <c r="AB1420" i="31"/>
  <c r="AB1421" i="31"/>
  <c r="AB1422" i="31"/>
  <c r="AB1423" i="31"/>
  <c r="AB1424" i="31"/>
  <c r="AB1425" i="31"/>
  <c r="AB1426" i="31"/>
  <c r="AB1427" i="31"/>
  <c r="AB1428" i="31"/>
  <c r="AB1429" i="31"/>
  <c r="AB1430" i="31"/>
  <c r="AB1431" i="31"/>
  <c r="AB1432" i="31"/>
  <c r="AB1433" i="31"/>
  <c r="AB1434" i="31"/>
  <c r="AB1435" i="31"/>
  <c r="AB1436" i="31"/>
  <c r="AB1437" i="31"/>
  <c r="AB1438" i="31"/>
  <c r="AB1439" i="31"/>
  <c r="AB1440" i="31"/>
  <c r="AB1441" i="31"/>
  <c r="AB1442" i="31"/>
  <c r="AB1443" i="31"/>
  <c r="AB1444" i="31"/>
  <c r="AB1445" i="31"/>
  <c r="AB1446" i="31"/>
  <c r="AB1447" i="31"/>
  <c r="AB1448" i="31"/>
  <c r="AB1449" i="31"/>
  <c r="AB1450" i="31"/>
  <c r="AB1451" i="31"/>
  <c r="AB1452" i="31"/>
  <c r="AB1453" i="31"/>
  <c r="AB1454" i="31"/>
  <c r="AB1455" i="31"/>
  <c r="AB1456" i="31"/>
  <c r="AB1457" i="31"/>
  <c r="AB1458" i="31"/>
  <c r="AB1459" i="31"/>
  <c r="AB1460" i="31"/>
  <c r="AB1461" i="31"/>
  <c r="AB1462" i="31"/>
  <c r="AB1463" i="31"/>
  <c r="AB1464" i="31"/>
  <c r="AB1465" i="31"/>
  <c r="AB1466" i="31"/>
  <c r="AB1467" i="31"/>
  <c r="AB1468" i="31"/>
  <c r="AB1469" i="31"/>
  <c r="AB1470" i="31"/>
  <c r="AB1471" i="31"/>
  <c r="AB1472" i="31"/>
  <c r="AB1473" i="31"/>
  <c r="AB1474" i="31"/>
  <c r="AB1475" i="31"/>
  <c r="AB1476" i="31"/>
  <c r="AB1477" i="31"/>
  <c r="AB1478" i="31"/>
  <c r="AB1479" i="31"/>
  <c r="AB1480" i="31"/>
  <c r="AB1481" i="31"/>
  <c r="AB1482" i="31"/>
  <c r="AB1483" i="31"/>
  <c r="AB1484" i="31"/>
  <c r="AB1485" i="31"/>
  <c r="AB1486" i="31"/>
  <c r="AB1487" i="31"/>
  <c r="AB1488" i="31"/>
  <c r="AB1489" i="31"/>
  <c r="AB1490" i="31"/>
  <c r="AB1491" i="31"/>
  <c r="AB1492" i="31"/>
  <c r="AB1493" i="31"/>
  <c r="AB1494" i="31"/>
  <c r="AB1495" i="31"/>
  <c r="AB1496" i="31"/>
  <c r="AB1497" i="31"/>
  <c r="AB1498" i="31"/>
  <c r="AB1499" i="31"/>
  <c r="AB1500" i="31"/>
  <c r="AB1501" i="31"/>
  <c r="AB1502" i="31"/>
  <c r="AB1503" i="31"/>
  <c r="AB1504" i="31"/>
  <c r="AB1505" i="31"/>
  <c r="AB1506" i="31"/>
  <c r="AB1507" i="31"/>
  <c r="AB1508" i="31"/>
  <c r="AB1509" i="31"/>
  <c r="AB1510" i="31"/>
  <c r="AB1511" i="31"/>
  <c r="AB1512" i="31"/>
  <c r="AB1513" i="31"/>
  <c r="AB1514" i="31"/>
  <c r="AB1515" i="31"/>
  <c r="AB1516" i="31"/>
  <c r="AB1517" i="31"/>
  <c r="AB1518" i="31"/>
  <c r="AB1519" i="31"/>
  <c r="AB1520" i="31"/>
  <c r="AB1521" i="31"/>
  <c r="AB1522" i="31"/>
  <c r="AB1523" i="31"/>
  <c r="AB1524" i="31"/>
  <c r="AB1525" i="31"/>
  <c r="AB1526" i="31"/>
  <c r="AB1527" i="31"/>
  <c r="AB1528" i="31"/>
  <c r="AB1529" i="31"/>
  <c r="AB1530" i="31"/>
  <c r="AB1531" i="31"/>
  <c r="AB1532" i="31"/>
  <c r="AB1533" i="31"/>
  <c r="AB1534" i="31"/>
  <c r="AB1535" i="31"/>
  <c r="AB1536" i="31"/>
  <c r="AB1537" i="31"/>
  <c r="AB1538" i="31"/>
  <c r="AB1539" i="31"/>
  <c r="AB1540" i="31"/>
  <c r="AB1541" i="31"/>
  <c r="AB1542" i="31"/>
  <c r="AB1543" i="31"/>
  <c r="AB1544" i="31"/>
  <c r="AB1545" i="31"/>
  <c r="AB1546" i="31"/>
  <c r="AB1547" i="31"/>
  <c r="AB1548" i="31"/>
  <c r="AB1549" i="31"/>
  <c r="AB1550" i="31"/>
  <c r="AB1551" i="31"/>
  <c r="AB1552" i="31"/>
  <c r="AB1553" i="31"/>
  <c r="AB1554" i="31"/>
  <c r="AB1555" i="31"/>
  <c r="AB1556" i="31"/>
  <c r="AB1557" i="31"/>
  <c r="AB1558" i="31"/>
  <c r="AB1559" i="31"/>
  <c r="AB1560" i="31"/>
  <c r="AB1561" i="31"/>
  <c r="AB1562" i="31"/>
  <c r="AB1563" i="31"/>
  <c r="AB1564" i="31"/>
  <c r="AB1565" i="31"/>
  <c r="AB1566" i="31"/>
  <c r="AB1567" i="31"/>
  <c r="AB1568" i="31"/>
  <c r="AB1569" i="31"/>
  <c r="AB1570" i="31"/>
  <c r="AB1571" i="31"/>
  <c r="AB1572" i="31"/>
  <c r="AB1573" i="31"/>
  <c r="AB1574" i="31"/>
  <c r="AB1575" i="31"/>
  <c r="AB1576" i="31"/>
  <c r="AB1577" i="31"/>
  <c r="AB1578" i="31"/>
  <c r="AB1579" i="31"/>
  <c r="AB1580" i="31"/>
  <c r="AB1581" i="31"/>
  <c r="AB1582" i="31"/>
  <c r="AB1583" i="31"/>
  <c r="AB1584" i="31"/>
  <c r="AB1585" i="31"/>
  <c r="AB1586" i="31"/>
  <c r="AB1587" i="31"/>
  <c r="AB1588" i="31"/>
  <c r="AB1589" i="31"/>
  <c r="AB1590" i="31"/>
  <c r="AB1591" i="31"/>
  <c r="AB1592" i="31"/>
  <c r="AB1593" i="31"/>
  <c r="AB1594" i="31"/>
  <c r="AB1595" i="31"/>
  <c r="AB1596" i="31"/>
  <c r="AB1597" i="31"/>
  <c r="AB1598" i="31"/>
  <c r="AB1599" i="31"/>
  <c r="AB1600" i="31"/>
  <c r="AB1601" i="31"/>
  <c r="AB1602" i="31"/>
  <c r="AB1603" i="31"/>
  <c r="AB1604" i="31"/>
  <c r="AB1605" i="31"/>
  <c r="AB1606" i="31"/>
  <c r="AB1607" i="31"/>
  <c r="AB1608" i="31"/>
  <c r="AB1609" i="31"/>
  <c r="AB1610" i="31"/>
  <c r="AB1611" i="31"/>
  <c r="AB1612" i="31"/>
  <c r="AB1613" i="31"/>
  <c r="AB1614" i="31"/>
  <c r="AB1615" i="31"/>
  <c r="AB1616" i="31"/>
  <c r="AB1617" i="31"/>
  <c r="AB1618" i="31"/>
  <c r="AB1619" i="31"/>
  <c r="AB1620" i="31"/>
  <c r="AB1621" i="31"/>
  <c r="AB1622" i="31"/>
  <c r="AB1623" i="31"/>
  <c r="AB1624" i="31"/>
  <c r="AB1625" i="31"/>
  <c r="AB1626" i="31"/>
  <c r="AB1627" i="31"/>
  <c r="AB1628" i="31"/>
  <c r="AB1629" i="31"/>
  <c r="AB1630" i="31"/>
  <c r="AB1631" i="31"/>
  <c r="AB1632" i="31"/>
  <c r="AB1633" i="31"/>
  <c r="AB1634" i="31"/>
  <c r="AB1635" i="31"/>
  <c r="AB1636" i="31"/>
  <c r="AB1637" i="31"/>
  <c r="AB1638" i="31"/>
  <c r="AB1639" i="31"/>
  <c r="AB1640" i="31"/>
  <c r="AB1641" i="31"/>
  <c r="AB1642" i="31"/>
  <c r="AB1643" i="31"/>
  <c r="AB1644" i="31"/>
  <c r="AB1645" i="31"/>
  <c r="AB1646" i="31"/>
  <c r="AB1647" i="31"/>
  <c r="AB1648" i="31"/>
  <c r="AB1649" i="31"/>
  <c r="AB1650" i="31"/>
  <c r="AB1651" i="31"/>
  <c r="AB1652" i="31"/>
  <c r="AB1653" i="31"/>
  <c r="AB1654" i="31"/>
  <c r="AB1655" i="31"/>
  <c r="AB1656" i="31"/>
  <c r="AB1657" i="31"/>
  <c r="AB1658" i="31"/>
  <c r="AB1659" i="31"/>
  <c r="AB1660" i="31"/>
  <c r="AB1661" i="31"/>
  <c r="AB1662" i="31"/>
  <c r="AB1663" i="31"/>
  <c r="AB1664" i="31"/>
  <c r="AB1665" i="31"/>
  <c r="AB1666" i="31"/>
  <c r="AB1667" i="31"/>
  <c r="AB1668" i="31"/>
  <c r="AB1669" i="31"/>
  <c r="AB1670" i="31"/>
  <c r="AB1671" i="31"/>
  <c r="AB1672" i="31"/>
  <c r="AB1673" i="31"/>
  <c r="AB1674" i="31"/>
  <c r="AB1675" i="31"/>
  <c r="AB1676" i="31"/>
  <c r="AB1677" i="31"/>
  <c r="AB1678" i="31"/>
  <c r="AB1679" i="31"/>
  <c r="AB1680" i="31"/>
  <c r="AB1681" i="31"/>
  <c r="AB1682" i="31"/>
  <c r="AB1683" i="31"/>
  <c r="AB1684" i="31"/>
  <c r="AB1685" i="31"/>
  <c r="AB1686" i="31"/>
  <c r="AB1687" i="31"/>
  <c r="AB1688" i="31"/>
  <c r="AB1689" i="31"/>
  <c r="AB1690" i="31"/>
  <c r="AB1691" i="31"/>
  <c r="AB1692" i="31"/>
  <c r="AB1693" i="31"/>
  <c r="AB1694" i="31"/>
  <c r="AB1695" i="31"/>
  <c r="AB1696" i="31"/>
  <c r="AB1697" i="31"/>
  <c r="AB1698" i="31"/>
  <c r="AB1699" i="31"/>
  <c r="AB1700" i="31"/>
  <c r="AB1701" i="31"/>
  <c r="AB1702" i="31"/>
  <c r="AB1703" i="31"/>
  <c r="AB1704" i="31"/>
  <c r="AB1705" i="31"/>
  <c r="AB1706" i="31"/>
  <c r="AB1707" i="31"/>
  <c r="AB1708" i="31"/>
  <c r="AB1709" i="31"/>
  <c r="AB1710" i="31"/>
  <c r="AB1711" i="31"/>
  <c r="AB1712" i="31"/>
  <c r="AB1713" i="31"/>
  <c r="AB1714" i="31"/>
  <c r="AB1715" i="31"/>
  <c r="AB1716" i="31"/>
  <c r="AB1717" i="31"/>
  <c r="AB1718" i="31"/>
  <c r="AB1719" i="31"/>
  <c r="AB1720" i="31"/>
  <c r="AB1721" i="31"/>
  <c r="AB1722" i="31"/>
  <c r="AB1723" i="31"/>
  <c r="AB1724" i="31"/>
  <c r="AB1725" i="31"/>
  <c r="AB1726" i="31"/>
  <c r="AB1727" i="31"/>
  <c r="AB1728" i="31"/>
  <c r="AB1729" i="31"/>
  <c r="AB1730" i="31"/>
  <c r="AB1731" i="31"/>
  <c r="AB1732" i="31"/>
  <c r="AB1733" i="31"/>
  <c r="AB1734" i="31"/>
  <c r="AB1735" i="31"/>
  <c r="AB1736" i="31"/>
  <c r="AB1737" i="31"/>
  <c r="AB1738" i="31"/>
  <c r="AB1739" i="31"/>
  <c r="AB1740" i="31"/>
  <c r="AB1741" i="31"/>
  <c r="AB1742" i="31"/>
  <c r="AB1743" i="31"/>
  <c r="AB1744" i="31"/>
  <c r="AB1745" i="31"/>
  <c r="AB1746" i="31"/>
  <c r="AB1747" i="31"/>
  <c r="AB1748" i="31"/>
  <c r="AB1749" i="31"/>
  <c r="AB1750" i="31"/>
  <c r="AB1751" i="31"/>
  <c r="AB1752" i="31"/>
  <c r="AB1753" i="31"/>
  <c r="AB1754" i="31"/>
  <c r="AB1755" i="31"/>
  <c r="AB1756" i="31"/>
  <c r="AB1757" i="31"/>
  <c r="AB1758" i="31"/>
  <c r="AB1759" i="31"/>
  <c r="AB1760" i="31"/>
  <c r="AB1761" i="31"/>
  <c r="AB1762" i="31"/>
  <c r="AB1763" i="31"/>
  <c r="AB1764" i="31"/>
  <c r="AB1765" i="31"/>
  <c r="AB1766" i="31"/>
  <c r="AB1767" i="31"/>
  <c r="AB1768" i="31"/>
  <c r="AB1769" i="31"/>
  <c r="AB1770" i="31"/>
  <c r="AB1771" i="31"/>
  <c r="AB1772" i="31"/>
  <c r="AB1773" i="31"/>
  <c r="AB1774" i="31"/>
  <c r="AB1775" i="31"/>
  <c r="AB1776" i="31"/>
  <c r="AB1777" i="31"/>
  <c r="AB1778" i="31"/>
  <c r="AB1779" i="31"/>
  <c r="AB1780" i="31"/>
  <c r="AB1781" i="31"/>
  <c r="AB1782" i="31"/>
  <c r="AB1783" i="31"/>
  <c r="AB1784" i="31"/>
  <c r="AB1785" i="31"/>
  <c r="AB1786" i="31"/>
  <c r="AB1787" i="31"/>
  <c r="AB1788" i="31"/>
  <c r="AB1789" i="31"/>
  <c r="AB1790" i="31"/>
  <c r="AB1791" i="31"/>
  <c r="AB1792" i="31"/>
  <c r="AB1793" i="31"/>
  <c r="AB1794" i="31"/>
  <c r="AB1795" i="31"/>
  <c r="AB1796" i="31"/>
  <c r="AB1797" i="31"/>
  <c r="AB1798" i="31"/>
  <c r="AB1799" i="31"/>
  <c r="AB1800" i="31"/>
  <c r="AB1801" i="31"/>
  <c r="AB1802" i="31"/>
  <c r="AB1803" i="31"/>
  <c r="AB1804" i="31"/>
  <c r="AB1805" i="31"/>
  <c r="AB1806" i="31"/>
  <c r="AB1807" i="31"/>
  <c r="AB1808" i="31"/>
  <c r="AB1809" i="31"/>
  <c r="AB1810" i="31"/>
  <c r="AB1811" i="31"/>
  <c r="AB1812" i="31"/>
  <c r="AB1813" i="31"/>
  <c r="AB1814" i="31"/>
  <c r="AB1815" i="31"/>
  <c r="AB1816" i="31"/>
  <c r="AB1817" i="31"/>
  <c r="AB1818" i="31"/>
  <c r="AB1819" i="31"/>
  <c r="AB1820" i="31"/>
  <c r="AB1821" i="31"/>
  <c r="AB1822" i="31"/>
  <c r="AB1823" i="31"/>
  <c r="AB1824" i="31"/>
  <c r="AB1825" i="31"/>
  <c r="AB1826" i="31"/>
  <c r="AB1827" i="31"/>
  <c r="AB1828" i="31"/>
  <c r="AB1829" i="31"/>
  <c r="AB1830" i="31"/>
  <c r="AB1831" i="31"/>
  <c r="AB1832" i="31"/>
  <c r="AB1833" i="31"/>
  <c r="AB1834" i="31"/>
  <c r="AB1835" i="31"/>
  <c r="AB1836" i="31"/>
  <c r="AB1837" i="31"/>
  <c r="AB1838" i="31"/>
  <c r="AB1839" i="31"/>
  <c r="AB1840" i="31"/>
  <c r="AB1841" i="31"/>
  <c r="AB1842" i="31"/>
  <c r="AB1843" i="31"/>
  <c r="AB1844" i="31"/>
  <c r="AB1845" i="31"/>
  <c r="AB1846" i="31"/>
  <c r="AB1847" i="31"/>
  <c r="AB1848" i="31"/>
  <c r="AB1849" i="31"/>
  <c r="AB1850" i="31"/>
  <c r="AB1851" i="31"/>
  <c r="AB1852" i="31"/>
  <c r="AB1853" i="31"/>
  <c r="AB1854" i="31"/>
  <c r="AB1855" i="31"/>
  <c r="AB1856" i="31"/>
  <c r="AB1857" i="31"/>
  <c r="AB1858" i="31"/>
  <c r="AB1859" i="31"/>
  <c r="AB1860" i="31"/>
  <c r="AB1861" i="31"/>
  <c r="AB1862" i="31"/>
  <c r="AB1863" i="31"/>
  <c r="AB1864" i="31"/>
  <c r="AB1865" i="31"/>
  <c r="AB1866" i="31"/>
  <c r="AB1867" i="31"/>
  <c r="AB1868" i="31"/>
  <c r="AB1869" i="31"/>
  <c r="AB1870" i="31"/>
  <c r="AB1871" i="31"/>
  <c r="AB1872" i="31"/>
  <c r="AB1873" i="31"/>
  <c r="AB1874" i="31"/>
  <c r="AB1875" i="31"/>
  <c r="AB1876" i="31"/>
  <c r="AB1877" i="31"/>
  <c r="AB1878" i="31"/>
  <c r="AB1879" i="31"/>
  <c r="AB1880" i="31"/>
  <c r="AB1881" i="31"/>
  <c r="AB1882" i="31"/>
  <c r="AB1883" i="31"/>
  <c r="AB1884" i="31"/>
  <c r="AB1885" i="31"/>
  <c r="AB1886" i="31"/>
  <c r="AB1887" i="31"/>
  <c r="AB1888" i="31"/>
  <c r="AB1889" i="31"/>
  <c r="AB1890" i="31"/>
  <c r="AB1891" i="31"/>
  <c r="AB1892" i="31"/>
  <c r="AB1893" i="31"/>
  <c r="AB1894" i="31"/>
  <c r="AB1895" i="31"/>
  <c r="AB1896" i="31"/>
  <c r="AB1897" i="31"/>
  <c r="AB1898" i="31"/>
  <c r="AB1899" i="31"/>
  <c r="AB1900" i="31"/>
  <c r="AB1901" i="31"/>
  <c r="AB1902" i="31"/>
  <c r="AB1903" i="31"/>
  <c r="AB2" i="31"/>
  <c r="B5" i="21"/>
  <c r="A2" i="38"/>
  <c r="C19" i="38" s="1"/>
  <c r="A14" i="41"/>
  <c r="C41" i="41" s="1"/>
  <c r="A14" i="40"/>
  <c r="C41" i="40" s="1"/>
  <c r="A11" i="39"/>
  <c r="C55" i="39" s="1"/>
  <c r="A11" i="38"/>
  <c r="C85" i="38" s="1"/>
  <c r="A11" i="41"/>
  <c r="C22" i="41" s="1"/>
  <c r="A2" i="41"/>
  <c r="C19" i="41" s="1"/>
  <c r="A11" i="40"/>
  <c r="C22" i="40" s="1"/>
  <c r="A2" i="40"/>
  <c r="C19" i="40" s="1"/>
  <c r="AC51" i="30"/>
  <c r="AC50" i="30"/>
  <c r="AC49" i="30"/>
  <c r="AC48" i="30"/>
  <c r="AC47" i="30"/>
  <c r="AC46" i="30"/>
  <c r="AC45" i="30"/>
  <c r="AC44" i="30"/>
  <c r="AC43" i="30"/>
  <c r="AC42" i="30"/>
  <c r="AC41" i="30"/>
  <c r="AC40" i="30"/>
  <c r="AC39" i="30"/>
  <c r="AC38" i="30"/>
  <c r="AC37" i="30"/>
  <c r="AC36" i="30"/>
  <c r="AC35" i="30"/>
  <c r="AC34" i="30"/>
  <c r="AC33" i="30"/>
  <c r="AC32" i="30"/>
  <c r="AC31" i="30"/>
  <c r="AC30" i="30"/>
  <c r="AC29" i="30"/>
  <c r="AC28" i="30"/>
  <c r="AC27" i="30"/>
  <c r="AC26" i="30"/>
  <c r="AC25" i="30"/>
  <c r="AC24" i="30"/>
  <c r="AC23" i="30"/>
  <c r="AC22" i="30"/>
  <c r="AC21" i="30"/>
  <c r="AC20" i="30"/>
  <c r="AC19" i="30"/>
  <c r="AC18" i="30"/>
  <c r="AC17" i="30"/>
  <c r="AC16" i="30"/>
  <c r="AC15" i="30"/>
  <c r="AC14" i="30"/>
  <c r="AC13" i="30"/>
  <c r="AC12" i="30"/>
  <c r="AC11" i="30"/>
  <c r="AC10" i="30"/>
  <c r="AC9" i="30"/>
  <c r="AC8" i="30"/>
  <c r="AC7" i="30"/>
  <c r="AC6" i="30"/>
  <c r="AC5" i="30"/>
  <c r="AC4" i="30"/>
  <c r="AC3" i="30"/>
  <c r="AE2" i="30"/>
  <c r="AC2" i="30"/>
  <c r="G51" i="36"/>
  <c r="G50" i="36"/>
  <c r="G49" i="36"/>
  <c r="G48" i="36"/>
  <c r="G47" i="36"/>
  <c r="G46" i="36"/>
  <c r="G45" i="36"/>
  <c r="G44" i="36"/>
  <c r="G43" i="36"/>
  <c r="G42" i="36"/>
  <c r="G41" i="36"/>
  <c r="G40" i="36"/>
  <c r="G39" i="36"/>
  <c r="G38" i="36"/>
  <c r="G37" i="36"/>
  <c r="G36" i="36"/>
  <c r="G35" i="36"/>
  <c r="G34" i="36"/>
  <c r="G33" i="36"/>
  <c r="G32" i="36"/>
  <c r="G31" i="36"/>
  <c r="G30" i="36"/>
  <c r="G29" i="36"/>
  <c r="G28" i="36"/>
  <c r="G27" i="36"/>
  <c r="G25" i="36"/>
  <c r="G23" i="36"/>
  <c r="G21" i="36"/>
  <c r="G20" i="36"/>
  <c r="G13" i="36"/>
  <c r="G12" i="36"/>
  <c r="G11" i="36"/>
  <c r="G10" i="36"/>
  <c r="G9" i="36"/>
  <c r="G8" i="36"/>
  <c r="E101" i="23"/>
  <c r="C10" i="58"/>
  <c r="L14" i="30"/>
  <c r="K10" i="30"/>
  <c r="E245" i="57" l="1"/>
  <c r="I13" i="57"/>
  <c r="I13" i="23"/>
  <c r="E98" i="23" s="1"/>
  <c r="E62" i="20"/>
  <c r="A11" i="46"/>
  <c r="C22" i="46" s="1"/>
  <c r="AF3" i="30"/>
  <c r="AH3" i="30" s="1"/>
  <c r="AD4" i="30"/>
  <c r="AF2" i="30"/>
  <c r="AG2" i="30" s="1"/>
  <c r="AH72" i="30"/>
  <c r="AK72" i="30" s="1"/>
  <c r="R11" i="43"/>
  <c r="S11" i="43" s="1"/>
  <c r="F8" i="43"/>
  <c r="G8" i="43" s="1"/>
  <c r="F55" i="20"/>
  <c r="C55" i="20" s="1"/>
  <c r="F7" i="20"/>
  <c r="C7" i="20" s="1"/>
  <c r="A16" i="39"/>
  <c r="C87" i="39" s="1"/>
  <c r="A19" i="46"/>
  <c r="A19" i="40"/>
  <c r="A19" i="44"/>
  <c r="A16" i="38"/>
  <c r="C133" i="38" s="1"/>
  <c r="A19" i="41"/>
  <c r="AG44" i="30"/>
  <c r="AI44" i="30" s="1"/>
  <c r="AK44" i="30" s="1"/>
  <c r="I101" i="20"/>
  <c r="E101" i="20"/>
  <c r="D101" i="20"/>
  <c r="J101" i="20"/>
  <c r="K100" i="20"/>
  <c r="L100" i="20" s="1"/>
  <c r="M100" i="20" s="1"/>
  <c r="N100" i="20" s="1"/>
  <c r="A102" i="20" s="1"/>
  <c r="AG34" i="30"/>
  <c r="AI34" i="30" s="1"/>
  <c r="AH34" i="30"/>
  <c r="AG40" i="30"/>
  <c r="AI40" i="30" s="1"/>
  <c r="AL40" i="30" s="1"/>
  <c r="AG24" i="30"/>
  <c r="AI24" i="30" s="1"/>
  <c r="AL24" i="30" s="1"/>
  <c r="AH18" i="30"/>
  <c r="AG18" i="30"/>
  <c r="AI18" i="30" s="1"/>
  <c r="AL18" i="30" s="1"/>
  <c r="AH33" i="30"/>
  <c r="AK33" i="30" s="1"/>
  <c r="AL33" i="30"/>
  <c r="AG29" i="30"/>
  <c r="AI29" i="30" s="1"/>
  <c r="AK29" i="30" s="1"/>
  <c r="AH46" i="30"/>
  <c r="AG46" i="30"/>
  <c r="AI46" i="30" s="1"/>
  <c r="AL46" i="30" s="1"/>
  <c r="AH32" i="30"/>
  <c r="AG32" i="30"/>
  <c r="AI32" i="30" s="1"/>
  <c r="AL32" i="30" s="1"/>
  <c r="AL35" i="30"/>
  <c r="AH25" i="30"/>
  <c r="AG25" i="30"/>
  <c r="AI25" i="30" s="1"/>
  <c r="AL25" i="30" s="1"/>
  <c r="AH17" i="30"/>
  <c r="AG17" i="30"/>
  <c r="AI17" i="30" s="1"/>
  <c r="AL17" i="30" s="1"/>
  <c r="AG27" i="30"/>
  <c r="AI27" i="30" s="1"/>
  <c r="AL27" i="30" s="1"/>
  <c r="AH27" i="30"/>
  <c r="AH26" i="30"/>
  <c r="AG26" i="30"/>
  <c r="AI26" i="30" s="1"/>
  <c r="AG69" i="30"/>
  <c r="AI69" i="30" s="1"/>
  <c r="AL69" i="30" s="1"/>
  <c r="AH69" i="30"/>
  <c r="AH68" i="30"/>
  <c r="AG68" i="30"/>
  <c r="AI68" i="30" s="1"/>
  <c r="AL68" i="30" s="1"/>
  <c r="AL66" i="30"/>
  <c r="AG38" i="30"/>
  <c r="AI38" i="30" s="1"/>
  <c r="AK38" i="30" s="1"/>
  <c r="AG75" i="30"/>
  <c r="AI75" i="30" s="1"/>
  <c r="AK75" i="30" s="1"/>
  <c r="X6" i="31"/>
  <c r="C61" i="58" s="1"/>
  <c r="D61" i="58" s="1"/>
  <c r="AG45" i="30"/>
  <c r="AI45" i="30" s="1"/>
  <c r="AL45" i="30" s="1"/>
  <c r="AH45" i="30"/>
  <c r="AH31" i="30"/>
  <c r="AG31" i="30"/>
  <c r="AI31" i="30" s="1"/>
  <c r="AL31" i="30" s="1"/>
  <c r="AH47" i="30"/>
  <c r="AG47" i="30"/>
  <c r="AI47" i="30" s="1"/>
  <c r="AG73" i="30"/>
  <c r="AI73" i="30" s="1"/>
  <c r="AL73" i="30" s="1"/>
  <c r="AH73" i="30"/>
  <c r="AH41" i="30"/>
  <c r="AG41" i="30"/>
  <c r="AI41" i="30" s="1"/>
  <c r="AL41" i="30" s="1"/>
  <c r="AG49" i="30"/>
  <c r="AI49" i="30" s="1"/>
  <c r="AL49" i="30" s="1"/>
  <c r="AH49" i="30"/>
  <c r="AH43" i="30"/>
  <c r="AG43" i="30"/>
  <c r="AI43" i="30" s="1"/>
  <c r="AL43" i="30" s="1"/>
  <c r="AG30" i="30"/>
  <c r="AI30" i="30" s="1"/>
  <c r="AL30" i="30" s="1"/>
  <c r="AL52" i="30"/>
  <c r="AG36" i="30"/>
  <c r="AI36" i="30" s="1"/>
  <c r="AK36" i="30" s="1"/>
  <c r="AH66" i="30"/>
  <c r="AK66" i="30" s="1"/>
  <c r="AG19" i="30"/>
  <c r="AI19" i="30" s="1"/>
  <c r="AL71" i="30"/>
  <c r="AH35" i="30"/>
  <c r="AK35" i="30" s="1"/>
  <c r="AG74" i="30"/>
  <c r="AI74" i="30" s="1"/>
  <c r="AL55" i="30"/>
  <c r="X6" i="32"/>
  <c r="I61" i="58" s="1"/>
  <c r="J61" i="58" s="1"/>
  <c r="AH50" i="30"/>
  <c r="AG50" i="30"/>
  <c r="AI50" i="30" s="1"/>
  <c r="AL50" i="30" s="1"/>
  <c r="AL22" i="30"/>
  <c r="AG21" i="30"/>
  <c r="AI21" i="30" s="1"/>
  <c r="AL21" i="30" s="1"/>
  <c r="AH21" i="30"/>
  <c r="AH78" i="30"/>
  <c r="AG78" i="30"/>
  <c r="AI78" i="30" s="1"/>
  <c r="AL78" i="30" s="1"/>
  <c r="AG61" i="30"/>
  <c r="AI61" i="30" s="1"/>
  <c r="AH61" i="30"/>
  <c r="AG65" i="30"/>
  <c r="AI65" i="30" s="1"/>
  <c r="AL65" i="30" s="1"/>
  <c r="AH65" i="30"/>
  <c r="AH76" i="30"/>
  <c r="AG76" i="30"/>
  <c r="AI76" i="30" s="1"/>
  <c r="AG67" i="30"/>
  <c r="AI67" i="30" s="1"/>
  <c r="AL67" i="30" s="1"/>
  <c r="AH67" i="30"/>
  <c r="AG48" i="30"/>
  <c r="AI48" i="30" s="1"/>
  <c r="AL48" i="30" s="1"/>
  <c r="AG51" i="30"/>
  <c r="AI51" i="30" s="1"/>
  <c r="AH51" i="30"/>
  <c r="AG23" i="30"/>
  <c r="AI23" i="30" s="1"/>
  <c r="AL23" i="30" s="1"/>
  <c r="AG77" i="30"/>
  <c r="AI77" i="30" s="1"/>
  <c r="AK77" i="30" s="1"/>
  <c r="AG53" i="30"/>
  <c r="AI53" i="30" s="1"/>
  <c r="AL53" i="30" s="1"/>
  <c r="AH53" i="30"/>
  <c r="AG42" i="30"/>
  <c r="AI42" i="30" s="1"/>
  <c r="AK42" i="30" s="1"/>
  <c r="AG62" i="30"/>
  <c r="AI62" i="30" s="1"/>
  <c r="AK62" i="30" s="1"/>
  <c r="AG37" i="30"/>
  <c r="AI37" i="30" s="1"/>
  <c r="AH60" i="30"/>
  <c r="AK60" i="30" s="1"/>
  <c r="AG54" i="30"/>
  <c r="AI54" i="30" s="1"/>
  <c r="AH54" i="30"/>
  <c r="AG70" i="30"/>
  <c r="AI70" i="30" s="1"/>
  <c r="AL70" i="30" s="1"/>
  <c r="AH70" i="30"/>
  <c r="AL15" i="30"/>
  <c r="AL72" i="30"/>
  <c r="AL60" i="30"/>
  <c r="AG59" i="30"/>
  <c r="AI59" i="30" s="1"/>
  <c r="AL59" i="30" s="1"/>
  <c r="AH56" i="30"/>
  <c r="AG56" i="30"/>
  <c r="AI56" i="30" s="1"/>
  <c r="AL56" i="30" s="1"/>
  <c r="AH22" i="30"/>
  <c r="AK22" i="30" s="1"/>
  <c r="AH39" i="30"/>
  <c r="AG39" i="30"/>
  <c r="AI39" i="30" s="1"/>
  <c r="AL39" i="30" s="1"/>
  <c r="AH71" i="30"/>
  <c r="AK71" i="30" s="1"/>
  <c r="AH57" i="30"/>
  <c r="AG57" i="30"/>
  <c r="AI57" i="30" s="1"/>
  <c r="AH15" i="30"/>
  <c r="AK15" i="30" s="1"/>
  <c r="AG28" i="30"/>
  <c r="AI28" i="30" s="1"/>
  <c r="AL28" i="30" s="1"/>
  <c r="AH52" i="30"/>
  <c r="AK52" i="30" s="1"/>
  <c r="AG16" i="30"/>
  <c r="AI16" i="30" s="1"/>
  <c r="AH20" i="30"/>
  <c r="AG20" i="30"/>
  <c r="AI20" i="30" s="1"/>
  <c r="AH55" i="30"/>
  <c r="AK55" i="30" s="1"/>
  <c r="AG58" i="30"/>
  <c r="AI58" i="30" s="1"/>
  <c r="AH58" i="30"/>
  <c r="AG64" i="30"/>
  <c r="AI64" i="30" s="1"/>
  <c r="AH64" i="30"/>
  <c r="AG63" i="30"/>
  <c r="AI63" i="30" s="1"/>
  <c r="AH63" i="30"/>
  <c r="K14" i="30"/>
  <c r="J5" i="30"/>
  <c r="C11" i="58" s="1"/>
  <c r="C14" i="43"/>
  <c r="D14" i="43" s="1"/>
  <c r="J33" i="36"/>
  <c r="K33" i="36" s="1"/>
  <c r="H28" i="36"/>
  <c r="K28" i="36" s="1"/>
  <c r="C8" i="43"/>
  <c r="D8" i="43" s="1"/>
  <c r="I14" i="43"/>
  <c r="J14" i="43" s="1"/>
  <c r="E100" i="23"/>
  <c r="E99" i="23"/>
  <c r="F14" i="43"/>
  <c r="G14" i="43" s="1"/>
  <c r="I8" i="43"/>
  <c r="J8" i="43" s="1"/>
  <c r="F11" i="43"/>
  <c r="G11" i="43" s="1"/>
  <c r="C11" i="43"/>
  <c r="D11" i="43" s="1"/>
  <c r="I11" i="43"/>
  <c r="J11" i="43" s="1"/>
  <c r="R14" i="43"/>
  <c r="S14" i="43" s="1"/>
  <c r="B7" i="43"/>
  <c r="C14" i="58" l="1"/>
  <c r="H11" i="21" s="1"/>
  <c r="C7" i="60" s="1"/>
  <c r="AL44" i="30"/>
  <c r="AE4" i="30"/>
  <c r="AF4" i="30" s="1"/>
  <c r="AD5" i="30"/>
  <c r="AG3" i="30"/>
  <c r="AI3" i="30" s="1"/>
  <c r="AH2" i="30"/>
  <c r="AL38" i="30"/>
  <c r="AK30" i="30"/>
  <c r="C108" i="46"/>
  <c r="C429" i="46"/>
  <c r="AK25" i="30"/>
  <c r="AK78" i="30"/>
  <c r="AK23" i="30"/>
  <c r="AL75" i="30"/>
  <c r="AL42" i="30"/>
  <c r="AK18" i="30"/>
  <c r="C417" i="44"/>
  <c r="C106" i="44"/>
  <c r="C73" i="41"/>
  <c r="C153" i="41"/>
  <c r="C153" i="40"/>
  <c r="C73" i="40"/>
  <c r="AK32" i="30"/>
  <c r="AK68" i="30"/>
  <c r="AK40" i="30"/>
  <c r="AK24" i="30"/>
  <c r="AL36" i="30"/>
  <c r="AK34" i="30"/>
  <c r="AK26" i="30"/>
  <c r="AK46" i="30"/>
  <c r="AK69" i="30"/>
  <c r="AK48" i="30"/>
  <c r="AK49" i="30"/>
  <c r="AL29" i="30"/>
  <c r="AL34" i="30"/>
  <c r="AK20" i="30"/>
  <c r="I102" i="20"/>
  <c r="E102" i="20"/>
  <c r="D102" i="20"/>
  <c r="J102" i="20"/>
  <c r="K101" i="20"/>
  <c r="L101" i="20" s="1"/>
  <c r="M101" i="20" s="1"/>
  <c r="N101" i="20" s="1"/>
  <c r="A103" i="20" s="1"/>
  <c r="AK73" i="30"/>
  <c r="AK50" i="30"/>
  <c r="AL26" i="30"/>
  <c r="AK3" i="30"/>
  <c r="AK17" i="30"/>
  <c r="AK27" i="30"/>
  <c r="AL62" i="30"/>
  <c r="AK53" i="30"/>
  <c r="AK45" i="30"/>
  <c r="AK64" i="30"/>
  <c r="AK41" i="30"/>
  <c r="AL77" i="30"/>
  <c r="AK31" i="30"/>
  <c r="AK58" i="30"/>
  <c r="AK54" i="30"/>
  <c r="AK43" i="30"/>
  <c r="AL3" i="30"/>
  <c r="AK63" i="30"/>
  <c r="AK65" i="30"/>
  <c r="AK57" i="30"/>
  <c r="AL54" i="30"/>
  <c r="AK19" i="30"/>
  <c r="AL19" i="30"/>
  <c r="AK21" i="30"/>
  <c r="AK56" i="30"/>
  <c r="AK59" i="30"/>
  <c r="AL74" i="30"/>
  <c r="AK74" i="30"/>
  <c r="AL47" i="30"/>
  <c r="AK47" i="30"/>
  <c r="AL76" i="30"/>
  <c r="AK76" i="30"/>
  <c r="AK67" i="30"/>
  <c r="AL63" i="30"/>
  <c r="AK70" i="30"/>
  <c r="AL57" i="30"/>
  <c r="AK61" i="30"/>
  <c r="AL61" i="30"/>
  <c r="AL64" i="30"/>
  <c r="AK16" i="30"/>
  <c r="AL16" i="30"/>
  <c r="AK39" i="30"/>
  <c r="AK28" i="30"/>
  <c r="AL37" i="30"/>
  <c r="AK37" i="30"/>
  <c r="AL51" i="30"/>
  <c r="AK51" i="30"/>
  <c r="AL20" i="30"/>
  <c r="AL58" i="30"/>
  <c r="H40" i="36"/>
  <c r="K40" i="36" s="1"/>
  <c r="H22" i="36"/>
  <c r="K22" i="36" s="1"/>
  <c r="H14" i="36"/>
  <c r="K14" i="36" s="1"/>
  <c r="H9" i="36"/>
  <c r="K9" i="36" s="1"/>
  <c r="H34" i="36"/>
  <c r="K34" i="36" s="1"/>
  <c r="J11" i="36"/>
  <c r="K11" i="36" s="1"/>
  <c r="J30" i="36"/>
  <c r="K30" i="36" s="1"/>
  <c r="J51" i="36"/>
  <c r="K51" i="36" s="1"/>
  <c r="J24" i="36"/>
  <c r="K24" i="36" s="1"/>
  <c r="J45" i="36"/>
  <c r="K45" i="36" s="1"/>
  <c r="J48" i="36"/>
  <c r="K48" i="36" s="1"/>
  <c r="J42" i="36"/>
  <c r="K42" i="36" s="1"/>
  <c r="J19" i="36"/>
  <c r="K19" i="36" s="1"/>
  <c r="J16" i="36"/>
  <c r="K16" i="36" s="1"/>
  <c r="J39" i="36"/>
  <c r="K39" i="36" s="1"/>
  <c r="H31" i="36"/>
  <c r="K31" i="36" s="1"/>
  <c r="H17" i="36"/>
  <c r="K17" i="36" s="1"/>
  <c r="H46" i="36"/>
  <c r="K46" i="36" s="1"/>
  <c r="H25" i="36"/>
  <c r="K25" i="36" s="1"/>
  <c r="J36" i="36"/>
  <c r="K36" i="36" s="1"/>
  <c r="J27" i="36"/>
  <c r="K27" i="36" s="1"/>
  <c r="H37" i="36"/>
  <c r="K37" i="36" s="1"/>
  <c r="H49" i="36"/>
  <c r="K49" i="36" s="1"/>
  <c r="H43" i="36"/>
  <c r="K43" i="36" s="1"/>
  <c r="I41" i="36"/>
  <c r="K41" i="36" s="1"/>
  <c r="I15" i="36"/>
  <c r="K15" i="36" s="1"/>
  <c r="I10" i="36"/>
  <c r="K10" i="36" s="1"/>
  <c r="I29" i="36"/>
  <c r="K29" i="36" s="1"/>
  <c r="I47" i="36"/>
  <c r="K47" i="36" s="1"/>
  <c r="I26" i="36"/>
  <c r="K26" i="36" s="1"/>
  <c r="I35" i="36"/>
  <c r="K35" i="36" s="1"/>
  <c r="I44" i="36"/>
  <c r="K44" i="36" s="1"/>
  <c r="I38" i="36"/>
  <c r="K38" i="36" s="1"/>
  <c r="I23" i="36"/>
  <c r="K23" i="36" s="1"/>
  <c r="I50" i="36"/>
  <c r="K50" i="36" s="1"/>
  <c r="I32" i="36"/>
  <c r="K32" i="36" s="1"/>
  <c r="I18" i="36"/>
  <c r="K18" i="36" s="1"/>
  <c r="AE5" i="30" l="1"/>
  <c r="AF5" i="30" s="1"/>
  <c r="AD6" i="30"/>
  <c r="AG4" i="30"/>
  <c r="AH4" i="30"/>
  <c r="I103" i="20"/>
  <c r="E103" i="20"/>
  <c r="D103" i="20"/>
  <c r="J103" i="20"/>
  <c r="K102" i="20"/>
  <c r="L102" i="20" s="1"/>
  <c r="M102" i="20" s="1"/>
  <c r="N102" i="20" s="1"/>
  <c r="A104" i="20" s="1"/>
  <c r="AI4" i="30" l="1"/>
  <c r="AL4" i="30" s="1"/>
  <c r="AE6" i="30"/>
  <c r="AF6" i="30" s="1"/>
  <c r="AD7" i="30"/>
  <c r="AH5" i="30"/>
  <c r="AG5" i="30"/>
  <c r="D104" i="20"/>
  <c r="I104" i="20"/>
  <c r="E104" i="20"/>
  <c r="K103" i="20"/>
  <c r="L103" i="20" s="1"/>
  <c r="M103" i="20" s="1"/>
  <c r="N103" i="20" s="1"/>
  <c r="A105" i="20" s="1"/>
  <c r="J104" i="20"/>
  <c r="AK4" i="30" l="1"/>
  <c r="AE7" i="30"/>
  <c r="AF7" i="30" s="1"/>
  <c r="AD8" i="30"/>
  <c r="AH6" i="30"/>
  <c r="AG6" i="30"/>
  <c r="AI5" i="30"/>
  <c r="J105" i="20"/>
  <c r="K104" i="20"/>
  <c r="L104" i="20" s="1"/>
  <c r="M104" i="20" s="1"/>
  <c r="N104" i="20" s="1"/>
  <c r="A106" i="20" s="1"/>
  <c r="I105" i="20"/>
  <c r="E105" i="20"/>
  <c r="D105" i="20"/>
  <c r="AL5" i="30" l="1"/>
  <c r="AK5" i="30"/>
  <c r="AE8" i="30"/>
  <c r="AF8" i="30" s="1"/>
  <c r="AD9" i="30"/>
  <c r="AH7" i="30"/>
  <c r="AG7" i="30"/>
  <c r="AI6" i="30"/>
  <c r="E106" i="20"/>
  <c r="D106" i="20"/>
  <c r="I106" i="20"/>
  <c r="K105" i="20"/>
  <c r="L105" i="20" s="1"/>
  <c r="M105" i="20" s="1"/>
  <c r="N105" i="20" s="1"/>
  <c r="A107" i="20" s="1"/>
  <c r="J106" i="20"/>
  <c r="AL6" i="30" l="1"/>
  <c r="AK6" i="30"/>
  <c r="AI7" i="30"/>
  <c r="AE9" i="30"/>
  <c r="AF9" i="30" s="1"/>
  <c r="AD10" i="30"/>
  <c r="AH8" i="30"/>
  <c r="AG8" i="30"/>
  <c r="E107" i="20"/>
  <c r="I107" i="20"/>
  <c r="D107" i="20"/>
  <c r="J107" i="20"/>
  <c r="K106" i="20"/>
  <c r="L106" i="20" s="1"/>
  <c r="M106" i="20" s="1"/>
  <c r="N106" i="20" s="1"/>
  <c r="A108" i="20" s="1"/>
  <c r="AK7" i="30" l="1"/>
  <c r="AL7" i="30"/>
  <c r="AI8" i="30"/>
  <c r="AH9" i="30"/>
  <c r="AG9" i="30"/>
  <c r="AE10" i="30"/>
  <c r="AF10" i="30" s="1"/>
  <c r="AD11" i="30"/>
  <c r="J108" i="20"/>
  <c r="K107" i="20"/>
  <c r="L107" i="20" s="1"/>
  <c r="M107" i="20" s="1"/>
  <c r="N107" i="20" s="1"/>
  <c r="A109" i="20" s="1"/>
  <c r="E108" i="20"/>
  <c r="I108" i="20"/>
  <c r="D108" i="20"/>
  <c r="AK8" i="30" l="1"/>
  <c r="AL8" i="30"/>
  <c r="AI9" i="30"/>
  <c r="AE11" i="30"/>
  <c r="AF11" i="30" s="1"/>
  <c r="AD12" i="30"/>
  <c r="AH10" i="30"/>
  <c r="AG10" i="30"/>
  <c r="I109" i="20"/>
  <c r="E109" i="20"/>
  <c r="D109" i="20"/>
  <c r="K108" i="20"/>
  <c r="L108" i="20" s="1"/>
  <c r="M108" i="20" s="1"/>
  <c r="N108" i="20" s="1"/>
  <c r="A110" i="20" s="1"/>
  <c r="J109" i="20"/>
  <c r="AK9" i="30" l="1"/>
  <c r="AL9" i="30"/>
  <c r="AI10" i="30"/>
  <c r="AH11" i="30"/>
  <c r="AG11" i="30"/>
  <c r="AE12" i="30"/>
  <c r="AF12" i="30" s="1"/>
  <c r="AD13" i="30"/>
  <c r="I110" i="20"/>
  <c r="E110" i="20"/>
  <c r="D110" i="20"/>
  <c r="J110" i="20"/>
  <c r="K109" i="20"/>
  <c r="L109" i="20" s="1"/>
  <c r="M109" i="20" s="1"/>
  <c r="N109" i="20" s="1"/>
  <c r="A111" i="20" s="1"/>
  <c r="AL10" i="30" l="1"/>
  <c r="AK10" i="30"/>
  <c r="AI11" i="30"/>
  <c r="AE13" i="30"/>
  <c r="AF13" i="30" s="1"/>
  <c r="AD14" i="30"/>
  <c r="AE14" i="30" s="1"/>
  <c r="AF14" i="30" s="1"/>
  <c r="AH12" i="30"/>
  <c r="AG12" i="30"/>
  <c r="K110" i="20"/>
  <c r="L110" i="20" s="1"/>
  <c r="M110" i="20" s="1"/>
  <c r="N110" i="20" s="1"/>
  <c r="A112" i="20" s="1"/>
  <c r="J111" i="20"/>
  <c r="D111" i="20"/>
  <c r="E111" i="20"/>
  <c r="I111" i="20"/>
  <c r="AL11" i="30" l="1"/>
  <c r="AK11" i="30"/>
  <c r="AI12" i="30"/>
  <c r="AH14" i="30"/>
  <c r="AG14" i="30"/>
  <c r="AH13" i="30"/>
  <c r="AG13" i="30"/>
  <c r="K111" i="20"/>
  <c r="L111" i="20" s="1"/>
  <c r="M111" i="20" s="1"/>
  <c r="N111" i="20" s="1"/>
  <c r="A113" i="20" s="1"/>
  <c r="J112" i="20"/>
  <c r="I112" i="20"/>
  <c r="D112" i="20"/>
  <c r="E112" i="20"/>
  <c r="AL12" i="30" l="1"/>
  <c r="AK12" i="30"/>
  <c r="AI13" i="30"/>
  <c r="AL2" i="30"/>
  <c r="AB6" i="58" s="1"/>
  <c r="AK2" i="30"/>
  <c r="AA6" i="58" s="1"/>
  <c r="J113" i="20"/>
  <c r="K112" i="20"/>
  <c r="L112" i="20" s="1"/>
  <c r="M112" i="20" s="1"/>
  <c r="N112" i="20" s="1"/>
  <c r="A114" i="20" s="1"/>
  <c r="I113" i="20"/>
  <c r="E113" i="20"/>
  <c r="D113" i="20"/>
  <c r="AI14" i="30" l="1"/>
  <c r="AL13" i="30"/>
  <c r="AK13" i="30"/>
  <c r="E114" i="20"/>
  <c r="D114" i="20"/>
  <c r="I114" i="20"/>
  <c r="K113" i="20"/>
  <c r="L113" i="20" s="1"/>
  <c r="M113" i="20" s="1"/>
  <c r="N113" i="20" s="1"/>
  <c r="A115" i="20" s="1"/>
  <c r="J114" i="20"/>
  <c r="AL14" i="30" l="1"/>
  <c r="AK14" i="30"/>
  <c r="W44" i="58" s="1"/>
  <c r="I115" i="20"/>
  <c r="E115" i="20"/>
  <c r="D115" i="20"/>
  <c r="J115" i="20"/>
  <c r="K114" i="20"/>
  <c r="L114" i="20" s="1"/>
  <c r="M114" i="20" s="1"/>
  <c r="N114" i="20" s="1"/>
  <c r="A116" i="20" s="1"/>
  <c r="H4" i="21" l="1"/>
  <c r="I116" i="20"/>
  <c r="E116" i="20"/>
  <c r="D116" i="20"/>
  <c r="J116" i="20"/>
  <c r="K115" i="20"/>
  <c r="L115" i="20" s="1"/>
  <c r="M115" i="20" s="1"/>
  <c r="N115" i="20" s="1"/>
  <c r="A117" i="20" s="1"/>
  <c r="W45" i="58" l="1"/>
  <c r="H5" i="21" s="1"/>
  <c r="W46" i="58" a="1"/>
  <c r="W46" i="58" s="1"/>
  <c r="H6" i="21" s="1"/>
  <c r="K116" i="20"/>
  <c r="L116" i="20" s="1"/>
  <c r="M116" i="20" s="1"/>
  <c r="N116" i="20" s="1"/>
  <c r="A118" i="20" s="1"/>
  <c r="J117" i="20"/>
  <c r="I117" i="20"/>
  <c r="E117" i="20"/>
  <c r="D117" i="20"/>
  <c r="J118" i="20" l="1"/>
  <c r="K117" i="20"/>
  <c r="L117" i="20" s="1"/>
  <c r="M117" i="20" s="1"/>
  <c r="N117" i="20" s="1"/>
  <c r="A119" i="20" s="1"/>
  <c r="I118" i="20"/>
  <c r="E118" i="20"/>
  <c r="D118" i="20"/>
  <c r="D119" i="20" l="1"/>
  <c r="I119" i="20"/>
  <c r="E119" i="20"/>
  <c r="K118" i="20"/>
  <c r="L118" i="20" s="1"/>
  <c r="M118" i="20" s="1"/>
  <c r="N118" i="20" s="1"/>
  <c r="A120" i="20" s="1"/>
  <c r="J119" i="20"/>
  <c r="I120" i="20" l="1"/>
  <c r="E120" i="20"/>
  <c r="D120" i="20"/>
  <c r="K119" i="20"/>
  <c r="L119" i="20" s="1"/>
  <c r="M119" i="20" s="1"/>
  <c r="N119" i="20" s="1"/>
  <c r="A121" i="20" s="1"/>
  <c r="J120" i="20"/>
  <c r="I121" i="20" l="1"/>
  <c r="E121" i="20"/>
  <c r="D121" i="20"/>
  <c r="J121" i="20"/>
  <c r="K120" i="20"/>
  <c r="L120" i="20" s="1"/>
  <c r="M120" i="20" s="1"/>
  <c r="N120" i="20" s="1"/>
  <c r="A122" i="20" s="1"/>
  <c r="E122" i="20" l="1"/>
  <c r="D122" i="20"/>
  <c r="I122" i="20"/>
  <c r="K121" i="20"/>
  <c r="L121" i="20" s="1"/>
  <c r="M121" i="20" s="1"/>
  <c r="N121" i="20" s="1"/>
  <c r="A123" i="20" s="1"/>
  <c r="J122" i="20"/>
  <c r="I123" i="20" l="1"/>
  <c r="E123" i="20"/>
  <c r="D123" i="20"/>
  <c r="J123" i="20"/>
  <c r="K122" i="20"/>
  <c r="L122" i="20" s="1"/>
  <c r="M122" i="20" s="1"/>
  <c r="N122" i="20" s="1"/>
  <c r="A124" i="20" s="1"/>
  <c r="E124" i="20" l="1"/>
  <c r="D124" i="20"/>
  <c r="I124" i="20"/>
  <c r="J124" i="20"/>
  <c r="K123" i="20"/>
  <c r="L123" i="20" s="1"/>
  <c r="M123" i="20" s="1"/>
  <c r="N123" i="20" s="1"/>
  <c r="A125" i="20" s="1"/>
  <c r="K124" i="20" l="1"/>
  <c r="L124" i="20" s="1"/>
  <c r="M124" i="20" s="1"/>
  <c r="N124" i="20" s="1"/>
  <c r="A126" i="20" s="1"/>
  <c r="J125" i="20"/>
  <c r="I125" i="20"/>
  <c r="E125" i="20"/>
  <c r="D125" i="20"/>
  <c r="J126" i="20" l="1"/>
  <c r="K125" i="20"/>
  <c r="L125" i="20" s="1"/>
  <c r="M125" i="20" s="1"/>
  <c r="N125" i="20" s="1"/>
  <c r="A127" i="20" s="1"/>
  <c r="I126" i="20"/>
  <c r="E126" i="20"/>
  <c r="D126" i="20"/>
  <c r="D127" i="20" l="1"/>
  <c r="I127" i="20"/>
  <c r="E127" i="20"/>
  <c r="K126" i="20"/>
  <c r="L126" i="20" s="1"/>
  <c r="M126" i="20" s="1"/>
  <c r="N126" i="20" s="1"/>
  <c r="A128" i="20" s="1"/>
  <c r="J127" i="20"/>
  <c r="I128" i="20" l="1"/>
  <c r="E128" i="20"/>
  <c r="D128" i="20"/>
  <c r="K127" i="20"/>
  <c r="L127" i="20" s="1"/>
  <c r="M127" i="20" s="1"/>
  <c r="N127" i="20" s="1"/>
  <c r="A129" i="20" s="1"/>
  <c r="J128" i="20"/>
  <c r="J129" i="20" l="1"/>
  <c r="K128" i="20"/>
  <c r="L128" i="20" s="1"/>
  <c r="M128" i="20" s="1"/>
  <c r="N128" i="20" s="1"/>
  <c r="A130" i="20" s="1"/>
  <c r="I129" i="20"/>
  <c r="E129" i="20"/>
  <c r="D129" i="20"/>
  <c r="E130" i="20" l="1"/>
  <c r="D130" i="20"/>
  <c r="I130" i="20"/>
  <c r="K129" i="20"/>
  <c r="L129" i="20" s="1"/>
  <c r="M129" i="20" s="1"/>
  <c r="N129" i="20" s="1"/>
  <c r="A131" i="20" s="1"/>
  <c r="J130" i="20"/>
  <c r="I131" i="20" l="1"/>
  <c r="E131" i="20"/>
  <c r="D131" i="20"/>
  <c r="J131" i="20"/>
  <c r="K130" i="20"/>
  <c r="L130" i="20" s="1"/>
  <c r="M130" i="20" s="1"/>
  <c r="N130" i="20" s="1"/>
  <c r="A132" i="20" s="1"/>
  <c r="D132" i="20" l="1"/>
  <c r="I132" i="20"/>
  <c r="E132" i="20"/>
  <c r="J132" i="20"/>
  <c r="K131" i="20"/>
  <c r="L131" i="20" s="1"/>
  <c r="M131" i="20" s="1"/>
  <c r="N131" i="20" s="1"/>
  <c r="A133" i="20" s="1"/>
  <c r="I133" i="20" l="1"/>
  <c r="E133" i="20"/>
  <c r="D133" i="20"/>
  <c r="K132" i="20"/>
  <c r="L132" i="20" s="1"/>
  <c r="M132" i="20" s="1"/>
  <c r="N132" i="20" s="1"/>
  <c r="A134" i="20" s="1"/>
  <c r="J133" i="20"/>
  <c r="J134" i="20" l="1"/>
  <c r="K133" i="20"/>
  <c r="L133" i="20" s="1"/>
  <c r="M133" i="20" s="1"/>
  <c r="N133" i="20" s="1"/>
  <c r="A135" i="20" s="1"/>
  <c r="I134" i="20"/>
  <c r="E134" i="20"/>
  <c r="D134" i="20"/>
  <c r="D135" i="20" l="1"/>
  <c r="I135" i="20"/>
  <c r="E135" i="20"/>
  <c r="K134" i="20"/>
  <c r="L134" i="20" s="1"/>
  <c r="M134" i="20" s="1"/>
  <c r="N134" i="20" s="1"/>
  <c r="A136" i="20" s="1"/>
  <c r="J135" i="20"/>
  <c r="I136" i="20" l="1"/>
  <c r="E136" i="20"/>
  <c r="D136" i="20"/>
  <c r="K135" i="20"/>
  <c r="L135" i="20" s="1"/>
  <c r="M135" i="20" s="1"/>
  <c r="N135" i="20" s="1"/>
  <c r="A137" i="20" s="1"/>
  <c r="J136" i="20"/>
  <c r="I137" i="20" l="1"/>
  <c r="E137" i="20"/>
  <c r="D137" i="20"/>
  <c r="J137" i="20"/>
  <c r="K136" i="20"/>
  <c r="L136" i="20" s="1"/>
  <c r="M136" i="20" s="1"/>
  <c r="N136" i="20" s="1"/>
  <c r="A138" i="20" s="1"/>
  <c r="K137" i="20" l="1"/>
  <c r="L137" i="20" s="1"/>
  <c r="M137" i="20" s="1"/>
  <c r="N137" i="20" s="1"/>
  <c r="A139" i="20" s="1"/>
  <c r="J138" i="20"/>
  <c r="E138" i="20"/>
  <c r="D138" i="20"/>
  <c r="I138" i="20"/>
  <c r="J139" i="20" l="1"/>
  <c r="K138" i="20"/>
  <c r="L138" i="20" s="1"/>
  <c r="M138" i="20" s="1"/>
  <c r="N138" i="20" s="1"/>
  <c r="A140" i="20" s="1"/>
  <c r="I139" i="20"/>
  <c r="E139" i="20"/>
  <c r="D139" i="20"/>
  <c r="I140" i="20" l="1"/>
  <c r="E140" i="20"/>
  <c r="D140" i="20"/>
  <c r="J140" i="20"/>
  <c r="K139" i="20"/>
  <c r="L139" i="20" s="1"/>
  <c r="M139" i="20" s="1"/>
  <c r="N139" i="20" s="1"/>
  <c r="A141" i="20" s="1"/>
  <c r="K140" i="20" l="1"/>
  <c r="L140" i="20" s="1"/>
  <c r="M140" i="20" s="1"/>
  <c r="N140" i="20" s="1"/>
  <c r="A142" i="20" s="1"/>
  <c r="J141" i="20"/>
  <c r="I141" i="20"/>
  <c r="E141" i="20"/>
  <c r="D141" i="20"/>
  <c r="J142" i="20" l="1"/>
  <c r="K141" i="20"/>
  <c r="L141" i="20" s="1"/>
  <c r="M141" i="20" s="1"/>
  <c r="N141" i="20" s="1"/>
  <c r="A143" i="20" s="1"/>
  <c r="I142" i="20"/>
  <c r="E142" i="20"/>
  <c r="D142" i="20"/>
  <c r="D143" i="20" l="1"/>
  <c r="I143" i="20"/>
  <c r="E143" i="20"/>
  <c r="K142" i="20"/>
  <c r="L142" i="20" s="1"/>
  <c r="M142" i="20" s="1"/>
  <c r="N142" i="20" s="1"/>
  <c r="A144" i="20" s="1"/>
  <c r="J143" i="20"/>
  <c r="I144" i="20" l="1"/>
  <c r="E144" i="20"/>
  <c r="D144" i="20"/>
  <c r="K143" i="20"/>
  <c r="L143" i="20" s="1"/>
  <c r="M143" i="20" s="1"/>
  <c r="N143" i="20" s="1"/>
  <c r="A145" i="20" s="1"/>
  <c r="J144" i="20"/>
  <c r="J145" i="20" l="1"/>
  <c r="K144" i="20"/>
  <c r="L144" i="20" s="1"/>
  <c r="M144" i="20" s="1"/>
  <c r="N144" i="20" s="1"/>
  <c r="A146" i="20" s="1"/>
  <c r="I145" i="20"/>
  <c r="E145" i="20"/>
  <c r="D145" i="20"/>
  <c r="E146" i="20" l="1"/>
  <c r="D146" i="20"/>
  <c r="I146" i="20"/>
  <c r="K145" i="20"/>
  <c r="L145" i="20" s="1"/>
  <c r="M145" i="20" s="1"/>
  <c r="N145" i="20" s="1"/>
  <c r="A147" i="20" s="1"/>
  <c r="J146" i="20"/>
  <c r="I147" i="20" l="1"/>
  <c r="E147" i="20"/>
  <c r="D147" i="20"/>
  <c r="J147" i="20"/>
  <c r="K146" i="20"/>
  <c r="L146" i="20" s="1"/>
  <c r="M146" i="20" s="1"/>
  <c r="N146" i="20" s="1"/>
  <c r="A148" i="20" s="1"/>
  <c r="I148" i="20" l="1"/>
  <c r="E148" i="20"/>
  <c r="D148" i="20"/>
  <c r="J148" i="20"/>
  <c r="K147" i="20"/>
  <c r="L147" i="20" s="1"/>
  <c r="M147" i="20" s="1"/>
  <c r="N147" i="20" s="1"/>
  <c r="A149" i="20" s="1"/>
  <c r="K148" i="20" l="1"/>
  <c r="L148" i="20" s="1"/>
  <c r="M148" i="20" s="1"/>
  <c r="N148" i="20" s="1"/>
  <c r="A150" i="20" s="1"/>
  <c r="J149" i="20"/>
  <c r="I149" i="20"/>
  <c r="E149" i="20"/>
  <c r="D149" i="20"/>
  <c r="J150" i="20" l="1"/>
  <c r="K149" i="20"/>
  <c r="L149" i="20" s="1"/>
  <c r="M149" i="20" s="1"/>
  <c r="N149" i="20" s="1"/>
  <c r="A151" i="20" s="1"/>
  <c r="I150" i="20"/>
  <c r="E150" i="20"/>
  <c r="D150" i="20"/>
  <c r="D151" i="20" l="1"/>
  <c r="E151" i="20"/>
  <c r="I151" i="20"/>
  <c r="K150" i="20"/>
  <c r="L150" i="20" s="1"/>
  <c r="M150" i="20" s="1"/>
  <c r="N150" i="20" s="1"/>
  <c r="A152" i="20" s="1"/>
  <c r="J151" i="20"/>
  <c r="K151" i="20" l="1"/>
  <c r="L151" i="20" s="1"/>
  <c r="M151" i="20" s="1"/>
  <c r="N151" i="20" s="1"/>
  <c r="A153" i="20" s="1"/>
  <c r="J152" i="20"/>
  <c r="I152" i="20"/>
  <c r="E152" i="20"/>
  <c r="D152" i="20"/>
  <c r="J153" i="20" l="1"/>
  <c r="K152" i="20"/>
  <c r="L152" i="20" s="1"/>
  <c r="M152" i="20" s="1"/>
  <c r="N152" i="20" s="1"/>
  <c r="A154" i="20" s="1"/>
  <c r="I153" i="20"/>
  <c r="E153" i="20"/>
  <c r="D153" i="20"/>
  <c r="E154" i="20" l="1"/>
  <c r="D154" i="20"/>
  <c r="I154" i="20"/>
  <c r="K153" i="20"/>
  <c r="L153" i="20" s="1"/>
  <c r="M153" i="20" s="1"/>
  <c r="N153" i="20" s="1"/>
  <c r="A155" i="20" s="1"/>
  <c r="J154" i="20"/>
  <c r="J155" i="20" l="1"/>
  <c r="K154" i="20"/>
  <c r="L154" i="20" s="1"/>
  <c r="M154" i="20" s="1"/>
  <c r="N154" i="20" s="1"/>
  <c r="A156" i="20" s="1"/>
  <c r="I155" i="20"/>
  <c r="E155" i="20"/>
  <c r="D155" i="20"/>
  <c r="I156" i="20" l="1"/>
  <c r="E156" i="20"/>
  <c r="D156" i="20"/>
  <c r="J156" i="20"/>
  <c r="K155" i="20"/>
  <c r="L155" i="20" s="1"/>
  <c r="M155" i="20" s="1"/>
  <c r="N155" i="20" s="1"/>
  <c r="A157" i="20" s="1"/>
  <c r="K156" i="20" l="1"/>
  <c r="L156" i="20" s="1"/>
  <c r="M156" i="20" s="1"/>
  <c r="N156" i="20" s="1"/>
  <c r="A158" i="20" s="1"/>
  <c r="J157" i="20"/>
  <c r="I157" i="20"/>
  <c r="E157" i="20"/>
  <c r="D157" i="20"/>
  <c r="J158" i="20" l="1"/>
  <c r="K157" i="20"/>
  <c r="L157" i="20" s="1"/>
  <c r="M157" i="20" s="1"/>
  <c r="N157" i="20" s="1"/>
  <c r="A159" i="20" s="1"/>
  <c r="I158" i="20"/>
  <c r="E158" i="20"/>
  <c r="D158" i="20"/>
  <c r="D159" i="20" l="1"/>
  <c r="E159" i="20"/>
  <c r="I159" i="20"/>
  <c r="K158" i="20"/>
  <c r="L158" i="20" s="1"/>
  <c r="M158" i="20" s="1"/>
  <c r="N158" i="20" s="1"/>
  <c r="A160" i="20" s="1"/>
  <c r="J159" i="20"/>
  <c r="I160" i="20" l="1"/>
  <c r="E160" i="20"/>
  <c r="D160" i="20"/>
  <c r="K159" i="20"/>
  <c r="L159" i="20" s="1"/>
  <c r="M159" i="20" s="1"/>
  <c r="N159" i="20" s="1"/>
  <c r="A161" i="20" s="1"/>
  <c r="J160" i="20"/>
  <c r="J161" i="20" l="1"/>
  <c r="K160" i="20"/>
  <c r="L160" i="20" s="1"/>
  <c r="M160" i="20" s="1"/>
  <c r="N160" i="20" s="1"/>
  <c r="A162" i="20" s="1"/>
  <c r="I161" i="20"/>
  <c r="E161" i="20"/>
  <c r="D161" i="20"/>
  <c r="E162" i="20" l="1"/>
  <c r="D162" i="20"/>
  <c r="I162" i="20"/>
  <c r="K161" i="20"/>
  <c r="L161" i="20" s="1"/>
  <c r="M161" i="20" s="1"/>
  <c r="N161" i="20" s="1"/>
  <c r="A163" i="20" s="1"/>
  <c r="J162" i="20"/>
  <c r="I163" i="20" l="1"/>
  <c r="E163" i="20"/>
  <c r="D163" i="20"/>
  <c r="J163" i="20"/>
  <c r="K162" i="20"/>
  <c r="L162" i="20" s="1"/>
  <c r="M162" i="20" s="1"/>
  <c r="N162" i="20" s="1"/>
  <c r="A164" i="20" s="1"/>
  <c r="J164" i="20" l="1"/>
  <c r="K163" i="20"/>
  <c r="L163" i="20" s="1"/>
  <c r="M163" i="20" s="1"/>
  <c r="N163" i="20" s="1"/>
  <c r="A165" i="20" s="1"/>
  <c r="I164" i="20"/>
  <c r="E164" i="20"/>
  <c r="D164" i="20"/>
  <c r="I165" i="20" l="1"/>
  <c r="E165" i="20"/>
  <c r="D165" i="20"/>
  <c r="K164" i="20"/>
  <c r="L164" i="20" s="1"/>
  <c r="M164" i="20" s="1"/>
  <c r="N164" i="20" s="1"/>
  <c r="A166" i="20" s="1"/>
  <c r="J165" i="20"/>
  <c r="I166" i="20" l="1"/>
  <c r="E166" i="20"/>
  <c r="D166" i="20"/>
  <c r="J166" i="20"/>
  <c r="K165" i="20"/>
  <c r="L165" i="20" s="1"/>
  <c r="M165" i="20" s="1"/>
  <c r="N165" i="20" s="1"/>
  <c r="A167" i="20" s="1"/>
  <c r="K166" i="20" l="1"/>
  <c r="L166" i="20" s="1"/>
  <c r="M166" i="20" s="1"/>
  <c r="N166" i="20" s="1"/>
  <c r="A168" i="20" s="1"/>
  <c r="J167" i="20"/>
  <c r="D167" i="20"/>
  <c r="E167" i="20"/>
  <c r="I167" i="20"/>
  <c r="K167" i="20" l="1"/>
  <c r="L167" i="20" s="1"/>
  <c r="M167" i="20" s="1"/>
  <c r="N167" i="20" s="1"/>
  <c r="A169" i="20" s="1"/>
  <c r="J168" i="20"/>
  <c r="I168" i="20"/>
  <c r="E168" i="20"/>
  <c r="D168" i="20"/>
  <c r="J169" i="20" l="1"/>
  <c r="K168" i="20"/>
  <c r="L168" i="20" s="1"/>
  <c r="M168" i="20" s="1"/>
  <c r="N168" i="20" s="1"/>
  <c r="A170" i="20" s="1"/>
  <c r="I169" i="20"/>
  <c r="E169" i="20"/>
  <c r="D169" i="20"/>
  <c r="E170" i="20" l="1"/>
  <c r="D170" i="20"/>
  <c r="I170" i="20"/>
  <c r="K169" i="20"/>
  <c r="L169" i="20" s="1"/>
  <c r="M169" i="20" s="1"/>
  <c r="N169" i="20" s="1"/>
  <c r="A171" i="20" s="1"/>
  <c r="J170" i="20"/>
  <c r="I171" i="20" l="1"/>
  <c r="E171" i="20"/>
  <c r="D171" i="20"/>
  <c r="J171" i="20"/>
  <c r="K170" i="20"/>
  <c r="L170" i="20" s="1"/>
  <c r="M170" i="20" s="1"/>
  <c r="N170" i="20" s="1"/>
  <c r="A172" i="20" s="1"/>
  <c r="J172" i="20" l="1"/>
  <c r="K171" i="20"/>
  <c r="L171" i="20" s="1"/>
  <c r="M171" i="20" s="1"/>
  <c r="N171" i="20" s="1"/>
  <c r="A173" i="20" s="1"/>
  <c r="I172" i="20"/>
  <c r="E172" i="20"/>
  <c r="D172" i="20"/>
  <c r="I173" i="20" l="1"/>
  <c r="E173" i="20"/>
  <c r="D173" i="20"/>
  <c r="K172" i="20"/>
  <c r="L172" i="20" s="1"/>
  <c r="M172" i="20" s="1"/>
  <c r="N172" i="20" s="1"/>
  <c r="A174" i="20" s="1"/>
  <c r="J173" i="20"/>
  <c r="I174" i="20" l="1"/>
  <c r="E174" i="20"/>
  <c r="D174" i="20"/>
  <c r="J174" i="20"/>
  <c r="K173" i="20"/>
  <c r="L173" i="20" s="1"/>
  <c r="M173" i="20" s="1"/>
  <c r="N173" i="20" s="1"/>
  <c r="A175" i="20" s="1"/>
  <c r="K174" i="20" l="1"/>
  <c r="L174" i="20" s="1"/>
  <c r="M174" i="20" s="1"/>
  <c r="N174" i="20" s="1"/>
  <c r="A176" i="20" s="1"/>
  <c r="J175" i="20"/>
  <c r="D175" i="20"/>
  <c r="E175" i="20"/>
  <c r="I175" i="20"/>
  <c r="K175" i="20" l="1"/>
  <c r="L175" i="20" s="1"/>
  <c r="M175" i="20" s="1"/>
  <c r="N175" i="20" s="1"/>
  <c r="A177" i="20" s="1"/>
  <c r="J176" i="20"/>
  <c r="I176" i="20"/>
  <c r="E176" i="20"/>
  <c r="D176" i="20"/>
  <c r="J177" i="20" l="1"/>
  <c r="K176" i="20"/>
  <c r="L176" i="20" s="1"/>
  <c r="M176" i="20" s="1"/>
  <c r="N176" i="20" s="1"/>
  <c r="A178" i="20" s="1"/>
  <c r="I177" i="20"/>
  <c r="E177" i="20"/>
  <c r="D177" i="20"/>
  <c r="E178" i="20" l="1"/>
  <c r="D178" i="20"/>
  <c r="I178" i="20"/>
  <c r="K177" i="20"/>
  <c r="L177" i="20" s="1"/>
  <c r="M177" i="20" s="1"/>
  <c r="N177" i="20" s="1"/>
  <c r="A179" i="20" s="1"/>
  <c r="J178" i="20"/>
  <c r="I179" i="20" l="1"/>
  <c r="E179" i="20"/>
  <c r="D179" i="20"/>
  <c r="J179" i="20"/>
  <c r="K178" i="20"/>
  <c r="L178" i="20" s="1"/>
  <c r="M178" i="20" s="1"/>
  <c r="N178" i="20" s="1"/>
  <c r="A180" i="20" s="1"/>
  <c r="I180" i="20" l="1"/>
  <c r="E180" i="20"/>
  <c r="D180" i="20"/>
  <c r="J180" i="20"/>
  <c r="K179" i="20"/>
  <c r="L179" i="20" s="1"/>
  <c r="M179" i="20" s="1"/>
  <c r="N179" i="20" s="1"/>
  <c r="A181" i="20" s="1"/>
  <c r="K180" i="20" l="1"/>
  <c r="L180" i="20" s="1"/>
  <c r="M180" i="20" s="1"/>
  <c r="N180" i="20" s="1"/>
  <c r="A182" i="20" s="1"/>
  <c r="J181" i="20"/>
  <c r="I181" i="20"/>
  <c r="E181" i="20"/>
  <c r="D181" i="20"/>
  <c r="J182" i="20" l="1"/>
  <c r="K181" i="20"/>
  <c r="L181" i="20" s="1"/>
  <c r="M181" i="20" s="1"/>
  <c r="N181" i="20" s="1"/>
  <c r="A183" i="20" s="1"/>
  <c r="I182" i="20"/>
  <c r="E182" i="20"/>
  <c r="D182" i="20"/>
  <c r="E183" i="20" l="1"/>
  <c r="D183" i="20"/>
  <c r="I183" i="20"/>
  <c r="K182" i="20"/>
  <c r="L182" i="20" s="1"/>
  <c r="M182" i="20" s="1"/>
  <c r="N182" i="20" s="1"/>
  <c r="A184" i="20" s="1"/>
  <c r="J183" i="20"/>
  <c r="J184" i="20" l="1"/>
  <c r="K183" i="20"/>
  <c r="L183" i="20" s="1"/>
  <c r="M183" i="20" s="1"/>
  <c r="N183" i="20" s="1"/>
  <c r="A185" i="20" s="1"/>
  <c r="I184" i="20"/>
  <c r="E184" i="20"/>
  <c r="D184" i="20"/>
  <c r="I185" i="20" l="1"/>
  <c r="E185" i="20"/>
  <c r="D185" i="20"/>
  <c r="J185" i="20"/>
  <c r="K184" i="20"/>
  <c r="L184" i="20" s="1"/>
  <c r="M184" i="20" s="1"/>
  <c r="N184" i="20" s="1"/>
  <c r="A186" i="20" s="1"/>
  <c r="K185" i="20" l="1"/>
  <c r="L185" i="20" s="1"/>
  <c r="M185" i="20" s="1"/>
  <c r="N185" i="20" s="1"/>
  <c r="A187" i="20" s="1"/>
  <c r="J186" i="20"/>
  <c r="I186" i="20"/>
  <c r="E186" i="20"/>
  <c r="D186" i="20"/>
  <c r="J187" i="20" l="1"/>
  <c r="K186" i="20"/>
  <c r="L186" i="20" s="1"/>
  <c r="M186" i="20" s="1"/>
  <c r="N186" i="20" s="1"/>
  <c r="A188" i="20" s="1"/>
  <c r="I187" i="20"/>
  <c r="E187" i="20"/>
  <c r="D187" i="20"/>
  <c r="E188" i="20" l="1"/>
  <c r="D188" i="20"/>
  <c r="I188" i="20"/>
  <c r="K187" i="20"/>
  <c r="L187" i="20" s="1"/>
  <c r="M187" i="20" s="1"/>
  <c r="N187" i="20" s="1"/>
  <c r="A189" i="20" s="1"/>
  <c r="J188" i="20"/>
  <c r="J189" i="20" l="1"/>
  <c r="K188" i="20"/>
  <c r="L188" i="20" s="1"/>
  <c r="M188" i="20" s="1"/>
  <c r="N188" i="20" s="1"/>
  <c r="A190" i="20" s="1"/>
  <c r="D189" i="20"/>
  <c r="I189" i="20"/>
  <c r="E189" i="20"/>
  <c r="I190" i="20" l="1"/>
  <c r="D190" i="20"/>
  <c r="E190" i="20"/>
  <c r="K189" i="20"/>
  <c r="L189" i="20" s="1"/>
  <c r="M189" i="20" s="1"/>
  <c r="N189" i="20" s="1"/>
  <c r="A191" i="20" s="1"/>
  <c r="J190" i="20"/>
  <c r="K190" i="20" l="1"/>
  <c r="L190" i="20" s="1"/>
  <c r="M190" i="20" s="1"/>
  <c r="N190" i="20" s="1"/>
  <c r="A192" i="20" s="1"/>
  <c r="J191" i="20"/>
  <c r="I191" i="20"/>
  <c r="E191" i="20"/>
  <c r="D191" i="20"/>
  <c r="J192" i="20" l="1"/>
  <c r="K191" i="20"/>
  <c r="L191" i="20" s="1"/>
  <c r="M191" i="20" s="1"/>
  <c r="N191" i="20" s="1"/>
  <c r="A193" i="20" s="1"/>
  <c r="I192" i="20"/>
  <c r="E192" i="20"/>
  <c r="D192" i="20"/>
  <c r="I193" i="20" l="1"/>
  <c r="E193" i="20"/>
  <c r="D193" i="20"/>
  <c r="J193" i="20"/>
  <c r="K192" i="20"/>
  <c r="L192" i="20" s="1"/>
  <c r="M192" i="20" s="1"/>
  <c r="N192" i="20" s="1"/>
  <c r="A194" i="20" s="1"/>
  <c r="J194" i="20" l="1"/>
  <c r="K193" i="20"/>
  <c r="L193" i="20" s="1"/>
  <c r="M193" i="20" s="1"/>
  <c r="N193" i="20" s="1"/>
  <c r="A195" i="20" s="1"/>
  <c r="I194" i="20"/>
  <c r="E194" i="20"/>
  <c r="D194" i="20"/>
  <c r="D195" i="20" l="1"/>
  <c r="E195" i="20"/>
  <c r="I195" i="20"/>
  <c r="K194" i="20"/>
  <c r="L194" i="20" s="1"/>
  <c r="M194" i="20" s="1"/>
  <c r="N194" i="20" s="1"/>
  <c r="A196" i="20" s="1"/>
  <c r="J195" i="20"/>
  <c r="E196" i="20" l="1"/>
  <c r="I196" i="20"/>
  <c r="D196" i="20"/>
  <c r="J196" i="20"/>
  <c r="K195" i="20"/>
  <c r="L195" i="20" s="1"/>
  <c r="M195" i="20" s="1"/>
  <c r="N195" i="20" s="1"/>
  <c r="A197" i="20" s="1"/>
  <c r="D197" i="20" l="1"/>
  <c r="E197" i="20"/>
  <c r="I197" i="20"/>
  <c r="J197" i="20"/>
  <c r="K196" i="20"/>
  <c r="L196" i="20" s="1"/>
  <c r="M196" i="20" s="1"/>
  <c r="N196" i="20" s="1"/>
  <c r="A198" i="20" s="1"/>
  <c r="I198" i="20" l="1"/>
  <c r="E198" i="20"/>
  <c r="D198" i="20"/>
  <c r="J198" i="20"/>
  <c r="K197" i="20"/>
  <c r="L197" i="20" s="1"/>
  <c r="M197" i="20" s="1"/>
  <c r="N197" i="20" s="1"/>
  <c r="A199" i="20" s="1"/>
  <c r="I199" i="20" l="1"/>
  <c r="D199" i="20"/>
  <c r="E199" i="20"/>
  <c r="K198" i="20"/>
  <c r="L198" i="20" s="1"/>
  <c r="M198" i="20" s="1"/>
  <c r="N198" i="20" s="1"/>
  <c r="A200" i="20" s="1"/>
  <c r="J199" i="20"/>
  <c r="I200" i="20" l="1"/>
  <c r="E200" i="20"/>
  <c r="D200" i="20"/>
  <c r="J200" i="20"/>
  <c r="K199" i="20"/>
  <c r="L199" i="20" s="1"/>
  <c r="M199" i="20" s="1"/>
  <c r="N199" i="20" s="1"/>
  <c r="A201" i="20" s="1"/>
  <c r="K200" i="20" l="1"/>
  <c r="L200" i="20" s="1"/>
  <c r="M200" i="20" s="1"/>
  <c r="N200" i="20" s="1"/>
  <c r="A202" i="20" s="1"/>
  <c r="J201" i="20"/>
  <c r="D201" i="20"/>
  <c r="E201" i="20"/>
  <c r="I201" i="20"/>
  <c r="J202" i="20" l="1"/>
  <c r="K201" i="20"/>
  <c r="L201" i="20" s="1"/>
  <c r="M201" i="20" s="1"/>
  <c r="N201" i="20" s="1"/>
  <c r="A203" i="20" s="1"/>
  <c r="I202" i="20"/>
  <c r="E202" i="20"/>
  <c r="D202" i="20"/>
  <c r="I203" i="20" l="1"/>
  <c r="D203" i="20"/>
  <c r="E203" i="20"/>
  <c r="K202" i="20"/>
  <c r="L202" i="20" s="1"/>
  <c r="M202" i="20" s="1"/>
  <c r="N202" i="20" s="1"/>
  <c r="A204" i="20" s="1"/>
  <c r="J203" i="20"/>
  <c r="J204" i="20" l="1"/>
  <c r="K203" i="20"/>
  <c r="L203" i="20" s="1"/>
  <c r="M203" i="20" s="1"/>
  <c r="N203" i="20" s="1"/>
  <c r="A205" i="20" s="1"/>
  <c r="E204" i="20"/>
  <c r="I204" i="20"/>
  <c r="D204" i="20"/>
  <c r="I205" i="20" l="1"/>
  <c r="D205" i="20"/>
  <c r="E205" i="20"/>
  <c r="J205" i="20"/>
  <c r="K204" i="20"/>
  <c r="L204" i="20" s="1"/>
  <c r="M204" i="20" s="1"/>
  <c r="N204" i="20" s="1"/>
  <c r="A206" i="20" s="1"/>
  <c r="J206" i="20" l="1"/>
  <c r="K205" i="20"/>
  <c r="L205" i="20" s="1"/>
  <c r="M205" i="20" s="1"/>
  <c r="N205" i="20" s="1"/>
  <c r="A207" i="20" s="1"/>
  <c r="I206" i="20"/>
  <c r="E206" i="20"/>
  <c r="D206" i="20"/>
  <c r="I207" i="20" l="1"/>
  <c r="D207" i="20"/>
  <c r="E207" i="20"/>
  <c r="K206" i="20"/>
  <c r="L206" i="20" s="1"/>
  <c r="M206" i="20" s="1"/>
  <c r="N206" i="20" s="1"/>
  <c r="A208" i="20" s="1"/>
  <c r="J207" i="20"/>
  <c r="J208" i="20" l="1"/>
  <c r="K207" i="20"/>
  <c r="L207" i="20" s="1"/>
  <c r="M207" i="20" s="1"/>
  <c r="N207" i="20" s="1"/>
  <c r="A209" i="20" s="1"/>
  <c r="I208" i="20"/>
  <c r="E208" i="20"/>
  <c r="D208" i="20"/>
  <c r="D209" i="20" l="1"/>
  <c r="I209" i="20"/>
  <c r="E209" i="20"/>
  <c r="K208" i="20"/>
  <c r="L208" i="20" s="1"/>
  <c r="M208" i="20" s="1"/>
  <c r="N208" i="20" s="1"/>
  <c r="A210" i="20" s="1"/>
  <c r="J209" i="20"/>
  <c r="I210" i="20" l="1"/>
  <c r="E210" i="20"/>
  <c r="D210" i="20"/>
  <c r="K209" i="20"/>
  <c r="L209" i="20" s="1"/>
  <c r="M209" i="20" s="1"/>
  <c r="N209" i="20" s="1"/>
  <c r="A211" i="20" s="1"/>
  <c r="J210" i="20"/>
  <c r="I211" i="20" l="1"/>
  <c r="E211" i="20"/>
  <c r="D211" i="20"/>
  <c r="J211" i="20"/>
  <c r="K210" i="20"/>
  <c r="L210" i="20" s="1"/>
  <c r="M210" i="20" s="1"/>
  <c r="N210" i="20" s="1"/>
  <c r="A212" i="20" s="1"/>
  <c r="E212" i="20" l="1"/>
  <c r="I212" i="20"/>
  <c r="D212" i="20"/>
  <c r="K211" i="20"/>
  <c r="L211" i="20" s="1"/>
  <c r="M211" i="20" s="1"/>
  <c r="N211" i="20" s="1"/>
  <c r="A213" i="20" s="1"/>
  <c r="J212" i="20"/>
  <c r="I213" i="20" l="1"/>
  <c r="E213" i="20"/>
  <c r="D213" i="20"/>
  <c r="J213" i="20"/>
  <c r="K212" i="20"/>
  <c r="L212" i="20" s="1"/>
  <c r="M212" i="20" s="1"/>
  <c r="N212" i="20" s="1"/>
  <c r="A214" i="20" s="1"/>
  <c r="D214" i="20" l="1"/>
  <c r="I214" i="20"/>
  <c r="E214" i="20"/>
  <c r="J214" i="20"/>
  <c r="K213" i="20"/>
  <c r="L213" i="20" s="1"/>
  <c r="M213" i="20" s="1"/>
  <c r="N213" i="20" s="1"/>
  <c r="A215" i="20" s="1"/>
  <c r="I215" i="20" l="1"/>
  <c r="E215" i="20"/>
  <c r="D215" i="20"/>
  <c r="K214" i="20"/>
  <c r="L214" i="20" s="1"/>
  <c r="M214" i="20" s="1"/>
  <c r="N214" i="20" s="1"/>
  <c r="A216" i="20" s="1"/>
  <c r="J215" i="20"/>
  <c r="I216" i="20" l="1"/>
  <c r="E216" i="20"/>
  <c r="D216" i="20"/>
  <c r="K215" i="20"/>
  <c r="L215" i="20" s="1"/>
  <c r="M215" i="20" s="1"/>
  <c r="N215" i="20" s="1"/>
  <c r="A217" i="20" s="1"/>
  <c r="J216" i="20"/>
  <c r="D217" i="20" l="1"/>
  <c r="E217" i="20"/>
  <c r="I217" i="20"/>
  <c r="K216" i="20"/>
  <c r="L216" i="20" s="1"/>
  <c r="M216" i="20" s="1"/>
  <c r="N216" i="20" s="1"/>
  <c r="A218" i="20" s="1"/>
  <c r="J217" i="20"/>
  <c r="K217" i="20" l="1"/>
  <c r="L217" i="20" s="1"/>
  <c r="M217" i="20" s="1"/>
  <c r="N217" i="20" s="1"/>
  <c r="A219" i="20" s="1"/>
  <c r="J218" i="20"/>
  <c r="I218" i="20"/>
  <c r="E218" i="20"/>
  <c r="D218" i="20"/>
  <c r="J219" i="20" l="1"/>
  <c r="K218" i="20"/>
  <c r="L218" i="20" s="1"/>
  <c r="M218" i="20" s="1"/>
  <c r="N218" i="20" s="1"/>
  <c r="A220" i="20" s="1"/>
  <c r="I219" i="20"/>
  <c r="E219" i="20"/>
  <c r="D219" i="20"/>
  <c r="E220" i="20" l="1"/>
  <c r="I220" i="20"/>
  <c r="D220" i="20"/>
  <c r="K219" i="20"/>
  <c r="L219" i="20" s="1"/>
  <c r="M219" i="20" s="1"/>
  <c r="N219" i="20" s="1"/>
  <c r="A221" i="20" s="1"/>
  <c r="J220" i="20"/>
  <c r="I221" i="20" l="1"/>
  <c r="E221" i="20"/>
  <c r="D221" i="20"/>
  <c r="J221" i="20"/>
  <c r="K220" i="20"/>
  <c r="L220" i="20" s="1"/>
  <c r="M220" i="20" s="1"/>
  <c r="N220" i="20" s="1"/>
  <c r="A222" i="20" s="1"/>
  <c r="I222" i="20" l="1"/>
  <c r="E222" i="20"/>
  <c r="D222" i="20"/>
  <c r="J222" i="20"/>
  <c r="K221" i="20"/>
  <c r="L221" i="20" s="1"/>
  <c r="M221" i="20" s="1"/>
  <c r="N221" i="20" s="1"/>
  <c r="A223" i="20" s="1"/>
  <c r="K222" i="20" l="1"/>
  <c r="L222" i="20" s="1"/>
  <c r="M222" i="20" s="1"/>
  <c r="N222" i="20" s="1"/>
  <c r="A224" i="20" s="1"/>
  <c r="J223" i="20"/>
  <c r="I223" i="20"/>
  <c r="E223" i="20"/>
  <c r="D223" i="20"/>
  <c r="K223" i="20" l="1"/>
  <c r="L223" i="20" s="1"/>
  <c r="M223" i="20" s="1"/>
  <c r="N223" i="20" s="1"/>
  <c r="A225" i="20" s="1"/>
  <c r="J224" i="20"/>
  <c r="I224" i="20"/>
  <c r="E224" i="20"/>
  <c r="D224" i="20"/>
  <c r="K224" i="20" l="1"/>
  <c r="L224" i="20" s="1"/>
  <c r="M224" i="20" s="1"/>
  <c r="N224" i="20" s="1"/>
  <c r="A226" i="20" s="1"/>
  <c r="J225" i="20"/>
  <c r="D225" i="20"/>
  <c r="E225" i="20"/>
  <c r="I225" i="20"/>
  <c r="K225" i="20" l="1"/>
  <c r="L225" i="20" s="1"/>
  <c r="M225" i="20" s="1"/>
  <c r="N225" i="20" s="1"/>
  <c r="A227" i="20" s="1"/>
  <c r="J226" i="20"/>
  <c r="I226" i="20"/>
  <c r="E226" i="20"/>
  <c r="D226" i="20"/>
  <c r="J227" i="20" l="1"/>
  <c r="K226" i="20"/>
  <c r="L226" i="20" s="1"/>
  <c r="M226" i="20" s="1"/>
  <c r="N226" i="20" s="1"/>
  <c r="A228" i="20" s="1"/>
  <c r="I227" i="20"/>
  <c r="E227" i="20"/>
  <c r="D227" i="20"/>
  <c r="E228" i="20" l="1"/>
  <c r="I228" i="20"/>
  <c r="D228" i="20"/>
  <c r="K227" i="20"/>
  <c r="L227" i="20" s="1"/>
  <c r="M227" i="20" s="1"/>
  <c r="N227" i="20" s="1"/>
  <c r="A229" i="20" s="1"/>
  <c r="J228" i="20"/>
  <c r="I229" i="20" l="1"/>
  <c r="E229" i="20"/>
  <c r="D229" i="20"/>
  <c r="J229" i="20"/>
  <c r="K228" i="20"/>
  <c r="L228" i="20" s="1"/>
  <c r="M228" i="20" s="1"/>
  <c r="N228" i="20" s="1"/>
  <c r="A230" i="20" s="1"/>
  <c r="J230" i="20" l="1"/>
  <c r="K229" i="20"/>
  <c r="L229" i="20" s="1"/>
  <c r="M229" i="20" s="1"/>
  <c r="N229" i="20" s="1"/>
  <c r="A231" i="20" s="1"/>
  <c r="I230" i="20"/>
  <c r="D230" i="20"/>
  <c r="E230" i="20"/>
  <c r="I231" i="20" l="1"/>
  <c r="E231" i="20"/>
  <c r="D231" i="20"/>
  <c r="K230" i="20"/>
  <c r="L230" i="20" s="1"/>
  <c r="M230" i="20" s="1"/>
  <c r="N230" i="20" s="1"/>
  <c r="A232" i="20" s="1"/>
  <c r="J231" i="20"/>
  <c r="K231" i="20" l="1"/>
  <c r="L231" i="20" s="1"/>
  <c r="M231" i="20" s="1"/>
  <c r="N231" i="20" s="1"/>
  <c r="A233" i="20" s="1"/>
  <c r="J232" i="20"/>
  <c r="I232" i="20"/>
  <c r="E232" i="20"/>
  <c r="D232" i="20"/>
  <c r="K232" i="20" l="1"/>
  <c r="L232" i="20" s="1"/>
  <c r="M232" i="20" s="1"/>
  <c r="N232" i="20" s="1"/>
  <c r="A234" i="20" s="1"/>
  <c r="J233" i="20"/>
  <c r="D233" i="20"/>
  <c r="E233" i="20"/>
  <c r="I233" i="20"/>
  <c r="K233" i="20" l="1"/>
  <c r="L233" i="20" s="1"/>
  <c r="M233" i="20" s="1"/>
  <c r="N233" i="20" s="1"/>
  <c r="A235" i="20" s="1"/>
  <c r="J234" i="20"/>
  <c r="I234" i="20"/>
  <c r="E234" i="20"/>
  <c r="D234" i="20"/>
  <c r="J235" i="20" l="1"/>
  <c r="K234" i="20"/>
  <c r="L234" i="20" s="1"/>
  <c r="M234" i="20" s="1"/>
  <c r="N234" i="20" s="1"/>
  <c r="A236" i="20" s="1"/>
  <c r="I235" i="20"/>
  <c r="E235" i="20"/>
  <c r="D235" i="20"/>
  <c r="E236" i="20" l="1"/>
  <c r="I236" i="20"/>
  <c r="D236" i="20"/>
  <c r="K235" i="20"/>
  <c r="L235" i="20" s="1"/>
  <c r="M235" i="20" s="1"/>
  <c r="N235" i="20" s="1"/>
  <c r="A237" i="20" s="1"/>
  <c r="J236" i="20"/>
  <c r="I237" i="20" l="1"/>
  <c r="E237" i="20"/>
  <c r="D237" i="20"/>
  <c r="J237" i="20"/>
  <c r="K236" i="20"/>
  <c r="L236" i="20" s="1"/>
  <c r="M236" i="20" s="1"/>
  <c r="N236" i="20" s="1"/>
  <c r="A238" i="20" s="1"/>
  <c r="J238" i="20" l="1"/>
  <c r="K237" i="20"/>
  <c r="L237" i="20" s="1"/>
  <c r="M237" i="20" s="1"/>
  <c r="N237" i="20" s="1"/>
  <c r="A239" i="20" s="1"/>
  <c r="I238" i="20"/>
  <c r="E238" i="20"/>
  <c r="D238" i="20"/>
  <c r="I239" i="20" l="1"/>
  <c r="E239" i="20"/>
  <c r="D239" i="20"/>
  <c r="K238" i="20"/>
  <c r="L238" i="20" s="1"/>
  <c r="M238" i="20" s="1"/>
  <c r="N238" i="20" s="1"/>
  <c r="A240" i="20" s="1"/>
  <c r="J239" i="20"/>
  <c r="I240" i="20" l="1"/>
  <c r="E240" i="20"/>
  <c r="D240" i="20"/>
  <c r="K239" i="20"/>
  <c r="L239" i="20" s="1"/>
  <c r="M239" i="20" s="1"/>
  <c r="N239" i="20" s="1"/>
  <c r="A241" i="20" s="1"/>
  <c r="J240" i="20"/>
  <c r="K240" i="20" l="1"/>
  <c r="L240" i="20" s="1"/>
  <c r="M240" i="20" s="1"/>
  <c r="N240" i="20" s="1"/>
  <c r="A242" i="20" s="1"/>
  <c r="J241" i="20"/>
  <c r="D241" i="20"/>
  <c r="E241" i="20"/>
  <c r="I241" i="20"/>
  <c r="K241" i="20" l="1"/>
  <c r="L241" i="20" s="1"/>
  <c r="M241" i="20" s="1"/>
  <c r="N241" i="20" s="1"/>
  <c r="A243" i="20" s="1"/>
  <c r="J242" i="20"/>
  <c r="I242" i="20"/>
  <c r="E242" i="20"/>
  <c r="D242" i="20"/>
  <c r="J243" i="20" l="1"/>
  <c r="K242" i="20"/>
  <c r="L242" i="20" s="1"/>
  <c r="M242" i="20" s="1"/>
  <c r="N242" i="20" s="1"/>
  <c r="A244" i="20" s="1"/>
  <c r="I243" i="20"/>
  <c r="E243" i="20"/>
  <c r="D243" i="20"/>
  <c r="E244" i="20" l="1"/>
  <c r="I244" i="20"/>
  <c r="D244" i="20"/>
  <c r="K243" i="20"/>
  <c r="L243" i="20" s="1"/>
  <c r="M243" i="20" s="1"/>
  <c r="N243" i="20" s="1"/>
  <c r="A245" i="20" s="1"/>
  <c r="J244" i="20"/>
  <c r="I245" i="20" l="1"/>
  <c r="E245" i="20"/>
  <c r="D245" i="20"/>
  <c r="J245" i="20"/>
  <c r="K244" i="20"/>
  <c r="L244" i="20" s="1"/>
  <c r="M244" i="20" s="1"/>
  <c r="N244" i="20" s="1"/>
  <c r="A246" i="20" s="1"/>
  <c r="I246" i="20" l="1"/>
  <c r="E246" i="20"/>
  <c r="D246" i="20"/>
  <c r="J246" i="20"/>
  <c r="K245" i="20"/>
  <c r="L245" i="20" s="1"/>
  <c r="M245" i="20" s="1"/>
  <c r="N245" i="20" s="1"/>
  <c r="A247" i="20" s="1"/>
  <c r="K246" i="20" l="1"/>
  <c r="L246" i="20" s="1"/>
  <c r="M246" i="20" s="1"/>
  <c r="N246" i="20" s="1"/>
  <c r="A248" i="20" s="1"/>
  <c r="J247" i="20"/>
  <c r="I247" i="20"/>
  <c r="E247" i="20"/>
  <c r="D247" i="20"/>
  <c r="K247" i="20" l="1"/>
  <c r="L247" i="20" s="1"/>
  <c r="M247" i="20" s="1"/>
  <c r="N247" i="20" s="1"/>
  <c r="A249" i="20" s="1"/>
  <c r="J248" i="20"/>
  <c r="I248" i="20"/>
  <c r="E248" i="20"/>
  <c r="D248" i="20"/>
  <c r="K248" i="20" l="1"/>
  <c r="L248" i="20" s="1"/>
  <c r="M248" i="20" s="1"/>
  <c r="N248" i="20" s="1"/>
  <c r="A250" i="20" s="1"/>
  <c r="J249" i="20"/>
  <c r="D249" i="20"/>
  <c r="E249" i="20"/>
  <c r="I249" i="20"/>
  <c r="K249" i="20" l="1"/>
  <c r="L249" i="20" s="1"/>
  <c r="M249" i="20" s="1"/>
  <c r="N249" i="20" s="1"/>
  <c r="A251" i="20" s="1"/>
  <c r="J250" i="20"/>
  <c r="I250" i="20"/>
  <c r="E250" i="20"/>
  <c r="D250" i="20"/>
  <c r="J251" i="20" l="1"/>
  <c r="K250" i="20"/>
  <c r="L250" i="20" s="1"/>
  <c r="M250" i="20" s="1"/>
  <c r="N250" i="20" s="1"/>
  <c r="A252" i="20" s="1"/>
  <c r="I251" i="20"/>
  <c r="E251" i="20"/>
  <c r="D251" i="20"/>
  <c r="E252" i="20" l="1"/>
  <c r="I252" i="20"/>
  <c r="D252" i="20"/>
  <c r="K251" i="20"/>
  <c r="L251" i="20" s="1"/>
  <c r="M251" i="20" s="1"/>
  <c r="N251" i="20" s="1"/>
  <c r="A253" i="20" s="1"/>
  <c r="J252" i="20"/>
  <c r="I253" i="20" l="1"/>
  <c r="E253" i="20"/>
  <c r="D253" i="20"/>
  <c r="J253" i="20"/>
  <c r="K252" i="20"/>
  <c r="L252" i="20" s="1"/>
  <c r="M252" i="20" s="1"/>
  <c r="N252" i="20" s="1"/>
  <c r="A254" i="20" s="1"/>
  <c r="J254" i="20" l="1"/>
  <c r="K253" i="20"/>
  <c r="L253" i="20" s="1"/>
  <c r="M253" i="20" s="1"/>
  <c r="N253" i="20" s="1"/>
  <c r="A255" i="20" s="1"/>
  <c r="I254" i="20"/>
  <c r="E254" i="20"/>
  <c r="D254" i="20"/>
  <c r="I255" i="20" l="1"/>
  <c r="E255" i="20"/>
  <c r="D255" i="20"/>
  <c r="K254" i="20"/>
  <c r="L254" i="20" s="1"/>
  <c r="M254" i="20" s="1"/>
  <c r="N254" i="20" s="1"/>
  <c r="A256" i="20" s="1"/>
  <c r="J255" i="20"/>
  <c r="I256" i="20" l="1"/>
  <c r="E256" i="20"/>
  <c r="D256" i="20"/>
  <c r="K255" i="20"/>
  <c r="L255" i="20" s="1"/>
  <c r="M255" i="20" s="1"/>
  <c r="N255" i="20" s="1"/>
  <c r="A257" i="20" s="1"/>
  <c r="J256" i="20"/>
  <c r="K256" i="20" l="1"/>
  <c r="L256" i="20" s="1"/>
  <c r="M256" i="20" s="1"/>
  <c r="N256" i="20" s="1"/>
  <c r="A258" i="20" s="1"/>
  <c r="J257" i="20"/>
  <c r="D257" i="20"/>
  <c r="E257" i="20"/>
  <c r="I257" i="20"/>
  <c r="K257" i="20" l="1"/>
  <c r="L257" i="20" s="1"/>
  <c r="M257" i="20" s="1"/>
  <c r="N257" i="20" s="1"/>
  <c r="A259" i="20" s="1"/>
  <c r="J258" i="20"/>
  <c r="I258" i="20"/>
  <c r="E258" i="20"/>
  <c r="D258" i="20"/>
  <c r="J259" i="20" l="1"/>
  <c r="K258" i="20"/>
  <c r="L258" i="20" s="1"/>
  <c r="M258" i="20" s="1"/>
  <c r="N258" i="20" s="1"/>
  <c r="A260" i="20" s="1"/>
  <c r="I259" i="20"/>
  <c r="E259" i="20"/>
  <c r="D259" i="20"/>
  <c r="E260" i="20" l="1"/>
  <c r="I260" i="20"/>
  <c r="D260" i="20"/>
  <c r="K259" i="20"/>
  <c r="L259" i="20" s="1"/>
  <c r="M259" i="20" s="1"/>
  <c r="N259" i="20" s="1"/>
  <c r="A261" i="20" s="1"/>
  <c r="J260" i="20"/>
  <c r="I261" i="20" l="1"/>
  <c r="E261" i="20"/>
  <c r="D261" i="20"/>
  <c r="J261" i="20"/>
  <c r="K260" i="20"/>
  <c r="L260" i="20" s="1"/>
  <c r="M260" i="20" s="1"/>
  <c r="N260" i="20" s="1"/>
  <c r="A262" i="20" s="1"/>
  <c r="J262" i="20" l="1"/>
  <c r="K261" i="20"/>
  <c r="L261" i="20" s="1"/>
  <c r="M261" i="20" s="1"/>
  <c r="N261" i="20" s="1"/>
  <c r="A263" i="20" s="1"/>
  <c r="I262" i="20"/>
  <c r="D262" i="20"/>
  <c r="E262" i="20"/>
  <c r="I263" i="20" l="1"/>
  <c r="E263" i="20"/>
  <c r="D263" i="20"/>
  <c r="K262" i="20"/>
  <c r="L262" i="20" s="1"/>
  <c r="M262" i="20" s="1"/>
  <c r="N262" i="20" s="1"/>
  <c r="A264" i="20" s="1"/>
  <c r="J263" i="20"/>
  <c r="I264" i="20" l="1"/>
  <c r="E264" i="20"/>
  <c r="D264" i="20"/>
  <c r="K263" i="20"/>
  <c r="L263" i="20" s="1"/>
  <c r="M263" i="20" s="1"/>
  <c r="N263" i="20" s="1"/>
  <c r="A265" i="20" s="1"/>
  <c r="J264" i="20"/>
  <c r="D265" i="20" l="1"/>
  <c r="E265" i="20"/>
  <c r="I265" i="20"/>
  <c r="K264" i="20"/>
  <c r="L264" i="20" s="1"/>
  <c r="M264" i="20" s="1"/>
  <c r="N264" i="20" s="1"/>
  <c r="A266" i="20" s="1"/>
  <c r="J265" i="20"/>
  <c r="I266" i="20" l="1"/>
  <c r="E266" i="20"/>
  <c r="D266" i="20"/>
  <c r="K265" i="20"/>
  <c r="L265" i="20" s="1"/>
  <c r="M265" i="20" s="1"/>
  <c r="N265" i="20" s="1"/>
  <c r="A267" i="20" s="1"/>
  <c r="J266" i="20"/>
  <c r="J267" i="20" l="1"/>
  <c r="K266" i="20"/>
  <c r="L266" i="20" s="1"/>
  <c r="M266" i="20" s="1"/>
  <c r="N266" i="20" s="1"/>
  <c r="A268" i="20" s="1"/>
  <c r="I267" i="20"/>
  <c r="E267" i="20"/>
  <c r="D267" i="20"/>
  <c r="E268" i="20" l="1"/>
  <c r="I268" i="20"/>
  <c r="D268" i="20"/>
  <c r="K267" i="20"/>
  <c r="L267" i="20" s="1"/>
  <c r="M267" i="20" s="1"/>
  <c r="N267" i="20" s="1"/>
  <c r="A269" i="20" s="1"/>
  <c r="J268" i="20"/>
  <c r="I269" i="20" l="1"/>
  <c r="E269" i="20"/>
  <c r="D269" i="20"/>
  <c r="J269" i="20"/>
  <c r="K268" i="20"/>
  <c r="L268" i="20" s="1"/>
  <c r="M268" i="20" s="1"/>
  <c r="N268" i="20" s="1"/>
  <c r="A270" i="20" s="1"/>
  <c r="J270" i="20" l="1"/>
  <c r="K269" i="20"/>
  <c r="L269" i="20" s="1"/>
  <c r="M269" i="20" s="1"/>
  <c r="N269" i="20" s="1"/>
  <c r="A271" i="20" s="1"/>
  <c r="I270" i="20"/>
  <c r="E270" i="20"/>
  <c r="D270" i="20"/>
  <c r="I271" i="20" l="1"/>
  <c r="E271" i="20"/>
  <c r="D271" i="20"/>
  <c r="K270" i="20"/>
  <c r="L270" i="20" s="1"/>
  <c r="M270" i="20" s="1"/>
  <c r="N270" i="20" s="1"/>
  <c r="A272" i="20" s="1"/>
  <c r="J271" i="20"/>
  <c r="I272" i="20" l="1"/>
  <c r="E272" i="20"/>
  <c r="D272" i="20"/>
  <c r="K271" i="20"/>
  <c r="L271" i="20" s="1"/>
  <c r="M271" i="20" s="1"/>
  <c r="N271" i="20" s="1"/>
  <c r="A273" i="20" s="1"/>
  <c r="J272" i="20"/>
  <c r="D273" i="20" l="1"/>
  <c r="E273" i="20"/>
  <c r="I273" i="20"/>
  <c r="K272" i="20"/>
  <c r="L272" i="20" s="1"/>
  <c r="M272" i="20" s="1"/>
  <c r="N272" i="20" s="1"/>
  <c r="A274" i="20" s="1"/>
  <c r="J273" i="20"/>
  <c r="I274" i="20" l="1"/>
  <c r="E274" i="20"/>
  <c r="D274" i="20"/>
  <c r="K273" i="20"/>
  <c r="L273" i="20" s="1"/>
  <c r="M273" i="20" s="1"/>
  <c r="N273" i="20" s="1"/>
  <c r="A275" i="20" s="1"/>
  <c r="J274" i="20"/>
  <c r="I275" i="20" l="1"/>
  <c r="E275" i="20"/>
  <c r="D275" i="20"/>
  <c r="J275" i="20"/>
  <c r="K274" i="20"/>
  <c r="L274" i="20" s="1"/>
  <c r="M274" i="20" s="1"/>
  <c r="N274" i="20" s="1"/>
  <c r="A276" i="20" s="1"/>
  <c r="K275" i="20" l="1"/>
  <c r="L275" i="20" s="1"/>
  <c r="M275" i="20" s="1"/>
  <c r="N275" i="20" s="1"/>
  <c r="A277" i="20" s="1"/>
  <c r="J276" i="20"/>
  <c r="E276" i="20"/>
  <c r="I276" i="20"/>
  <c r="D276" i="20"/>
  <c r="J277" i="20" l="1"/>
  <c r="K276" i="20"/>
  <c r="L276" i="20" s="1"/>
  <c r="M276" i="20" s="1"/>
  <c r="N276" i="20" s="1"/>
  <c r="A278" i="20" s="1"/>
  <c r="I277" i="20"/>
  <c r="E277" i="20"/>
  <c r="D277" i="20"/>
  <c r="I278" i="20" l="1"/>
  <c r="E278" i="20"/>
  <c r="D278" i="20"/>
  <c r="J278" i="20"/>
  <c r="K277" i="20"/>
  <c r="L277" i="20" s="1"/>
  <c r="M277" i="20" s="1"/>
  <c r="N277" i="20" s="1"/>
  <c r="A279" i="20" s="1"/>
  <c r="I279" i="20" l="1"/>
  <c r="E279" i="20"/>
  <c r="D279" i="20"/>
  <c r="K278" i="20"/>
  <c r="L278" i="20" s="1"/>
  <c r="M278" i="20" s="1"/>
  <c r="N278" i="20" s="1"/>
  <c r="A280" i="20" s="1"/>
  <c r="J279" i="20"/>
  <c r="I280" i="20" l="1"/>
  <c r="E280" i="20"/>
  <c r="D280" i="20"/>
  <c r="K279" i="20"/>
  <c r="L279" i="20" s="1"/>
  <c r="M279" i="20" s="1"/>
  <c r="N279" i="20" s="1"/>
  <c r="A281" i="20" s="1"/>
  <c r="J280" i="20"/>
  <c r="D281" i="20" l="1"/>
  <c r="E281" i="20"/>
  <c r="I281" i="20"/>
  <c r="K280" i="20"/>
  <c r="L280" i="20" s="1"/>
  <c r="M280" i="20" s="1"/>
  <c r="N280" i="20" s="1"/>
  <c r="A282" i="20" s="1"/>
  <c r="J281" i="20"/>
  <c r="I282" i="20" l="1"/>
  <c r="E282" i="20"/>
  <c r="D282" i="20"/>
  <c r="K281" i="20"/>
  <c r="L281" i="20" s="1"/>
  <c r="M281" i="20" s="1"/>
  <c r="N281" i="20" s="1"/>
  <c r="A283" i="20" s="1"/>
  <c r="J282" i="20"/>
  <c r="J283" i="20" l="1"/>
  <c r="K282" i="20"/>
  <c r="L282" i="20" s="1"/>
  <c r="M282" i="20" s="1"/>
  <c r="N282" i="20" s="1"/>
  <c r="A284" i="20" s="1"/>
  <c r="I283" i="20"/>
  <c r="E283" i="20"/>
  <c r="D283" i="20"/>
  <c r="E284" i="20" l="1"/>
  <c r="I284" i="20"/>
  <c r="D284" i="20"/>
  <c r="K283" i="20"/>
  <c r="L283" i="20" s="1"/>
  <c r="M283" i="20" s="1"/>
  <c r="N283" i="20" s="1"/>
  <c r="A285" i="20" s="1"/>
  <c r="J284" i="20"/>
  <c r="I285" i="20" l="1"/>
  <c r="E285" i="20"/>
  <c r="D285" i="20"/>
  <c r="J285" i="20"/>
  <c r="K284" i="20"/>
  <c r="L284" i="20" s="1"/>
  <c r="M284" i="20" s="1"/>
  <c r="N284" i="20" s="1"/>
  <c r="A286" i="20" s="1"/>
  <c r="J286" i="20" l="1"/>
  <c r="K285" i="20"/>
  <c r="L285" i="20" s="1"/>
  <c r="M285" i="20" s="1"/>
  <c r="N285" i="20" s="1"/>
  <c r="A287" i="20" s="1"/>
  <c r="I286" i="20"/>
  <c r="E286" i="20"/>
  <c r="D286" i="20"/>
  <c r="I287" i="20" l="1"/>
  <c r="E287" i="20"/>
  <c r="D287" i="20"/>
  <c r="K286" i="20"/>
  <c r="L286" i="20" s="1"/>
  <c r="M286" i="20" s="1"/>
  <c r="N286" i="20" s="1"/>
  <c r="A288" i="20" s="1"/>
  <c r="J287" i="20"/>
  <c r="I288" i="20" l="1"/>
  <c r="E288" i="20"/>
  <c r="D288" i="20"/>
  <c r="K287" i="20"/>
  <c r="L287" i="20" s="1"/>
  <c r="M287" i="20" s="1"/>
  <c r="N287" i="20" s="1"/>
  <c r="A289" i="20" s="1"/>
  <c r="J288" i="20"/>
  <c r="D289" i="20" l="1"/>
  <c r="E289" i="20"/>
  <c r="I289" i="20"/>
  <c r="K288" i="20"/>
  <c r="L288" i="20" s="1"/>
  <c r="M288" i="20" s="1"/>
  <c r="N288" i="20" s="1"/>
  <c r="A290" i="20" s="1"/>
  <c r="J289" i="20"/>
  <c r="I290" i="20" l="1"/>
  <c r="E290" i="20"/>
  <c r="D290" i="20"/>
  <c r="K289" i="20"/>
  <c r="L289" i="20" s="1"/>
  <c r="M289" i="20" s="1"/>
  <c r="N289" i="20" s="1"/>
  <c r="A291" i="20" s="1"/>
  <c r="J290" i="20"/>
  <c r="I291" i="20" l="1"/>
  <c r="E291" i="20"/>
  <c r="D291" i="20"/>
  <c r="J291" i="20"/>
  <c r="K290" i="20"/>
  <c r="L290" i="20" s="1"/>
  <c r="M290" i="20" s="1"/>
  <c r="N290" i="20" s="1"/>
  <c r="A292" i="20" s="1"/>
  <c r="K291" i="20" l="1"/>
  <c r="L291" i="20" s="1"/>
  <c r="M291" i="20" s="1"/>
  <c r="N291" i="20" s="1"/>
  <c r="A293" i="20" s="1"/>
  <c r="J292" i="20"/>
  <c r="E292" i="20"/>
  <c r="I292" i="20"/>
  <c r="D292" i="20"/>
  <c r="J293" i="20" l="1"/>
  <c r="K292" i="20"/>
  <c r="L292" i="20" s="1"/>
  <c r="M292" i="20" s="1"/>
  <c r="N292" i="20" s="1"/>
  <c r="A294" i="20" s="1"/>
  <c r="I293" i="20"/>
  <c r="E293" i="20"/>
  <c r="D293" i="20"/>
  <c r="I294" i="20" l="1"/>
  <c r="D294" i="20"/>
  <c r="E294" i="20"/>
  <c r="J294" i="20"/>
  <c r="K293" i="20"/>
  <c r="L293" i="20" s="1"/>
  <c r="M293" i="20" s="1"/>
  <c r="N293" i="20" s="1"/>
  <c r="A295" i="20" s="1"/>
  <c r="K294" i="20" l="1"/>
  <c r="L294" i="20" s="1"/>
  <c r="M294" i="20" s="1"/>
  <c r="N294" i="20" s="1"/>
  <c r="A296" i="20" s="1"/>
  <c r="J295" i="20"/>
  <c r="I295" i="20"/>
  <c r="E295" i="20"/>
  <c r="D295" i="20"/>
  <c r="J296" i="20" l="1"/>
  <c r="K295" i="20"/>
  <c r="L295" i="20" s="1"/>
  <c r="M295" i="20" s="1"/>
  <c r="N295" i="20" s="1"/>
  <c r="A297" i="20" s="1"/>
  <c r="I296" i="20"/>
  <c r="E296" i="20"/>
  <c r="D296" i="20"/>
  <c r="D297" i="20" l="1"/>
  <c r="E297" i="20"/>
  <c r="I297" i="20"/>
  <c r="K296" i="20"/>
  <c r="L296" i="20" s="1"/>
  <c r="M296" i="20" s="1"/>
  <c r="N296" i="20" s="1"/>
  <c r="A298" i="20" s="1"/>
  <c r="J297" i="20"/>
  <c r="K297" i="20" l="1"/>
  <c r="L297" i="20" s="1"/>
  <c r="M297" i="20" s="1"/>
  <c r="N297" i="20" s="1"/>
  <c r="A299" i="20" s="1"/>
  <c r="J298" i="20"/>
  <c r="I298" i="20"/>
  <c r="E298" i="20"/>
  <c r="D298" i="20"/>
  <c r="J299" i="20" l="1"/>
  <c r="K298" i="20"/>
  <c r="L298" i="20" s="1"/>
  <c r="M298" i="20" s="1"/>
  <c r="N298" i="20" s="1"/>
  <c r="A300" i="20" s="1"/>
  <c r="I299" i="20"/>
  <c r="E299" i="20"/>
  <c r="D299" i="20"/>
  <c r="E300" i="20" l="1"/>
  <c r="D300" i="20"/>
  <c r="I300" i="20"/>
  <c r="K299" i="20"/>
  <c r="L299" i="20" s="1"/>
  <c r="M299" i="20" s="1"/>
  <c r="N299" i="20" s="1"/>
  <c r="A301" i="20" s="1"/>
  <c r="J300" i="20"/>
  <c r="I301" i="20" l="1"/>
  <c r="E301" i="20"/>
  <c r="D301" i="20"/>
  <c r="J301" i="20"/>
  <c r="K300" i="20"/>
  <c r="L300" i="20" s="1"/>
  <c r="M300" i="20" s="1"/>
  <c r="N300" i="20" s="1"/>
  <c r="A302" i="20" s="1"/>
  <c r="I302" i="20" l="1"/>
  <c r="E302" i="20"/>
  <c r="D302" i="20"/>
  <c r="J302" i="20"/>
  <c r="K301" i="20"/>
  <c r="L301" i="20" s="1"/>
  <c r="M301" i="20" s="1"/>
  <c r="N301" i="20" s="1"/>
  <c r="A303" i="20" s="1"/>
  <c r="K302" i="20" l="1"/>
  <c r="L302" i="20" s="1"/>
  <c r="M302" i="20" s="1"/>
  <c r="N302" i="20" s="1"/>
  <c r="A304" i="20" s="1"/>
  <c r="J303" i="20"/>
  <c r="I303" i="20"/>
  <c r="E303" i="20"/>
  <c r="D303" i="20"/>
  <c r="J304" i="20" l="1"/>
  <c r="K303" i="20"/>
  <c r="L303" i="20" s="1"/>
  <c r="M303" i="20" s="1"/>
  <c r="N303" i="20" s="1"/>
  <c r="A305" i="20" s="1"/>
  <c r="I304" i="20"/>
  <c r="E304" i="20"/>
  <c r="D304" i="20"/>
  <c r="D305" i="20" l="1"/>
  <c r="E305" i="20"/>
  <c r="I305" i="20"/>
  <c r="K304" i="20"/>
  <c r="L304" i="20" s="1"/>
  <c r="M304" i="20" s="1"/>
  <c r="N304" i="20" s="1"/>
  <c r="A306" i="20" s="1"/>
  <c r="J305" i="20"/>
  <c r="I306" i="20" l="1"/>
  <c r="E306" i="20"/>
  <c r="D306" i="20"/>
  <c r="K305" i="20"/>
  <c r="L305" i="20" s="1"/>
  <c r="M305" i="20" s="1"/>
  <c r="N305" i="20" s="1"/>
  <c r="A307" i="20" s="1"/>
  <c r="J306" i="20"/>
  <c r="I307" i="20" l="1"/>
  <c r="E307" i="20"/>
  <c r="D307" i="20"/>
  <c r="J307" i="20"/>
  <c r="K306" i="20"/>
  <c r="L306" i="20" s="1"/>
  <c r="M306" i="20" s="1"/>
  <c r="N306" i="20" s="1"/>
  <c r="A308" i="20" s="1"/>
  <c r="E308" i="20" l="1"/>
  <c r="D308" i="20"/>
  <c r="I308" i="20"/>
  <c r="K307" i="20"/>
  <c r="L307" i="20" s="1"/>
  <c r="M307" i="20" s="1"/>
  <c r="N307" i="20" s="1"/>
  <c r="A309" i="20" s="1"/>
  <c r="J308" i="20"/>
  <c r="J309" i="20" l="1"/>
  <c r="K308" i="20"/>
  <c r="L308" i="20" s="1"/>
  <c r="M308" i="20" s="1"/>
  <c r="N308" i="20" s="1"/>
  <c r="A310" i="20" s="1"/>
  <c r="I309" i="20"/>
  <c r="E309" i="20"/>
  <c r="D309" i="20"/>
  <c r="I310" i="20" l="1"/>
  <c r="E310" i="20"/>
  <c r="D310" i="20"/>
  <c r="J310" i="20"/>
  <c r="K309" i="20"/>
  <c r="L309" i="20" s="1"/>
  <c r="M309" i="20" s="1"/>
  <c r="N309" i="20" s="1"/>
  <c r="A311" i="20" s="1"/>
  <c r="K310" i="20" l="1"/>
  <c r="L310" i="20" s="1"/>
  <c r="M310" i="20" s="1"/>
  <c r="N310" i="20" s="1"/>
  <c r="A312" i="20" s="1"/>
  <c r="J311" i="20"/>
  <c r="I311" i="20"/>
  <c r="E311" i="20"/>
  <c r="D311" i="20"/>
  <c r="J312" i="20" l="1"/>
  <c r="K311" i="20"/>
  <c r="L311" i="20" s="1"/>
  <c r="M311" i="20" s="1"/>
  <c r="N311" i="20" s="1"/>
  <c r="A313" i="20" s="1"/>
  <c r="I312" i="20"/>
  <c r="E312" i="20"/>
  <c r="D312" i="20"/>
  <c r="D313" i="20" l="1"/>
  <c r="E313" i="20"/>
  <c r="I313" i="20"/>
  <c r="K312" i="20"/>
  <c r="L312" i="20" s="1"/>
  <c r="M312" i="20" s="1"/>
  <c r="N312" i="20" s="1"/>
  <c r="A314" i="20" s="1"/>
  <c r="J313" i="20"/>
  <c r="I314" i="20" l="1"/>
  <c r="E314" i="20"/>
  <c r="D314" i="20"/>
  <c r="K313" i="20"/>
  <c r="L313" i="20" s="1"/>
  <c r="M313" i="20" s="1"/>
  <c r="N313" i="20" s="1"/>
  <c r="A315" i="20" s="1"/>
  <c r="J314" i="20"/>
  <c r="I315" i="20" l="1"/>
  <c r="E315" i="20"/>
  <c r="D315" i="20"/>
  <c r="J315" i="20"/>
  <c r="K314" i="20"/>
  <c r="L314" i="20" s="1"/>
  <c r="M314" i="20" s="1"/>
  <c r="N314" i="20" s="1"/>
  <c r="A316" i="20" s="1"/>
  <c r="K315" i="20" l="1"/>
  <c r="L315" i="20" s="1"/>
  <c r="M315" i="20" s="1"/>
  <c r="N315" i="20" s="1"/>
  <c r="E316" i="20"/>
  <c r="D316" i="20"/>
  <c r="I316" i="20"/>
  <c r="I317" i="20" l="1"/>
  <c r="A317" i="20"/>
  <c r="D317" i="20"/>
  <c r="E317" i="20"/>
  <c r="I7" i="30" l="1"/>
  <c r="K7" i="30" s="1"/>
  <c r="L7" i="30" s="1"/>
  <c r="O6" i="56"/>
  <c r="O5" i="56" s="1"/>
  <c r="H38" i="20" l="1"/>
  <c r="C38" i="20" s="1"/>
  <c r="H33" i="60"/>
  <c r="C33" i="60" s="1"/>
  <c r="K13" i="30"/>
  <c r="K9" i="30"/>
  <c r="D6" i="58" l="1"/>
  <c r="B9" i="49"/>
  <c r="W27" i="58"/>
  <c r="E30" i="21" s="1"/>
  <c r="W29" i="58"/>
  <c r="I6" i="30"/>
  <c r="K6" i="30" s="1"/>
  <c r="L6" i="30" s="1"/>
  <c r="C61" i="20"/>
  <c r="K8" i="30"/>
  <c r="C9" i="58" l="1"/>
  <c r="I6" i="5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Marcelle Lins Carvalho</author>
    <author>Yasmin Goes-External</author>
    <author>Renata Bezerra</author>
    <author>YAN NASCIMENTO</author>
  </authors>
  <commentList>
    <comment ref="C15" authorId="0" shapeId="0" xr:uid="{F72156E8-649C-4286-83EC-643500B46F99}">
      <text>
        <r>
          <rPr>
            <b/>
            <sz val="9"/>
            <color indexed="81"/>
            <rFont val="Tahoma"/>
            <family val="2"/>
          </rPr>
          <t xml:space="preserve">Nathalia Silva:
</t>
        </r>
        <r>
          <rPr>
            <sz val="9"/>
            <color indexed="81"/>
            <rFont val="Tahoma"/>
            <family val="2"/>
          </rPr>
          <t xml:space="preserve">Caso o datasheet da estrutura não forneça os dados de rigidez torsional, utilizar as seguintes recomendações:
Duto 2,5" = 300 kNm²
Duto 4" = 500 kNm²
Duto 6" (sem isolamento) = 1000 kNm²
Duto 6" (com isolamento) = 1500 kNm²
Duto 8" = 2000 kNm²
Duto 9,13" = 2300 kNm²
</t>
        </r>
      </text>
    </comment>
    <comment ref="C16" authorId="1" shapeId="0" xr:uid="{7D58108D-FF01-407D-A2A4-AE331648E8E7}">
      <text>
        <r>
          <rPr>
            <b/>
            <sz val="9"/>
            <color indexed="81"/>
            <rFont val="Tahoma"/>
            <family val="2"/>
          </rPr>
          <t>Esta célula só deve ser preenchida caso o Datasheet não forneça o Axial Stiffness</t>
        </r>
      </text>
    </comment>
    <comment ref="C17" authorId="1" shapeId="0" xr:uid="{DCE4D0A4-5843-4FA3-B401-2232BE7DD592}">
      <text>
        <r>
          <rPr>
            <b/>
            <sz val="9"/>
            <color indexed="81"/>
            <rFont val="Tahoma"/>
            <family val="2"/>
          </rPr>
          <t>Fórmula válida para força 100KN</t>
        </r>
      </text>
    </comment>
    <comment ref="B54" authorId="2" shapeId="0" xr:uid="{726C62B1-7868-43CC-8775-7EBE5E873CFA}">
      <text>
        <r>
          <rPr>
            <b/>
            <sz val="9"/>
            <color indexed="81"/>
            <rFont val="Tahoma"/>
            <family val="2"/>
          </rPr>
          <t>Renata Bezerra:</t>
        </r>
        <r>
          <rPr>
            <sz val="9"/>
            <color indexed="81"/>
            <rFont val="Tahoma"/>
            <family val="2"/>
          </rPr>
          <t xml:space="preserve">
Atualização: 
Discritivo corrigido para " t/m " (estava "kg/m")</t>
        </r>
      </text>
    </comment>
    <comment ref="B55" authorId="2" shapeId="0" xr:uid="{550358AA-B301-42CD-B7D8-99F9C024A4E0}">
      <text>
        <r>
          <rPr>
            <b/>
            <sz val="9"/>
            <color indexed="81"/>
            <rFont val="Tahoma"/>
            <family val="2"/>
          </rPr>
          <t>Renata Bezerra:</t>
        </r>
        <r>
          <rPr>
            <sz val="9"/>
            <color indexed="81"/>
            <rFont val="Tahoma"/>
            <family val="2"/>
          </rPr>
          <t xml:space="preserve">
Atualização: 
Discritivo corrigido para " t/m " (estava "kg/m")</t>
        </r>
      </text>
    </comment>
    <comment ref="A66" authorId="3" shapeId="0" xr:uid="{94328B16-E6A8-4A8F-8C9A-8EF62DE8856D}">
      <text>
        <r>
          <rPr>
            <b/>
            <sz val="9"/>
            <color indexed="81"/>
            <rFont val="Tahoma"/>
            <family val="2"/>
          </rPr>
          <t xml:space="preserve">Identificação da Zona Rígida: </t>
        </r>
        <r>
          <rPr>
            <sz val="9"/>
            <color indexed="81"/>
            <rFont val="Tahoma"/>
            <family val="2"/>
          </rPr>
          <t>"ZR_NOME_VERTEBRA"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 NASCIMENTO</author>
    <author>Rafael Encarnacao</author>
    <author>rfinacio</author>
  </authors>
  <commentList>
    <comment ref="A15" authorId="0" shapeId="0" xr:uid="{3BCC62AB-EB1F-4C66-917B-3A2F11D46488}">
      <text>
        <r>
          <rPr>
            <b/>
            <sz val="9"/>
            <color indexed="81"/>
            <rFont val="Tahoma"/>
            <family val="2"/>
          </rPr>
          <t xml:space="preserve">Se o valor não for informado ou estiver fora do eixo, preencher 0. </t>
        </r>
      </text>
    </comment>
    <comment ref="B20" authorId="1" shapeId="0" xr:uid="{A9046DE1-A431-447F-8BD3-E1A13D8E5A56}">
      <text>
        <r>
          <rPr>
            <b/>
            <sz val="9"/>
            <color indexed="81"/>
            <rFont val="Tahoma"/>
            <family val="2"/>
          </rPr>
          <t>Rafael Encarnacao:</t>
        </r>
        <r>
          <rPr>
            <sz val="9"/>
            <color indexed="81"/>
            <rFont val="Tahoma"/>
            <family val="2"/>
          </rPr>
          <t xml:space="preserve">
Baixo para desprezar os efeitos hidrodinamicos
Pair = Pw</t>
        </r>
      </text>
    </comment>
    <comment ref="B31" authorId="2" shapeId="0" xr:uid="{12931A96-7FB9-4D1A-98D0-A07A26C176D0}">
      <text>
        <r>
          <rPr>
            <b/>
            <sz val="12"/>
            <color indexed="81"/>
            <rFont val="Tahoma"/>
            <family val="2"/>
          </rPr>
          <t>rfinacio:</t>
        </r>
        <r>
          <rPr>
            <sz val="12"/>
            <color indexed="81"/>
            <rFont val="Tahoma"/>
            <family val="2"/>
          </rPr>
          <t xml:space="preserve">
Ângulo do Eixo da Flange com o eixo da Boca do MCV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 NASCIMENTO</author>
  </authors>
  <commentList>
    <comment ref="D8" authorId="0" shapeId="0" xr:uid="{1BDD28DF-7579-4B2F-BE07-FC491FEFCE93}">
      <text>
        <r>
          <rPr>
            <b/>
            <sz val="9"/>
            <color indexed="81"/>
            <rFont val="Tahoma"/>
            <family val="2"/>
          </rPr>
          <t>Valor padrão: 
densidade da água do mar</t>
        </r>
      </text>
    </comment>
    <comment ref="K8" authorId="0" shapeId="0" xr:uid="{595DB328-F51B-4524-B630-56BA4BCFD810}">
      <text>
        <r>
          <rPr>
            <b/>
            <sz val="9"/>
            <color indexed="81"/>
            <rFont val="Tahoma"/>
            <family val="2"/>
          </rPr>
          <t>Valor padrão: 
densidade da água do mar</t>
        </r>
      </text>
    </comment>
    <comment ref="R8" authorId="0" shapeId="0" xr:uid="{5BA7C25E-CD9B-4981-9045-8B227A65BC31}">
      <text>
        <r>
          <rPr>
            <b/>
            <sz val="9"/>
            <color indexed="81"/>
            <rFont val="Tahoma"/>
            <family val="2"/>
          </rPr>
          <t>Valor padrão: 
densidade da água do mar</t>
        </r>
      </text>
    </comment>
    <comment ref="F17" authorId="0" shapeId="0" xr:uid="{6C2FD8C6-4C54-488E-8E97-8584CF95C997}">
      <text>
        <r>
          <rPr>
            <b/>
            <sz val="9"/>
            <color indexed="81"/>
            <rFont val="Tahoma"/>
            <family val="2"/>
          </rPr>
          <t>Curvature [1/m]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7" authorId="0" shapeId="0" xr:uid="{282B31E3-2030-4546-89FC-CBF683BB6157}">
      <text>
        <r>
          <rPr>
            <b/>
            <sz val="9"/>
            <color indexed="81"/>
            <rFont val="Tahoma"/>
            <family val="2"/>
          </rPr>
          <t>BM [kN.m]</t>
        </r>
      </text>
    </comment>
    <comment ref="M17" authorId="0" shapeId="0" xr:uid="{98473F33-3472-426D-8695-C3243EB54BC8}">
      <text>
        <r>
          <rPr>
            <b/>
            <sz val="9"/>
            <color indexed="81"/>
            <rFont val="Tahoma"/>
            <family val="2"/>
          </rPr>
          <t>Curvature [1/m]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7" authorId="0" shapeId="0" xr:uid="{BA8F3627-243C-4584-9F5F-ED8C810A05AB}">
      <text>
        <r>
          <rPr>
            <b/>
            <sz val="9"/>
            <color indexed="81"/>
            <rFont val="Tahoma"/>
            <family val="2"/>
          </rPr>
          <t>BM [kN.m]</t>
        </r>
      </text>
    </comment>
    <comment ref="T17" authorId="0" shapeId="0" xr:uid="{C2136438-1E0F-402A-AD23-5785661CB328}">
      <text>
        <r>
          <rPr>
            <b/>
            <sz val="9"/>
            <color indexed="81"/>
            <rFont val="Tahoma"/>
            <family val="2"/>
          </rPr>
          <t>Curvature [1/m]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7" authorId="0" shapeId="0" xr:uid="{00DEAA2E-4F7E-4351-977F-73473AAE6640}">
      <text>
        <r>
          <rPr>
            <b/>
            <sz val="9"/>
            <color indexed="81"/>
            <rFont val="Tahoma"/>
            <family val="2"/>
          </rPr>
          <t>BM [kN.m]</t>
        </r>
      </text>
    </comment>
    <comment ref="W17" authorId="0" shapeId="0" xr:uid="{E995A0C0-F2EC-45F9-B3F4-D6752B4F0D64}">
      <text>
        <r>
          <rPr>
            <b/>
            <sz val="9"/>
            <color indexed="81"/>
            <rFont val="Tahoma"/>
            <family val="2"/>
          </rPr>
          <t>Curvature [1/m]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17" authorId="0" shapeId="0" xr:uid="{8E5A1A2D-6898-4FE8-9820-235A082DCD42}">
      <text>
        <r>
          <rPr>
            <b/>
            <sz val="9"/>
            <color indexed="81"/>
            <rFont val="Tahoma"/>
            <family val="2"/>
          </rPr>
          <t>BM [kN.m]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 NASCIMENTO</author>
    <author>Administrador</author>
  </authors>
  <commentList>
    <comment ref="H23" authorId="0" shapeId="0" xr:uid="{A417E541-D770-49ED-9F9E-0A0BA9E19C23}">
      <text>
        <r>
          <rPr>
            <b/>
            <sz val="9"/>
            <color indexed="81"/>
            <rFont val="Tahoma"/>
            <family val="2"/>
          </rPr>
          <t>YAN NASCIMENTO:</t>
        </r>
        <r>
          <rPr>
            <sz val="9"/>
            <color indexed="81"/>
            <rFont val="Tahoma"/>
            <family val="2"/>
          </rPr>
          <t xml:space="preserve">
Aviso para mantenedores da planilha: ao inserir uma nova linha na tabela do script, alterar o valor da fórmula desta célula - INDEX.</t>
        </r>
      </text>
    </comment>
    <comment ref="H26" authorId="0" shapeId="0" xr:uid="{6F95711B-82B5-4DDC-92C8-C2E9E7F5F53B}">
      <text>
        <r>
          <rPr>
            <b/>
            <sz val="9"/>
            <color indexed="81"/>
            <rFont val="Tahoma"/>
            <family val="2"/>
          </rPr>
          <t>YAN NASCIMENTO:</t>
        </r>
        <r>
          <rPr>
            <sz val="9"/>
            <color indexed="81"/>
            <rFont val="Tahoma"/>
            <family val="2"/>
          </rPr>
          <t xml:space="preserve">
Aviso para mantenedores da planilha: ao inserir uma nova linha na tabela do script, alterar o valor da fórmula desta célula - INDEX.</t>
        </r>
      </text>
    </comment>
    <comment ref="H29" authorId="0" shapeId="0" xr:uid="{BAFE8622-55DA-444D-8DE5-A871B62EF7FE}">
      <text>
        <r>
          <rPr>
            <b/>
            <sz val="9"/>
            <color indexed="81"/>
            <rFont val="Tahoma"/>
            <family val="2"/>
          </rPr>
          <t>YAN NASCIMENTO:</t>
        </r>
        <r>
          <rPr>
            <sz val="9"/>
            <color indexed="81"/>
            <rFont val="Tahoma"/>
            <family val="2"/>
          </rPr>
          <t xml:space="preserve">
Aviso para mantenedores da planilha: ao inserir uma nova linha na tabela do script, alterar o valor da fórmula desta célula - INDEX.</t>
        </r>
      </text>
    </comment>
    <comment ref="E66" authorId="1" shapeId="0" xr:uid="{7ACC1BDA-DA31-4504-B576-D62B28405A18}">
      <text>
        <r>
          <rPr>
            <b/>
            <sz val="9"/>
            <color indexed="81"/>
            <rFont val="Segoe UI"/>
            <family val="2"/>
          </rPr>
          <t>Administrador:</t>
        </r>
        <r>
          <rPr>
            <sz val="9"/>
            <color indexed="81"/>
            <rFont val="Segoe UI"/>
            <family val="2"/>
          </rPr>
          <t xml:space="preserve"> a linha está dividida em 5 partes no modelo devido a discretização. Os valores 160, 100, 40 e 10 são pré-definidos no modelo.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</author>
    <author>YAN NASCIMENTO</author>
  </authors>
  <commentList>
    <comment ref="J63" authorId="0" shapeId="0" xr:uid="{CAE0C578-EA03-4544-9EBA-30D320D0C866}">
      <text>
        <r>
          <rPr>
            <b/>
            <sz val="9"/>
            <color indexed="81"/>
            <rFont val="Tahoma"/>
            <family val="2"/>
          </rPr>
          <t>Tabela de Apoio</t>
        </r>
      </text>
    </comment>
    <comment ref="J64" authorId="0" shapeId="0" xr:uid="{FF7E24E1-B8CC-4E19-BD22-6ACF9E2FF42B}">
      <text>
        <r>
          <rPr>
            <b/>
            <sz val="9"/>
            <color indexed="81"/>
            <rFont val="Tahoma"/>
            <family val="2"/>
          </rPr>
          <t>Coluna da Cont2</t>
        </r>
      </text>
    </comment>
    <comment ref="K64" authorId="1" shapeId="0" xr:uid="{1E7C5D92-9C31-4BD0-A566-EE300EF64B98}">
      <text>
        <r>
          <rPr>
            <b/>
            <sz val="9"/>
            <color indexed="81"/>
            <rFont val="Tahoma"/>
            <family val="2"/>
          </rPr>
          <t>Coluna da Cont1</t>
        </r>
      </text>
    </comment>
    <comment ref="L64" authorId="1" shapeId="0" xr:uid="{B5D18819-1884-4D83-9D5B-22EBD118A4E6}">
      <text>
        <r>
          <rPr>
            <b/>
            <sz val="9"/>
            <color indexed="81"/>
            <rFont val="Tahoma"/>
            <family val="2"/>
          </rPr>
          <t>Coluna do Dinâmico</t>
        </r>
      </text>
    </comment>
    <comment ref="M64" authorId="0" shapeId="0" xr:uid="{FE2A4918-8EAB-4AEA-98ED-09119F64F8A8}">
      <text>
        <r>
          <rPr>
            <b/>
            <sz val="9"/>
            <color indexed="81"/>
            <rFont val="Tahoma"/>
            <family val="2"/>
          </rPr>
          <t>Distância das boias até o flange do dinâmico</t>
        </r>
      </text>
    </comment>
    <comment ref="N64" authorId="0" shapeId="0" xr:uid="{98AD3363-DC48-4C6F-A873-E77DD816C2B9}">
      <text>
        <r>
          <rPr>
            <b/>
            <sz val="9"/>
            <color indexed="81"/>
            <rFont val="Tahoma"/>
            <family val="2"/>
          </rPr>
          <t>Output pro =Concat()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 NASCIMENTO</author>
  </authors>
  <commentList>
    <comment ref="H23" authorId="0" shapeId="0" xr:uid="{7EE86CF8-B1DC-4122-8019-FA2E030F3D20}">
      <text>
        <r>
          <rPr>
            <b/>
            <sz val="9"/>
            <color indexed="81"/>
            <rFont val="Tahoma"/>
            <family val="2"/>
          </rPr>
          <t>YAN NASCIMENTO:</t>
        </r>
        <r>
          <rPr>
            <sz val="9"/>
            <color indexed="81"/>
            <rFont val="Tahoma"/>
            <family val="2"/>
          </rPr>
          <t xml:space="preserve">
Aviso para mantenedores da planilha: ao inserir uma nova linha na tabela do script, alterar o valor da fórmula desta célula - INDEX.</t>
        </r>
      </text>
    </comment>
    <comment ref="H26" authorId="0" shapeId="0" xr:uid="{735269F2-FC45-42F0-B80C-8B7946C2C0CE}">
      <text>
        <r>
          <rPr>
            <b/>
            <sz val="9"/>
            <color indexed="81"/>
            <rFont val="Tahoma"/>
            <family val="2"/>
          </rPr>
          <t>YAN NASCIMENTO:</t>
        </r>
        <r>
          <rPr>
            <sz val="9"/>
            <color indexed="81"/>
            <rFont val="Tahoma"/>
            <family val="2"/>
          </rPr>
          <t xml:space="preserve">
Aviso para mantenedores da planilha: ao inserir uma nova linha na tabela do script, alterar o valor da fórmula desta célula - INDEX.</t>
        </r>
      </text>
    </comment>
    <comment ref="H29" authorId="0" shapeId="0" xr:uid="{7C56BA48-DE76-4E55-99B3-24E933DD0BB5}">
      <text>
        <r>
          <rPr>
            <b/>
            <sz val="9"/>
            <color indexed="81"/>
            <rFont val="Tahoma"/>
            <family val="2"/>
          </rPr>
          <t>YAN NASCIMENTO:</t>
        </r>
        <r>
          <rPr>
            <sz val="9"/>
            <color indexed="81"/>
            <rFont val="Tahoma"/>
            <family val="2"/>
          </rPr>
          <t xml:space="preserve">
Aviso para mantenedores da planilha: ao inserir uma nova linha na tabela do script, alterar o valor da fórmula desta célula - INDEX.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Yasmin Goes-External</author>
  </authors>
  <commentList>
    <comment ref="J86" authorId="0" shapeId="0" xr:uid="{C0B9D794-0329-4ED5-A139-0068264DADDE}">
      <text>
        <r>
          <rPr>
            <b/>
            <sz val="9"/>
            <color indexed="81"/>
            <rFont val="Tahoma"/>
            <family val="2"/>
          </rPr>
          <t>Tabela de apoio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88" authorId="0" shapeId="0" xr:uid="{9AB28190-E8BB-44C9-9CCD-F25F91A57898}">
      <text>
        <r>
          <rPr>
            <b/>
            <sz val="9"/>
            <color indexed="81"/>
            <rFont val="Tahoma"/>
            <family val="2"/>
          </rPr>
          <t>Coluna da cont2</t>
        </r>
      </text>
    </comment>
    <comment ref="K88" authorId="0" shapeId="0" xr:uid="{0215D974-6B19-47DA-910D-71DDD4EE0AB7}">
      <text>
        <r>
          <rPr>
            <b/>
            <sz val="9"/>
            <color indexed="81"/>
            <rFont val="Tahoma"/>
            <family val="2"/>
          </rPr>
          <t>Coluna da cont1</t>
        </r>
      </text>
    </comment>
    <comment ref="L88" authorId="0" shapeId="0" xr:uid="{2F62FB78-AB8F-4A27-8262-0546F7FEF53A}">
      <text>
        <r>
          <rPr>
            <b/>
            <sz val="9"/>
            <color indexed="81"/>
            <rFont val="Tahoma"/>
            <family val="2"/>
          </rPr>
          <t>Coluna do estático</t>
        </r>
      </text>
    </comment>
    <comment ref="M88" authorId="0" shapeId="0" xr:uid="{21982B52-3318-49D7-98EE-1801B50F9202}">
      <text>
        <r>
          <rPr>
            <b/>
            <sz val="9"/>
            <color indexed="81"/>
            <rFont val="Tahoma"/>
            <family val="2"/>
          </rPr>
          <t xml:space="preserve">Distancia ddas boias ate o flange no Estatico
</t>
        </r>
      </text>
    </comment>
    <comment ref="N88" authorId="0" shapeId="0" xr:uid="{2A03AD5E-B149-46D1-B173-158EA34F9692}">
      <text>
        <r>
          <rPr>
            <b/>
            <sz val="9"/>
            <color indexed="81"/>
            <rFont val="Tahoma"/>
            <family val="2"/>
          </rPr>
          <t>Output pro concatenate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Couto-External</author>
  </authors>
  <commentList>
    <comment ref="K8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Maior Sbed Clearance entre cabrestantes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 NASCIMENTO</author>
    <author>Matheus Couto</author>
    <author>Matheus Couto-External</author>
  </authors>
  <commentList>
    <comment ref="X5" authorId="0" shapeId="0" xr:uid="{7461AC84-7018-463D-A34B-612D46DD5D3A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modelo.</t>
        </r>
      </text>
    </comment>
    <comment ref="D6" authorId="1" shapeId="0" xr:uid="{888CE88D-C260-46FD-9E61-5EB4B02DF82D}">
      <text>
        <r>
          <rPr>
            <b/>
            <sz val="9"/>
            <color indexed="81"/>
            <rFont val="Tahoma"/>
            <family val="2"/>
          </rPr>
          <t>O menor seabed clearance entre linha e vértebra.</t>
        </r>
      </text>
    </comment>
    <comment ref="D32" authorId="0" shapeId="0" xr:uid="{97D61135-F571-4ADA-A3DA-1BE8C53363CA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modelo.</t>
        </r>
      </text>
    </comment>
    <comment ref="J32" authorId="1" shapeId="0" xr:uid="{9839D0B5-53B1-49DE-A3AA-0468324CEC99}">
      <text>
        <r>
          <rPr>
            <b/>
            <sz val="9"/>
            <color indexed="81"/>
            <rFont val="Tahoma"/>
            <family val="2"/>
          </rPr>
          <t>Conversão para toneladas</t>
        </r>
      </text>
    </comment>
    <comment ref="J33" authorId="0" shapeId="0" xr:uid="{C03D1C9A-8F63-4078-A23F-46DD2A1DB5C0}">
      <text>
        <r>
          <rPr>
            <b/>
            <sz val="9"/>
            <color indexed="81"/>
            <rFont val="Tahoma"/>
            <family val="2"/>
          </rPr>
          <t>Conversão para toneladas</t>
        </r>
      </text>
    </comment>
    <comment ref="P60" authorId="2" shapeId="0" xr:uid="{2A8B829A-46FB-48AF-B457-85C265F19D31}">
      <text>
        <r>
          <rPr>
            <b/>
            <sz val="9"/>
            <color indexed="81"/>
            <rFont val="Tahoma"/>
            <family val="2"/>
          </rPr>
          <t>Comprimento suspenso
 do flange até o TDP</t>
        </r>
      </text>
    </comment>
    <comment ref="P62" authorId="2" shapeId="0" xr:uid="{E30F73C6-4FA9-4214-9641-62E3A06F1FFB}">
      <text>
        <r>
          <rPr>
            <b/>
            <sz val="9"/>
            <color indexed="81"/>
            <rFont val="Tahoma"/>
            <family val="2"/>
          </rPr>
          <t>Distância horizontal do flange até o TDP</t>
        </r>
      </text>
    </comment>
    <comment ref="P78" authorId="2" shapeId="0" xr:uid="{C8A80257-1EE0-4BF2-AD5F-DB4EE36EF3A3}">
      <text>
        <r>
          <rPr>
            <b/>
            <sz val="9"/>
            <color indexed="81"/>
            <rFont val="Tahoma"/>
            <family val="2"/>
          </rPr>
          <t>Altura da corcova</t>
        </r>
      </text>
    </comment>
    <comment ref="D79" authorId="0" shapeId="0" xr:uid="{C5DCD34C-9D66-4923-9D40-D0E7E6D873EB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modelo.</t>
        </r>
      </text>
    </comment>
    <comment ref="J79" authorId="0" shapeId="0" xr:uid="{E73DB214-2523-451F-AAD1-DDAE091866D7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modelo.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 NASCIMENTO</author>
    <author>Ruben-Filipe Inacio</author>
  </authors>
  <commentList>
    <comment ref="B13" authorId="0" shapeId="0" xr:uid="{986DA626-171D-446D-AF9E-DC967846EFCC}">
      <text>
        <r>
          <rPr>
            <sz val="10"/>
            <color indexed="81"/>
            <rFont val="Arial"/>
            <family val="2"/>
          </rPr>
          <t xml:space="preserve">Formato do código do relatório:
</t>
        </r>
        <r>
          <rPr>
            <b/>
            <sz val="10"/>
            <color indexed="81"/>
            <rFont val="Arial"/>
            <family val="2"/>
          </rPr>
          <t>S518XX-RT-5801-IAS-XXX</t>
        </r>
        <r>
          <rPr>
            <sz val="10"/>
            <color indexed="81"/>
            <rFont val="Arial"/>
            <family val="2"/>
          </rPr>
          <t xml:space="preserve">
Pegar no App de RT</t>
        </r>
      </text>
    </comment>
    <comment ref="B18" authorId="0" shapeId="0" xr:uid="{5F431149-2106-498B-A049-D343AF07E6BA}">
      <text>
        <r>
          <rPr>
            <sz val="10"/>
            <color indexed="81"/>
            <rFont val="Arial"/>
            <family val="2"/>
          </rPr>
          <t>Colocar "PENDENTE" se o 
MD ou o RL não forem enviados.</t>
        </r>
      </text>
    </comment>
    <comment ref="B19" authorId="0" shapeId="0" xr:uid="{B3497018-21D1-4804-9593-EA33C3781E86}">
      <text>
        <r>
          <rPr>
            <sz val="10"/>
            <color indexed="81"/>
            <rFont val="Arial"/>
            <family val="2"/>
          </rPr>
          <t>Colocar "PENDENTE" se o 
MD ou o RL não forem enviados.</t>
        </r>
      </text>
    </comment>
    <comment ref="B20" authorId="0" shapeId="0" xr:uid="{D4A2E892-DFBB-4881-A7F6-21A62162D1B3}">
      <text>
        <r>
          <rPr>
            <sz val="10"/>
            <color indexed="81"/>
            <rFont val="Arial"/>
            <family val="2"/>
          </rPr>
          <t>Colocar "PENDENTE" se o 
MD ou o RL não forem enviados.</t>
        </r>
      </text>
    </comment>
    <comment ref="E25" authorId="0" shapeId="0" xr:uid="{9C724D87-DBDB-4674-8652-4318226D1D45}">
      <text>
        <r>
          <rPr>
            <b/>
            <sz val="10"/>
            <color indexed="81"/>
            <rFont val="Arial"/>
            <family val="2"/>
          </rPr>
          <t>Pós-Processamento</t>
        </r>
        <r>
          <rPr>
            <sz val="10"/>
            <color indexed="81"/>
            <rFont val="Arial"/>
            <family val="2"/>
          </rPr>
          <t xml:space="preserve">
Concluído o pré-processamento e o processamento, siga os passos a seguir.
Passo 1: Finalize o preenchimento da Tabela 3;
Passo 2: Clique mo botão "Pós-Processamento - Extrair dados dos modelos";
Passo 3: Para evitar qualquer tipo de problema, verifique o indicador de versão do OrcaFlex;
Passo 4: Se a versão do OrcaFlex for compatível, clique no botão "Pós-Processamento - Gerar Ralatório";
Passo 5: O documento em word será aberto e salvo na pasta anterior ao local onde esta planilha está salva.</t>
        </r>
      </text>
    </comment>
    <comment ref="E27" authorId="1" shapeId="0" xr:uid="{6CB3291B-C8EB-4035-970D-C3C1828D706D}">
      <text>
        <r>
          <rPr>
            <b/>
            <sz val="10"/>
            <color indexed="81"/>
            <rFont val="Arial"/>
            <family val="2"/>
          </rPr>
          <t>Nota sobre os attachments</t>
        </r>
        <r>
          <rPr>
            <sz val="10"/>
            <color indexed="81"/>
            <rFont val="Arial"/>
            <family val="2"/>
          </rPr>
          <t xml:space="preserve">
Nomenclatura para Flutuadores dos Barcos e de Contingências:
        {Nome do barco}_{Empuxo} - exemplo: CDA_1000
        {Valor do Empuxo} - exemplo: 1000 (Contingência)
        Cont_{Valor do empuxo} - exemplo Cont_1000 (Contingência)
Nomenclatura para Pesos Mortos:
        Peso_{Valor do Peso} - exemplo: Peso_21,8
Nomenclatura para anodos:
        Anodo ou Anodos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<sst xmlns="http://schemas.openxmlformats.org/spreadsheetml/2006/main" count="8728" uniqueCount="2270">
  <si>
    <t>Historico de Revisões</t>
  </si>
  <si>
    <t>Versão</t>
  </si>
  <si>
    <t>Data</t>
  </si>
  <si>
    <t>Alterado por</t>
  </si>
  <si>
    <t>Verificado por</t>
  </si>
  <si>
    <t>Aprovado por</t>
  </si>
  <si>
    <t>Descrição</t>
  </si>
  <si>
    <t>MCA</t>
  </si>
  <si>
    <t>Original</t>
  </si>
  <si>
    <t>MCC/YWG</t>
  </si>
  <si>
    <t>HMRO</t>
  </si>
  <si>
    <t>Atualização das macros para criar o relatório</t>
  </si>
  <si>
    <t>Descrito abaixo</t>
  </si>
  <si>
    <t>RNE</t>
  </si>
  <si>
    <t>MCC</t>
  </si>
  <si>
    <t>MGT</t>
  </si>
  <si>
    <t>?</t>
  </si>
  <si>
    <t>GANT</t>
  </si>
  <si>
    <t>YBN/PGS/MFS</t>
  </si>
  <si>
    <t>12.0.1</t>
  </si>
  <si>
    <t>YBN</t>
  </si>
  <si>
    <t>12.0.2</t>
  </si>
  <si>
    <t>MFS</t>
  </si>
  <si>
    <t>12.0.3</t>
  </si>
  <si>
    <t>YBN/MFS</t>
  </si>
  <si>
    <t>Versão 12.0.4</t>
  </si>
  <si>
    <t>VBA - Foram incluídas novas células para serem limpas ao apertar o botão de "pós-processamento" - Evitar qualquer problema de dados sobrescritos.</t>
  </si>
  <si>
    <t>Versão 12.0.3</t>
  </si>
  <si>
    <t>Adição da nota sobre o MBR de instalação de linhas sem vértebra;</t>
  </si>
  <si>
    <t>Correção do script de geração de imagens (estatico.py) - evitar erro de sistema decimal;</t>
  </si>
  <si>
    <t>Correção do script de geração de imagens (Abas Py2 e P3) - remoção de 3 variáveis não utilizadas que estavam causando erro;</t>
  </si>
  <si>
    <t>Correção do script de geração de imagens (Aba Py6) - O nome do MCV não estava sendo atualizado na variável vcm1_static;</t>
  </si>
  <si>
    <t>VBA - Foi adicionado o campo overlength na tabela de dados estáticos do relatório, logo a automação teve que ser atualizada;</t>
  </si>
  <si>
    <t>Aba Bending Stiffness - Agora também é possíel aumentar o valor de rigidez da curva da vértebra.</t>
  </si>
  <si>
    <t>Versão 12.0.2</t>
  </si>
  <si>
    <t>VBA - Correção no erro da função de redução de rigidez na aba Bending Stiffness.</t>
  </si>
  <si>
    <t>Versão 12.0.1</t>
  </si>
  <si>
    <t>VBA - Foi adicionada um bloco condicional para evitar que a geração do relatório falhasse em análises que não possuem attachments.</t>
  </si>
  <si>
    <t>Aba Results - A célula "Dist. da 1ª Boia ao Flange" foi atualizada para evitar que o campo fique vazio  em análises que não possuem attachments.</t>
  </si>
  <si>
    <t>Versão 12</t>
  </si>
  <si>
    <t>Planilha e Relatório - A formatação da planilha foi atualizada;</t>
  </si>
  <si>
    <t>Aba "Revisão" - Foi ocultada;</t>
  </si>
  <si>
    <t>Aba "Values" - Foram inseridas verificações para reduzir erros devido a unidade de MBR e Comprimento;</t>
  </si>
  <si>
    <t>Aba "Values" e Modelo Base - Foi inserido o linetype "Zona Rígida da Vértebra" para viabilizar a modelagem desse acessório para vértebras de PU;</t>
  </si>
  <si>
    <t>Aba "Values" - No campo "Bend Restrictor" foi inserida uma célula para seleção do material da vértebra - PU ou Aço;</t>
  </si>
  <si>
    <t>Aba "Values" - Adição de novas linhas para exibir o módulo de Young dos materiais de cada acessório;</t>
  </si>
  <si>
    <t>Aba "Values" - A tabela utilizada pelo botão "Importar Dados da RT" foi atualizada;</t>
  </si>
  <si>
    <t>Aba "Bend Stiffness" - Foram inseridades duas novas funcionalidades, o fator de redução da rigidez e o ajuste do número de pontos da curva de rigidez;</t>
  </si>
  <si>
    <t>Aba "Script Table" - Foi atualizada para viabilizar a inserção da Zona Rígida da vértebra no modelo;</t>
  </si>
  <si>
    <t>Abas de Post-Processing e Auxiliares - Erros de referências da Rev11 foram consertados;</t>
  </si>
  <si>
    <t>Abas "Post-Processing" e "Results" - Extração dos dados comprimentos das lingadas.</t>
  </si>
  <si>
    <t>Abas Python - Os códigos Python foram atualizados para viabilizar a geração de figuras de análises com tramos menores que a LDA;</t>
  </si>
  <si>
    <t>Abas Python - Os códigos Python foram atualizados para diferenciar anodos de pesos mortos;</t>
  </si>
  <si>
    <t>Aba "Results" - Os dados de tração e força cortante foram corrigidos na tabela RESUMO -  a ordem estava invertida;</t>
  </si>
  <si>
    <t>Aba "Results" e VBA - Os nomes das embarcações EDM e CDA foram atualizados, o "Top" foi removido.</t>
  </si>
  <si>
    <t>Aba "Results" - Foram inseridos os campos "Iniciais do Aprovador" e "Versão do Relatório" - Assim é preenchido automaticamente no relatório;</t>
  </si>
  <si>
    <t>Aba "Results" - Foi inserida uma tabela de orientação para nomeação de "Clump Types";</t>
  </si>
  <si>
    <t>VBA e Relatório - Foi removida cabeçalho a logo "TFMC e Ocyan" e o bloco do VBA que fazia essa troca de logos;</t>
  </si>
  <si>
    <t>VBA - Foi inserido uma verificação para não permitir a geração do relatório sem que os dados da RT não estejam preenchidos;</t>
  </si>
  <si>
    <t>VBA - Foi inserido um bloco condicional para trocar os nomes dos barcos gêmeos "Skandi Olinda" e "Skandi Recife" para "Skandi 300t";</t>
  </si>
  <si>
    <t>VBA - Os trechos de código que continham "noatt4" foram removidos porque não existe no Relatório e estava provocando erro;</t>
  </si>
  <si>
    <t>VBA - O relatório Word é gerado já com o nome final - código do projeto + versão;</t>
  </si>
  <si>
    <t>VBA e Excel - Os "Defined Names" foram atualizados e padronizados entre as planilhas de CVD de 1ª e 2ª;</t>
  </si>
  <si>
    <t>Relatório - A revisão da ET foi atualizada de D para F;</t>
  </si>
  <si>
    <t>Relatório - Os comprimentos das lingadas foram inseridos nas tabelas 3.3 e 6.1;</t>
  </si>
  <si>
    <t>FORAM CRIADOS TESTES UNITÁRIOS PARA TESTAR ESTA PLANILHA - ESTÃO SALVOS NO AZURE.</t>
  </si>
  <si>
    <t>Versão 11</t>
  </si>
  <si>
    <t>Introdução dos relatórios simplificados em A4 (Aba "Relatório") e A3 (Aba "Relatório A3");</t>
  </si>
  <si>
    <t>Extração do momento fletor e esforço cortante na vértebra na análise estática e contingências;</t>
  </si>
  <si>
    <t>Alteração no script para gerar imagens, de forma a não dar erro quando se introduz o anodo;</t>
  </si>
  <si>
    <t>Versão 10</t>
  </si>
  <si>
    <t>Modificações não registradas</t>
  </si>
  <si>
    <t>Versão 9</t>
  </si>
  <si>
    <t>Implementação de Adaptador no modelo</t>
  </si>
  <si>
    <t>Suporte a diferentes versões do Orcaflex</t>
  </si>
  <si>
    <t>Adição de flutuadores dos navios</t>
  </si>
  <si>
    <t>Correção de bugs e ajuste de fórmulas antigas</t>
  </si>
  <si>
    <t>Versão 8</t>
  </si>
  <si>
    <t>Tabela de esforços para TQF</t>
  </si>
  <si>
    <t>Nota sobre aprovação de esforços via TQF na conclusão do relatório</t>
  </si>
  <si>
    <t>Correção de bugs</t>
  </si>
  <si>
    <t>Força cortante na vértebra na automação do relatório</t>
  </si>
  <si>
    <t>Casos extras nos relatório para os PLSVs TOP</t>
  </si>
  <si>
    <t>Scripts geradores de imagens para os casos extras dos PLSVs TOP</t>
  </si>
  <si>
    <t>Altura da corcova medida no ponto mais alto da mesma</t>
  </si>
  <si>
    <t>Versão 7</t>
  </si>
  <si>
    <t>Inclusão do nome de referência dos objetos no modelo</t>
  </si>
  <si>
    <t>Inclusão da tabela com o nome de referência no relatório</t>
  </si>
  <si>
    <t>Automação do relatório preparada para lidar com travamento de vértebra</t>
  </si>
  <si>
    <t>Inclusão da aba de comparação de esforços</t>
  </si>
  <si>
    <t>Inclusão do compilado de resultados</t>
  </si>
  <si>
    <t>Unificação da aba de PO, IA, IG, GL e Gas com a aba de UEH</t>
  </si>
  <si>
    <t>Alteração das unidades dos dados de input</t>
  </si>
  <si>
    <t>Inclusão da rotina de importação de dados da RT</t>
  </si>
  <si>
    <t>Automação do relatório preparada para lidar com peso morto ou ausência de flutuadores</t>
  </si>
  <si>
    <t>Incorporação do script gerador de imagens</t>
  </si>
  <si>
    <t>Inclusão dos flutuadores do Skandi Açu e Skandi Búzios</t>
  </si>
  <si>
    <t>Automação do relatório preparada para lidar com dragagem</t>
  </si>
  <si>
    <t>Versão 6</t>
  </si>
  <si>
    <t>Inclusão inputs para o DB de CVD</t>
  </si>
  <si>
    <t>Versão 5</t>
  </si>
  <si>
    <t>Inclusão da troca automática dos separadores do sistema</t>
  </si>
  <si>
    <t>Ajustes nos arredondamentos dos valores no relatório</t>
  </si>
  <si>
    <t>Redução na quantidade de inputs manuais no relatório</t>
  </si>
  <si>
    <t>Inclusão da logomarca TechnipFMC no cabeçalho do relatório</t>
  </si>
  <si>
    <t>Versão 4</t>
  </si>
  <si>
    <t>Esforços no momento em que a linha toca o solo, no caso 3ii</t>
  </si>
  <si>
    <t>Alterações no relatório para adequação à Rev. D da ET</t>
  </si>
  <si>
    <t>Inclusão do Resumo no relatório</t>
  </si>
  <si>
    <t>Remoção da aba Batimetria</t>
  </si>
  <si>
    <t>Inclusão do momento fletor na contigência</t>
  </si>
  <si>
    <t>Versão 3</t>
  </si>
  <si>
    <t>Alteração da fórmula de cálculo do OD do Conector</t>
  </si>
  <si>
    <t>Inclusão do Drag Diameter da linha na aba Script Table</t>
  </si>
  <si>
    <t>Correções no cálculo das cotas dos desenhos</t>
  </si>
  <si>
    <t>Alteração da busca do heave up na macro, para o relatorio</t>
  </si>
  <si>
    <t>Inclusão da quarta cota de batimetria na planilha e no Script Table</t>
  </si>
  <si>
    <t>Inclusão dos esforços max e min dos Casos 3i e 3ii segundo a Revisao D da ET</t>
  </si>
  <si>
    <t>Inclusão do diâmetro nominal nos inputs</t>
  </si>
  <si>
    <t>Inclusão da macro que gera o TXT para alimentar o DB</t>
  </si>
  <si>
    <t>Inclusão da correção de batimetria</t>
  </si>
  <si>
    <t>Atualização das imagens de referências</t>
  </si>
  <si>
    <t>Alteração do nome do arquivo Relatorio gerado e da pasta</t>
  </si>
  <si>
    <t>Elaborador</t>
  </si>
  <si>
    <t>Verificador</t>
  </si>
  <si>
    <t>A</t>
  </si>
  <si>
    <t>B</t>
  </si>
  <si>
    <t>C</t>
  </si>
  <si>
    <t>D</t>
  </si>
  <si>
    <t>E</t>
  </si>
  <si>
    <t>F</t>
  </si>
  <si>
    <t>G</t>
  </si>
  <si>
    <t>Dados</t>
  </si>
  <si>
    <t>Check</t>
  </si>
  <si>
    <t>De</t>
  </si>
  <si>
    <t>Para</t>
  </si>
  <si>
    <t>END A</t>
  </si>
  <si>
    <t>Observações</t>
  </si>
  <si>
    <t>VERIFICADOR</t>
  </si>
  <si>
    <t>COMENTÁRIO</t>
  </si>
  <si>
    <t>Aba</t>
  </si>
  <si>
    <t>Estrutura</t>
  </si>
  <si>
    <t>LDA [m]</t>
  </si>
  <si>
    <t>Lâmina d'água</t>
  </si>
  <si>
    <t>Planilha EQSB</t>
  </si>
  <si>
    <t>B32</t>
  </si>
  <si>
    <t>MCV e Guindaste</t>
  </si>
  <si>
    <t>B3</t>
  </si>
  <si>
    <t>Identificação da Estrutura</t>
  </si>
  <si>
    <t>Peso vazio no ar [kg/m]</t>
  </si>
  <si>
    <t>Data Sheet</t>
  </si>
  <si>
    <t>Revisão da Planilha EQSB</t>
  </si>
  <si>
    <t>F32</t>
  </si>
  <si>
    <t>B4</t>
  </si>
  <si>
    <t>Peso cheio no ar [kg/m]</t>
  </si>
  <si>
    <t>Número do desenho do MCV</t>
  </si>
  <si>
    <t>B39</t>
  </si>
  <si>
    <t>B6</t>
  </si>
  <si>
    <t>Revisão</t>
  </si>
  <si>
    <t>Peso vazio na água [kg/m]</t>
  </si>
  <si>
    <t>EQSB</t>
  </si>
  <si>
    <t>C34</t>
  </si>
  <si>
    <t>B7</t>
  </si>
  <si>
    <t>Peso cheio na água [kg/m]</t>
  </si>
  <si>
    <t>Peso na água do MCV</t>
  </si>
  <si>
    <t>D38</t>
  </si>
  <si>
    <t>C19</t>
  </si>
  <si>
    <t>OD [m]</t>
  </si>
  <si>
    <t>Calculado pela equação 1</t>
  </si>
  <si>
    <t>E38</t>
  </si>
  <si>
    <t>B8</t>
  </si>
  <si>
    <t>ID [m]</t>
  </si>
  <si>
    <t>Calculado pela equação 2</t>
  </si>
  <si>
    <t>F38</t>
  </si>
  <si>
    <t>B9</t>
  </si>
  <si>
    <t>Contact diameter [mm]</t>
  </si>
  <si>
    <t>G38</t>
  </si>
  <si>
    <t>B10</t>
  </si>
  <si>
    <t>H38</t>
  </si>
  <si>
    <t>B11</t>
  </si>
  <si>
    <t>MBR storage [m]</t>
  </si>
  <si>
    <t>I38</t>
  </si>
  <si>
    <t>B12</t>
  </si>
  <si>
    <t>MBRi instalação [m]</t>
  </si>
  <si>
    <t>J38</t>
  </si>
  <si>
    <t>B13</t>
  </si>
  <si>
    <t>Usar curva de rigidez</t>
  </si>
  <si>
    <t>Tipo de linha</t>
  </si>
  <si>
    <t>K25</t>
  </si>
  <si>
    <t>Results</t>
  </si>
  <si>
    <t>H22</t>
  </si>
  <si>
    <t>Torsional Stiffness [kN.m2]</t>
  </si>
  <si>
    <t>Equipamento Submarino</t>
  </si>
  <si>
    <t>H23</t>
  </si>
  <si>
    <t>Rel. Elongation (%) for 100kN</t>
  </si>
  <si>
    <t xml:space="preserve">Ԑ = 100 * F / EA </t>
  </si>
  <si>
    <t>Campo</t>
  </si>
  <si>
    <t>K30</t>
  </si>
  <si>
    <t>H26</t>
  </si>
  <si>
    <t>H29</t>
  </si>
  <si>
    <t>Vértebra/Bend Restrictor</t>
  </si>
  <si>
    <t>Comprimento [mm]</t>
  </si>
  <si>
    <t>Atentar para o número de anéis a serem montados</t>
  </si>
  <si>
    <t>RL</t>
  </si>
  <si>
    <t>B36</t>
  </si>
  <si>
    <t>H37</t>
  </si>
  <si>
    <t>Peso vazio no ar [kg]</t>
  </si>
  <si>
    <t>Revisão da RL</t>
  </si>
  <si>
    <t>F36</t>
  </si>
  <si>
    <t>Peso vazio na água [kg]</t>
  </si>
  <si>
    <t>RT</t>
  </si>
  <si>
    <t>B5</t>
  </si>
  <si>
    <t>H27</t>
  </si>
  <si>
    <t>Peso no ar/comp [t/m]</t>
  </si>
  <si>
    <t>Revisão da RT</t>
  </si>
  <si>
    <t>F5</t>
  </si>
  <si>
    <t>H41</t>
  </si>
  <si>
    <t>Peso na água/comp [t/m]</t>
  </si>
  <si>
    <t>Título da RT</t>
  </si>
  <si>
    <t>C13</t>
  </si>
  <si>
    <t>H42</t>
  </si>
  <si>
    <t>Selecione o material</t>
  </si>
  <si>
    <t>Calculado pela equação 3</t>
  </si>
  <si>
    <t>K45</t>
  </si>
  <si>
    <t>Values</t>
  </si>
  <si>
    <t>A5</t>
  </si>
  <si>
    <t>OD [mm]</t>
  </si>
  <si>
    <t>Diâmetro de  contato</t>
  </si>
  <si>
    <t>K46</t>
  </si>
  <si>
    <t>C10</t>
  </si>
  <si>
    <t>ID [mm]</t>
  </si>
  <si>
    <t>MBR de instalação</t>
  </si>
  <si>
    <t>K50</t>
  </si>
  <si>
    <t>Maior diâmetro do acessório (colocar em contact e drag)</t>
  </si>
  <si>
    <t>MBR travamento [m]</t>
  </si>
  <si>
    <t>Valor do Relatório de Esforços</t>
  </si>
  <si>
    <t>ID da vértebra</t>
  </si>
  <si>
    <t>I63</t>
  </si>
  <si>
    <t>C25</t>
  </si>
  <si>
    <t>Momento Fletor Admissível [kN.m]</t>
  </si>
  <si>
    <t>LDA</t>
  </si>
  <si>
    <t>K27</t>
  </si>
  <si>
    <t>C3</t>
  </si>
  <si>
    <t>Força Cortante Admissível [kN]</t>
  </si>
  <si>
    <t>Peso vazio no ar</t>
  </si>
  <si>
    <t>D48</t>
  </si>
  <si>
    <t>C4</t>
  </si>
  <si>
    <t>Módulo de Young [kN/m2]</t>
  </si>
  <si>
    <t xml:space="preserve">Módulo de Young do material selecionado - ver nota1 ao lado. </t>
  </si>
  <si>
    <t>Peso cheio no ar</t>
  </si>
  <si>
    <t>K48</t>
  </si>
  <si>
    <t>C5</t>
  </si>
  <si>
    <t>Bending Stiffness [kN.m2]</t>
  </si>
  <si>
    <t>Calculado pela equação 4</t>
  </si>
  <si>
    <t>Peso vazio na água</t>
  </si>
  <si>
    <t>D49</t>
  </si>
  <si>
    <t>C6</t>
  </si>
  <si>
    <t>Axial Stiffness [kN]</t>
  </si>
  <si>
    <t>K49</t>
  </si>
  <si>
    <t>C7</t>
  </si>
  <si>
    <t>Peso no ar do adaptador</t>
  </si>
  <si>
    <t>C64</t>
  </si>
  <si>
    <t>C52</t>
  </si>
  <si>
    <t>Curvatura [1/m]</t>
  </si>
  <si>
    <t>Ver aba Bending Stiffness</t>
  </si>
  <si>
    <t>Peso no água do adaptador</t>
  </si>
  <si>
    <t>D64</t>
  </si>
  <si>
    <t>C53</t>
  </si>
  <si>
    <t>Bend moment [kN.m]</t>
  </si>
  <si>
    <t>Conector</t>
  </si>
  <si>
    <t>E62</t>
  </si>
  <si>
    <t>A40</t>
  </si>
  <si>
    <t>Curvatura limit [1/m]</t>
  </si>
  <si>
    <t>Comprimento do conector</t>
  </si>
  <si>
    <t>K62</t>
  </si>
  <si>
    <t>C38</t>
  </si>
  <si>
    <t>Bend Moment limit [kN.m]</t>
  </si>
  <si>
    <t>Peso no ar do conector</t>
  </si>
  <si>
    <t>C62</t>
  </si>
  <si>
    <t>C39</t>
  </si>
  <si>
    <t>Peso na água do conector</t>
  </si>
  <si>
    <t>D62</t>
  </si>
  <si>
    <t>C40</t>
  </si>
  <si>
    <t>Vértebra</t>
  </si>
  <si>
    <t>E63</t>
  </si>
  <si>
    <t>A20</t>
  </si>
  <si>
    <t xml:space="preserve">Se não tiver no desenho usar Par*0,87. </t>
  </si>
  <si>
    <t>Peso no ar da vértebra</t>
  </si>
  <si>
    <t>C63</t>
  </si>
  <si>
    <t>Peso no água da vértebra</t>
  </si>
  <si>
    <t>D63</t>
  </si>
  <si>
    <t>C20</t>
  </si>
  <si>
    <t>OD da vértebra</t>
  </si>
  <si>
    <t>J62</t>
  </si>
  <si>
    <t>C24</t>
  </si>
  <si>
    <t xml:space="preserve">OD do pescoço presente no desenho </t>
  </si>
  <si>
    <t>ID presente no desenho ou ID do duto no data sheet</t>
  </si>
  <si>
    <t>Adaptador de Flanges</t>
  </si>
  <si>
    <t>Zona Rígida da Vértebra</t>
  </si>
  <si>
    <t>Comprimento = ZR + ZI (Se tiver ZI) - ver a figura 2.</t>
  </si>
  <si>
    <t>Identificação do Acessório</t>
  </si>
  <si>
    <t>Módulo de Young do material selecionado. Ver nota1 ao lado.</t>
  </si>
  <si>
    <r>
      <t>Torsional Stiffness [kN.m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]</t>
    </r>
  </si>
  <si>
    <t>END B</t>
  </si>
  <si>
    <t>DESENHO MCV - Relatório PETROBRAS</t>
  </si>
  <si>
    <t>Comentário</t>
  </si>
  <si>
    <t>Drawing MCV (Orcaflex)</t>
  </si>
  <si>
    <t>Fornecedor</t>
  </si>
  <si>
    <t>Desenho</t>
  </si>
  <si>
    <t>Equipamento</t>
  </si>
  <si>
    <t>A [mm]</t>
  </si>
  <si>
    <t>B [mm]</t>
  </si>
  <si>
    <t>C [mm]</t>
  </si>
  <si>
    <t>D [mm]</t>
  </si>
  <si>
    <t>E [mm]</t>
  </si>
  <si>
    <t>F [mm]</t>
  </si>
  <si>
    <t>G [mm]</t>
  </si>
  <si>
    <t>Guindaste ou A/R</t>
  </si>
  <si>
    <t>MCV (Orcaflex)</t>
  </si>
  <si>
    <t>Peso</t>
  </si>
  <si>
    <t>Pair [kgf] - Nota1</t>
  </si>
  <si>
    <t>Comprimento [m]</t>
  </si>
  <si>
    <t>Pw [kgf]</t>
  </si>
  <si>
    <t>Volume</t>
  </si>
  <si>
    <t>Batimetria</t>
  </si>
  <si>
    <t>CG</t>
  </si>
  <si>
    <t>A [m] (Z)</t>
  </si>
  <si>
    <t>Olhal</t>
  </si>
  <si>
    <t>Flange</t>
  </si>
  <si>
    <t>F [m] (X)</t>
  </si>
  <si>
    <t>H ao solo</t>
  </si>
  <si>
    <t xml:space="preserve">[m] (Z) </t>
  </si>
  <si>
    <t>Alfa</t>
  </si>
  <si>
    <t>Ângulo Inclinação</t>
  </si>
  <si>
    <t xml:space="preserve">Nº de pontos </t>
  </si>
  <si>
    <t>Houve alteração na rigidez?</t>
  </si>
  <si>
    <t>Percentual de alteração (%)</t>
  </si>
  <si>
    <t>Script Table Row</t>
  </si>
  <si>
    <t>Script.txt</t>
  </si>
  <si>
    <t>// 1Selecione o tipo de linha:</t>
  </si>
  <si>
    <t>// 2Se não for UEH, clique no botão "Rigidez"</t>
  </si>
  <si>
    <t>//Tipo de linha</t>
  </si>
  <si>
    <t>Outros</t>
  </si>
  <si>
    <t>// 3Selecione a célula A2 e na aba orcaflex, "Create batch Script"</t>
  </si>
  <si>
    <t>Umbilical</t>
  </si>
  <si>
    <t xml:space="preserve">// Case </t>
  </si>
  <si>
    <t>LoadData</t>
  </si>
  <si>
    <t>Select Line</t>
  </si>
  <si>
    <t>Select Linha</t>
  </si>
  <si>
    <t>OD =</t>
  </si>
  <si>
    <t>ID =</t>
  </si>
  <si>
    <t>MassPerUnitLength =</t>
  </si>
  <si>
    <t>EA =</t>
  </si>
  <si>
    <t>Length</t>
  </si>
  <si>
    <t>xMinRadius =</t>
  </si>
  <si>
    <t>NormalDragLiftDiameter =</t>
  </si>
  <si>
    <t>AxialDragLiftDiameter =</t>
  </si>
  <si>
    <t>ContactDiameter =</t>
  </si>
  <si>
    <t>GJ =</t>
  </si>
  <si>
    <t>Select Vértebra</t>
  </si>
  <si>
    <t>Select Conector</t>
  </si>
  <si>
    <t>EIx =</t>
  </si>
  <si>
    <t>Select MCV</t>
  </si>
  <si>
    <t>Mass =</t>
  </si>
  <si>
    <t>Height =</t>
  </si>
  <si>
    <t>InitialZ =</t>
  </si>
  <si>
    <t>CentreOfMassX=</t>
  </si>
  <si>
    <t>CentreOfMassZ=</t>
  </si>
  <si>
    <t>CentreOfVolumeX=</t>
  </si>
  <si>
    <t>CentreOfVolumeZ=</t>
  </si>
  <si>
    <t>Select Vert</t>
  </si>
  <si>
    <t>Length =</t>
  </si>
  <si>
    <t>Length[6] =</t>
  </si>
  <si>
    <t>Attachmentz[1] =</t>
  </si>
  <si>
    <t>EndBX =</t>
  </si>
  <si>
    <t>EndBZ =</t>
  </si>
  <si>
    <t>EndBDeclination =</t>
  </si>
  <si>
    <t>Select Guindaste</t>
  </si>
  <si>
    <t>ConnectionX[2] =</t>
  </si>
  <si>
    <t>ConnectionZ[2] =</t>
  </si>
  <si>
    <t>StageValue[1] =</t>
  </si>
  <si>
    <t>Name =</t>
  </si>
  <si>
    <t>Select Environment</t>
  </si>
  <si>
    <t>SeabedType=</t>
  </si>
  <si>
    <t>Profile</t>
  </si>
  <si>
    <t>SeabedProfileNumberOfPoints=</t>
  </si>
  <si>
    <t>SeabedProfileDistanceFromSeabedOrigin[1]=</t>
  </si>
  <si>
    <t>SeabedProfileDepth[1]=</t>
  </si>
  <si>
    <t>SeabedProfileDistanceFromSeabedOrigin[2]=</t>
  </si>
  <si>
    <t>SeabedProfileDepth[2]=</t>
  </si>
  <si>
    <t>SeabedProfileDistanceFromSeabedOrigin[3]=</t>
  </si>
  <si>
    <t>SeabedProfileDepth[3]=</t>
  </si>
  <si>
    <t>SeabedProfileDistanceFromSeabedOrigin[4]=</t>
  </si>
  <si>
    <t>SeabedProfileDepth[4]=</t>
  </si>
  <si>
    <t>NumberOfRows =</t>
  </si>
  <si>
    <t>IndependentValue[2]=</t>
  </si>
  <si>
    <t>IndependentValue[3]=</t>
  </si>
  <si>
    <t>DependentValue[2]=</t>
  </si>
  <si>
    <t>DependentValue[3]=</t>
  </si>
  <si>
    <t>Select A/R</t>
  </si>
  <si>
    <t>Select Junção</t>
  </si>
  <si>
    <t>SaveData</t>
  </si>
  <si>
    <t>Sheet</t>
  </si>
  <si>
    <t>Label</t>
  </si>
  <si>
    <t>Output</t>
  </si>
  <si>
    <t>Object</t>
  </si>
  <si>
    <t>Additional</t>
  </si>
  <si>
    <t>Simulation</t>
  </si>
  <si>
    <t>Name</t>
  </si>
  <si>
    <t>Cell</t>
  </si>
  <si>
    <t>Command</t>
  </si>
  <si>
    <t>Period</t>
  </si>
  <si>
    <t>Variable</t>
  </si>
  <si>
    <t>Range Graph Min</t>
  </si>
  <si>
    <t>Static State</t>
  </si>
  <si>
    <t>Bend Radius</t>
  </si>
  <si>
    <t>Get Data</t>
  </si>
  <si>
    <t>Environment</t>
  </si>
  <si>
    <t>Depth</t>
  </si>
  <si>
    <t>Static Result</t>
  </si>
  <si>
    <t>End B</t>
  </si>
  <si>
    <t>Z</t>
  </si>
  <si>
    <t>Rotation 2</t>
  </si>
  <si>
    <t>End Ey-Moment</t>
  </si>
  <si>
    <t>End Ex-Force</t>
  </si>
  <si>
    <t>End Ez-Force</t>
  </si>
  <si>
    <t>EndBZ</t>
  </si>
  <si>
    <t>Auxiliar2</t>
  </si>
  <si>
    <t>Range Graph</t>
  </si>
  <si>
    <t>E1</t>
  </si>
  <si>
    <t>E2</t>
  </si>
  <si>
    <t>X</t>
  </si>
  <si>
    <t>A1</t>
  </si>
  <si>
    <t>A2</t>
  </si>
  <si>
    <t>Vertical Seabed Clearance</t>
  </si>
  <si>
    <t>C1</t>
  </si>
  <si>
    <t>C2</t>
  </si>
  <si>
    <t>Range Graph Max</t>
  </si>
  <si>
    <t>Bend Moment</t>
  </si>
  <si>
    <t>StageValue[1]</t>
  </si>
  <si>
    <t>Shear Force</t>
  </si>
  <si>
    <t>StageValue[3]</t>
  </si>
  <si>
    <t>NumberOfAttachments</t>
  </si>
  <si>
    <t>Max</t>
  </si>
  <si>
    <t>Whole Simulation</t>
  </si>
  <si>
    <t>Tension</t>
  </si>
  <si>
    <t>Auxiliar1</t>
  </si>
  <si>
    <t>Linked Statistics</t>
  </si>
  <si>
    <t>End Ex-Force,End Ez-Force,End Ey-Moment</t>
  </si>
  <si>
    <t>Time History</t>
  </si>
  <si>
    <t>Touchdown</t>
  </si>
  <si>
    <t>Arc Length</t>
  </si>
  <si>
    <t>Sample Times</t>
  </si>
  <si>
    <t>A53</t>
  </si>
  <si>
    <t>Auxiliar3</t>
  </si>
  <si>
    <t>X1</t>
  </si>
  <si>
    <t>X2</t>
  </si>
  <si>
    <t>X3</t>
  </si>
  <si>
    <t>X4</t>
  </si>
  <si>
    <t>Auxiliar4</t>
  </si>
  <si>
    <t>Linha</t>
  </si>
  <si>
    <t>Cortante</t>
  </si>
  <si>
    <t>Tração</t>
  </si>
  <si>
    <t>Vertical Seabed Clearance - Line</t>
  </si>
  <si>
    <t>Vertical Seabed Clearance - Stiffener1</t>
  </si>
  <si>
    <t>X - Line</t>
  </si>
  <si>
    <t>Attachment Type</t>
  </si>
  <si>
    <t>Z bouy (m)</t>
  </si>
  <si>
    <t>Num. Apenas</t>
  </si>
  <si>
    <t>Colunas de Apoio</t>
  </si>
  <si>
    <t>1ºPM (POS)</t>
  </si>
  <si>
    <t>1ºPM (Kg)</t>
  </si>
  <si>
    <t>2ºPM (Pos)</t>
  </si>
  <si>
    <t>2ºPM (kg)</t>
  </si>
  <si>
    <t>3ºPM (pos)</t>
  </si>
  <si>
    <t>3ºPM (kg)</t>
  </si>
  <si>
    <t>4ºPM (pos)</t>
  </si>
  <si>
    <t>4ºPM (kg)</t>
  </si>
  <si>
    <t>Vertical seabed clearance</t>
  </si>
  <si>
    <t>TDP</t>
  </si>
  <si>
    <t>Altura da Corcova</t>
  </si>
  <si>
    <t>Sb Clearance</t>
  </si>
  <si>
    <t>Cabrestante 1</t>
  </si>
  <si>
    <t>Cabrestante 2</t>
  </si>
  <si>
    <t>Line</t>
  </si>
  <si>
    <t>Tamanho da Vértebra</t>
  </si>
  <si>
    <t>Line Range</t>
  </si>
  <si>
    <t>Somatório</t>
  </si>
  <si>
    <t>CONT1</t>
  </si>
  <si>
    <t>CONT2</t>
  </si>
  <si>
    <t>#!/usr/bin/env python</t>
  </si>
  <si>
    <t># -*- coding: utf-8 -*-</t>
  </si>
  <si>
    <t>import numpy as np</t>
  </si>
  <si>
    <t>import OrcFxAPI as orca</t>
  </si>
  <si>
    <t>import matplotlib.pyplot as plt</t>
  </si>
  <si>
    <t>import matplotlib.patches as patches</t>
  </si>
  <si>
    <t>from math import floor</t>
  </si>
  <si>
    <t>from matplotlib.path import Path</t>
  </si>
  <si>
    <t>Tamanho da Fonte</t>
  </si>
  <si>
    <t>#################################INICIO INPUT##################################</t>
  </si>
  <si>
    <t>Nome dos objetos</t>
  </si>
  <si>
    <t># Caminho do ficheiro da analise estatica</t>
  </si>
  <si>
    <t># Nome do arquivo a ser gerado</t>
  </si>
  <si>
    <t>Dragagem</t>
  </si>
  <si>
    <t>#Apenas movimentar cotas se necessario</t>
  </si>
  <si>
    <t># Ligar os eixos para ter melhor sensibilidade de quanto deseja movimentar</t>
  </si>
  <si>
    <t># Desligar os eixos apos posicionamento das cotas</t>
  </si>
  <si>
    <t>turn_axes_on = False</t>
  </si>
  <si>
    <t># Aumentar a janela de visualização grafica [m]</t>
  </si>
  <si>
    <t>x_min_lim = 0.0</t>
  </si>
  <si>
    <t>x_max_lim = 0.0</t>
  </si>
  <si>
    <t>z_min_lim = 0.0</t>
  </si>
  <si>
    <t>z_max_lim = 0.0</t>
  </si>
  <si>
    <t># Movimentar em Z o texto da cota de distancia da linha ao solo [m]</t>
  </si>
  <si>
    <t>mov_z_1 = 0.0</t>
  </si>
  <si>
    <t># Movimentar em X a cota de distancia da linha ao solo [m]</t>
  </si>
  <si>
    <t>mov_x_1 = 0.0</t>
  </si>
  <si>
    <t># Movimentar em Z o texto da cota de distancia da flange do MCV ao solo [m]</t>
  </si>
  <si>
    <t>mov_z_2 = 0.0</t>
  </si>
  <si>
    <t># Movimentar em X a cota de distancia da flange do MCV ao solo [m]</t>
  </si>
  <si>
    <t>mov_x_2 = -0.5</t>
  </si>
  <si>
    <t># Movimentar em X a cota de distancia da maxima distancia da linha ao solo na zona da corcova</t>
  </si>
  <si>
    <t>mov_x_3 = 0.0</t>
  </si>
  <si>
    <t># Movimentar em Z o texto da cota de distancia da maxima distancia da linha ao solo na zona da corcova</t>
  </si>
  <si>
    <t>mov_z_3 = 0.0</t>
  </si>
  <si>
    <t># Movimentar em X o texto da cota de distancia da flange ao TDP</t>
  </si>
  <si>
    <t>mov_x_4 = 0.0</t>
  </si>
  <si>
    <t># Movimentar em Z a cota de distancia da flange ao TDP</t>
  </si>
  <si>
    <t>mov_z_4 = 0.0</t>
  </si>
  <si>
    <t># Aumentar espaçamento em X entre os textos de descrição de flutuadores [m]</t>
  </si>
  <si>
    <t>mov_x_5 = 0.0</t>
  </si>
  <si>
    <t># Aumentar espaçamento em Z entre os textos de descrição de flutuadores [m]</t>
  </si>
  <si>
    <t>mov_z_5 = 0.0</t>
  </si>
  <si>
    <t># Movimentar em X o texto da cota de distancia do flange à dragagem</t>
  </si>
  <si>
    <t>mov_x_6 = 0.0</t>
  </si>
  <si>
    <t># Movimentar em Z a cota de distancia do flange à dragagem</t>
  </si>
  <si>
    <t>mov_z_6 = 0.0</t>
  </si>
  <si>
    <t># Movimentar em X o texto da cota de comprimento da dragagem</t>
  </si>
  <si>
    <t>mov_x_7 = 0.0</t>
  </si>
  <si>
    <t># Movimentar em Z a cota de comprimento da dragagem</t>
  </si>
  <si>
    <t>mov_z_7 = 0.0</t>
  </si>
  <si>
    <t># Movimentar em X o texto da cota de profundidade da dragagem</t>
  </si>
  <si>
    <t>mov_x_8 = 0.0</t>
  </si>
  <si>
    <t># Movimentar em Z a cota de profundidade da dragagem</t>
  </si>
  <si>
    <t>mov_z_8 = 0.0</t>
  </si>
  <si>
    <t># Tamanho da fonte</t>
  </si>
  <si>
    <t xml:space="preserve"># Se houver dragagem, dred= True, se não, dred=False </t>
  </si>
  <si>
    <t>###################################FIM INPUT###################################</t>
  </si>
  <si>
    <t># To avoid any issue with excel</t>
  </si>
  <si>
    <t>profile_dist = [profile_dist0, profile_dist1, profile_dist2, profile_dist3]</t>
  </si>
  <si>
    <t>profile_depth = [profile_depth0, profile_depth1, profile_depth2, profile_depth3]</t>
  </si>
  <si>
    <t>def extremas(array):</t>
  </si>
  <si>
    <t xml:space="preserve">    ###########################################################################</t>
  </si>
  <si>
    <t xml:space="preserve">    ### GET MINIMUM AND MAXIMUM VALUE POSITION IN LIST AND VALUE OF MINIMUM</t>
  </si>
  <si>
    <t xml:space="preserve">    max_values_index = []</t>
  </si>
  <si>
    <t xml:space="preserve">    min_values_index = []</t>
  </si>
  <si>
    <t xml:space="preserve">    min_value = max(array)</t>
  </si>
  <si>
    <t xml:space="preserve">    for i in range(0,len(array)-2):</t>
  </si>
  <si>
    <t xml:space="preserve">        if array[i] &lt; array[i+1] and array[i+1] &gt; array[i+2]:</t>
  </si>
  <si>
    <t xml:space="preserve">            if array[i+1] &gt; 0.0:</t>
  </si>
  <si>
    <t xml:space="preserve">                max_values_index.append(i+1)</t>
  </si>
  <si>
    <t xml:space="preserve">        if array[i] &gt; array[i+1] and array[i+1] &lt; array[i+2]:</t>
  </si>
  <si>
    <t xml:space="preserve">                if array[i+1]&lt;min_value:</t>
  </si>
  <si>
    <t xml:space="preserve">                    min_value=array[i+1]</t>
  </si>
  <si>
    <t xml:space="preserve">                    min_values_index=i+1</t>
  </si>
  <si>
    <t xml:space="preserve">    if min_values_index==[]:</t>
  </si>
  <si>
    <t xml:space="preserve">        if array[0]&lt;array[len(array)-1]:</t>
  </si>
  <si>
    <t xml:space="preserve">            min_values_index=0</t>
  </si>
  <si>
    <t xml:space="preserve">        else:</t>
  </si>
  <si>
    <t xml:space="preserve">            min_values_index=len(array)-1</t>
  </si>
  <si>
    <t xml:space="preserve">        </t>
  </si>
  <si>
    <t xml:space="preserve">    return min_value, max_values_index, min_values_index</t>
  </si>
  <si>
    <t>model = orca.Model()</t>
  </si>
  <si>
    <t>model.LoadSimulation(filename_static)</t>
  </si>
  <si>
    <t># ----Recognize MCVs ---------------------------------------------------------#</t>
  </si>
  <si>
    <t>#----Recognize Line and Attachemnt lines--------------------------------------#</t>
  </si>
  <si>
    <t>#----Recognize 3d buoy that connects slings with A&amp;R wire---------------------#</t>
  </si>
  <si>
    <t>buoy3D_names = []</t>
  </si>
  <si>
    <t>locks = [obj for obj in model.objects if obj.type == orca.ot3DBuoy]</t>
  </si>
  <si>
    <t>for lock in locks:</t>
  </si>
  <si>
    <t xml:space="preserve">    buoy3D_names.append(lock.Name)</t>
  </si>
  <si>
    <t>pos = buoy3D_names.index('Junção')</t>
  </si>
  <si>
    <t>lock = locks[pos]</t>
  </si>
  <si>
    <t>#----Recognize slings---------------------------------------------------------#</t>
  </si>
  <si>
    <t>wires = [obj for obj in model.objects if obj.type == orca.otWinch or obj.type == orca.otLink]</t>
  </si>
  <si>
    <t>j=-1</t>
  </si>
  <si>
    <t>wire_line_con=[]</t>
  </si>
  <si>
    <t>wire_pos=[]</t>
  </si>
  <si>
    <t>for wire in wires:</t>
  </si>
  <si>
    <t xml:space="preserve">    j=j+1</t>
  </si>
  <si>
    <t xml:space="preserve">    for i in range(0,2,1):</t>
  </si>
  <si>
    <t xml:space="preserve">        if wire.Connection[i]==line1.Name:</t>
  </si>
  <si>
    <t xml:space="preserve">            wire_pos.append(j)</t>
  </si>
  <si>
    <t xml:space="preserve">            wire_line_con.append(wire.ConnectionZ[i])</t>
  </si>
  <si>
    <t>if wire_line_con[1]&gt;wire_line_con[0]:</t>
  </si>
  <si>
    <t xml:space="preserve">    wire1=wires[wire_pos[0]]</t>
  </si>
  <si>
    <t xml:space="preserve">    wire2=wires[wire_pos[1]]</t>
  </si>
  <si>
    <t>else:</t>
  </si>
  <si>
    <t xml:space="preserve">    wire1=wires[wire_pos[1]]</t>
  </si>
  <si>
    <t xml:space="preserve">    wire2=wires[wire_pos[0]]</t>
  </si>
  <si>
    <t>#----Recognize wires----------------------------------------------------------#</t>
  </si>
  <si>
    <t>#----Recognize crane wire-----------------------------------------------------#</t>
  </si>
  <si>
    <t xml:space="preserve">    if wire.Connection[0] == vcm1.Name or wire.Connection[1] == vcm1.Name:</t>
  </si>
  <si>
    <t xml:space="preserve">        Crane = wire</t>
  </si>
  <si>
    <t xml:space="preserve">    if ((wire.Connection[0] == lock.Name or wire.Connection[1] == lock.Name)</t>
  </si>
  <si>
    <t xml:space="preserve">        and (wire.Connection[0] == 'Fixed' or wire.Connection[1] == 'Fixed')):</t>
  </si>
  <si>
    <t xml:space="preserve">        ar_winch = wire</t>
  </si>
  <si>
    <t>#----Recognize Environment----------------------------------------------------#</t>
  </si>
  <si>
    <t>environment = model["Environment"]</t>
  </si>
  <si>
    <t>#----Diametros de contato da linha--------------------------------------------#</t>
  </si>
  <si>
    <t>linetypes=[]</t>
  </si>
  <si>
    <t>diameter=[]</t>
  </si>
  <si>
    <t>lt_N_nodes=[1]</t>
  </si>
  <si>
    <t>for i in range(0,line1.NumberOfSections):</t>
  </si>
  <si>
    <t xml:space="preserve">    linetypes.append(line1.LineType[i])</t>
  </si>
  <si>
    <t xml:space="preserve">    linetype=model[linetypes[i]]</t>
  </si>
  <si>
    <t xml:space="preserve">    lt_N_nodes.append(line1.CumulativeNumberOfSegments[i])</t>
  </si>
  <si>
    <t xml:space="preserve">    if linetype.ContactDiameter&gt;100:</t>
  </si>
  <si>
    <t xml:space="preserve">        diameter.append(linetype.OD)</t>
  </si>
  <si>
    <t xml:space="preserve">    else:</t>
  </si>
  <si>
    <t xml:space="preserve">        diameter.append(linetype.ContactDiameter)</t>
  </si>
  <si>
    <t>#----Diametros de contato dos attachment lines--------------------------------#</t>
  </si>
  <si>
    <t>att_diameter=[]</t>
  </si>
  <si>
    <t>for j in range(0,len(att_lines)):</t>
  </si>
  <si>
    <t xml:space="preserve">    att_line=model[att_lines[j]]</t>
  </si>
  <si>
    <t xml:space="preserve">    att_linetype=model[att_line.LineType[0]]</t>
  </si>
  <si>
    <t xml:space="preserve">    if att_linetype.ContactDiameter&gt;100:</t>
  </si>
  <si>
    <t xml:space="preserve">        att_diameter.append(att_linetype.OD)</t>
  </si>
  <si>
    <t xml:space="preserve">        att_diameter.append(att_linetype.ContactDiameter)</t>
  </si>
  <si>
    <t>#----MCV position-------------------------------------------------------------#</t>
  </si>
  <si>
    <t>vcm1_base_point_x = vcm1.StaticResult('X')</t>
  </si>
  <si>
    <t>vcm1_base_point_z=vcm1.StaticResult('Z')</t>
  </si>
  <si>
    <t>#----Crane wire end postion---------------------------------------------------#</t>
  </si>
  <si>
    <t>#Bottom</t>
  </si>
  <si>
    <t>crane_vcm1_bottom_conection_x=Crane.StaticResult('X',orca.oeWinch(2))</t>
  </si>
  <si>
    <t>crane_vcm1_bottom_conection_z=Crane.StaticResult('Z',orca.oeWinch(2))</t>
  </si>
  <si>
    <t>#Top</t>
  </si>
  <si>
    <t>crane_vcm1_top_conection_x=Crane.StaticResult('X',orca.oeWinch(1))</t>
  </si>
  <si>
    <t>crane_vcm1_top_conection_z=Crane.StaticResult('Z',orca.oeWinch(1))</t>
  </si>
  <si>
    <t>#----Water Depth--------------------------------------------------------------#</t>
  </si>
  <si>
    <t>water_depth_f=-1.0*environment.WaterDepth</t>
  </si>
  <si>
    <t>wd_1=water_depth_f</t>
  </si>
  <si>
    <t>#----Seabed Profile-----------------------------------------------------------#</t>
  </si>
  <si>
    <t>seabed_x=[]</t>
  </si>
  <si>
    <t>seabed_z=[]</t>
  </si>
  <si>
    <t>if environment.SeabedType=='Profile':</t>
  </si>
  <si>
    <t xml:space="preserve">    for i in range(0,environment.SeabedProfileNumberOfPoints):</t>
  </si>
  <si>
    <t xml:space="preserve">        seabed_x.append(</t>
  </si>
  <si>
    <t xml:space="preserve">            environment.SeabedOriginX </t>
  </si>
  <si>
    <t xml:space="preserve">            + environment.SeabedProfileDistanceFromSeabedOrigin[i]</t>
  </si>
  <si>
    <t xml:space="preserve">        )</t>
  </si>
  <si>
    <t xml:space="preserve">        seabed_z.append(environment.SeabedProfileZ[i])</t>
  </si>
  <si>
    <t xml:space="preserve">    seabed_z.append(environment.SeabedProfileZ[seabed_x.index(max(seabed_x))])</t>
  </si>
  <si>
    <t xml:space="preserve">    seabed_x.append(max(seabed_x)+100)</t>
  </si>
  <si>
    <t xml:space="preserve">    seabed_z.insert(0, environment.SeabedProfileZ[seabed_x.index(min(seabed_x))])</t>
  </si>
  <si>
    <t xml:space="preserve">    seabed_x.insert(0, min(seabed_x) - 100)</t>
  </si>
  <si>
    <t>min_wd=min(wd_1,min(seabed_z))</t>
  </si>
  <si>
    <t>#----Line Nodes position and angle--------------------------------------------#</t>
  </si>
  <si>
    <t>line_z=line1.RangeGraph('Z')</t>
  </si>
  <si>
    <t>line_x=line1.RangeGraph('X')</t>
  </si>
  <si>
    <t>line_declin=line1.RangeGraph('Declination')</t>
  </si>
  <si>
    <t>#----Attachments Nodes position and angle-------------------------------------#</t>
  </si>
  <si>
    <t>att_line_z=[]</t>
  </si>
  <si>
    <t>att_line_x=[]</t>
  </si>
  <si>
    <t>att_line_declin=[]</t>
  </si>
  <si>
    <t xml:space="preserve">    att_line_z.append(att_line.RangeGraph('Z'))</t>
  </si>
  <si>
    <t xml:space="preserve">    att_line_x.append(att_line.RangeGraph('X'))</t>
  </si>
  <si>
    <t xml:space="preserve">    att_line_declin.append(att_line.RangeGraph('Declination'))</t>
  </si>
  <si>
    <t>#----MCV Flange position and X-position at seabed to take dimensions in CAD---#</t>
  </si>
  <si>
    <t>flange_seabed_x=line1.StaticResult('X',orca.oeEndB)</t>
  </si>
  <si>
    <t>flange_seabed_z= water_depth_f</t>
  </si>
  <si>
    <t>flange_vcm1_x=flange_seabed_x</t>
  </si>
  <si>
    <t>flange_vcm1_z=line1.StaticResult('Z',orca.oeEndB)</t>
  </si>
  <si>
    <t>#----Calculation of Buoys position and weight---------------------------------#</t>
  </si>
  <si>
    <t>N_att=line1.NumberOfAttachments</t>
  </si>
  <si>
    <t>if N_att&gt;0:</t>
  </si>
  <si>
    <t xml:space="preserve">    buoys_type=[]</t>
  </si>
  <si>
    <t xml:space="preserve">    buoys_z=[]</t>
  </si>
  <si>
    <t xml:space="preserve">    x_buoy=[]</t>
  </si>
  <si>
    <t xml:space="preserve">    z_buoy=[]</t>
  </si>
  <si>
    <t xml:space="preserve">    buoy_txt=[]</t>
  </si>
  <si>
    <t xml:space="preserve">    dead_weight=[]</t>
  </si>
  <si>
    <t xml:space="preserve">    peso_total = 0</t>
  </si>
  <si>
    <t xml:space="preserve">    dead_weight_pos = []</t>
  </si>
  <si>
    <t xml:space="preserve">    #diferencia boias de outro tipo de attachments como por exemplo vertebras</t>
  </si>
  <si>
    <t xml:space="preserve">    for i in range(0,N_att):</t>
  </si>
  <si>
    <t xml:space="preserve">        att_name=line1.AttachmentName[i]</t>
  </si>
  <si>
    <t xml:space="preserve">        if att_name==None:</t>
  </si>
  <si>
    <t xml:space="preserve">            buoys_type.append(str(line1.AttachmentType[i]))</t>
  </si>
  <si>
    <t xml:space="preserve">            buoys_z.append(line1.Attachmentz[i])</t>
  </si>
  <si>
    <t xml:space="preserve">            if "PESO_" in buoys_type[i].upper():</t>
  </si>
  <si>
    <t xml:space="preserve">                peso = buoys_type[i].replace("Peso_","")</t>
  </si>
  <si>
    <t xml:space="preserve">                peso = peso.replace(",", ".")</t>
  </si>
  <si>
    <t xml:space="preserve">                peso_total += float(peso)</t>
  </si>
  <si>
    <t xml:space="preserve">                dead_weight_pos.append(buoys_z[i])</t>
  </si>
  <si>
    <t xml:space="preserve">                dead_weight.append(line1.Attachmentz[i])</t>
  </si>
  <si>
    <t xml:space="preserve">            buoys_type.append(0)</t>
  </si>
  <si>
    <t xml:space="preserve">            buoys_z.append(0)</t>
  </si>
  <si>
    <t xml:space="preserve">    n=[]</t>
  </si>
  <si>
    <t xml:space="preserve">    #verifica quantas boias estao na mesma posicao/no</t>
  </si>
  <si>
    <t xml:space="preserve">            n.append(1)</t>
  </si>
  <si>
    <t xml:space="preserve">            for j in range(0,N_att):</t>
  </si>
  <si>
    <t xml:space="preserve">                att_name=line1.AttachmentName[j]</t>
  </si>
  <si>
    <t xml:space="preserve">                if att_name==None:</t>
  </si>
  <si>
    <t xml:space="preserve">                    if i!=j:</t>
  </si>
  <si>
    <t xml:space="preserve">                        if buoys_z[i]==buoys_z[j]:</t>
  </si>
  <si>
    <t xml:space="preserve">                            n[i]=n[i]+1</t>
  </si>
  <si>
    <t xml:space="preserve">            n.append(0)</t>
  </si>
  <si>
    <t xml:space="preserve">    Emp=[]</t>
  </si>
  <si>
    <t xml:space="preserve">    #calcula o empuxo de cada boia</t>
  </si>
  <si>
    <t xml:space="preserve">            buoy_obj=model[buoys_type[i]]</t>
  </si>
  <si>
    <t xml:space="preserve">            Emp.append((buoy_obj.Mass-1.025*buoy_obj.Volume)*1000)</t>
  </si>
  <si>
    <t xml:space="preserve">            Emp.append(0)</t>
  </si>
  <si>
    <t xml:space="preserve">    #soma empuxo de boias que estao na mesma posicao/no</t>
  </si>
  <si>
    <t xml:space="preserve">                            Emp[i]=Emp[i]+Emp[j]</t>
  </si>
  <si>
    <t xml:space="preserve">                            n[j]=0</t>
  </si>
  <si>
    <t xml:space="preserve">                            buoys_z[j]=0</t>
  </si>
  <si>
    <t xml:space="preserve">                            Emp[j]=0</t>
  </si>
  <si>
    <t xml:space="preserve">    # refaz as listas de posicao/no, empuxo e quantidade de boias de modo a </t>
  </si>
  <si>
    <t xml:space="preserve">    # colocar apenas uma boia onde estao varias no modelo</t>
  </si>
  <si>
    <t xml:space="preserve">    n_new=[]</t>
  </si>
  <si>
    <t xml:space="preserve">    buoys_z_new=[]</t>
  </si>
  <si>
    <t xml:space="preserve">    Emp_new=[]</t>
  </si>
  <si>
    <t xml:space="preserve">    for i in range(0,len(n)):</t>
  </si>
  <si>
    <t xml:space="preserve">        if n[i]!=0:</t>
  </si>
  <si>
    <t xml:space="preserve">            n_new.append(n[i])</t>
  </si>
  <si>
    <t xml:space="preserve">            buoys_z_new.append(buoys_z[i])</t>
  </si>
  <si>
    <t xml:space="preserve">            Emp_new.append(Emp[i])</t>
  </si>
  <si>
    <t xml:space="preserve">    n=n_new</t>
  </si>
  <si>
    <t xml:space="preserve">    buoys_z=buoys_z_new</t>
  </si>
  <si>
    <t xml:space="preserve">    Emp=Emp_new</t>
  </si>
  <si>
    <t xml:space="preserve">    #cria um texto para aplicar no bloco do autocad</t>
  </si>
  <si>
    <t xml:space="preserve">        if Emp[i]&lt;0.0:</t>
  </si>
  <si>
    <t xml:space="preserve">            buoy_txt.append(str(int(round(-Emp[i],0))) + 'kg ')</t>
  </si>
  <si>
    <t xml:space="preserve">        elif Emp[i]&gt;0.0:</t>
  </si>
  <si>
    <t xml:space="preserve">            buoy_txt.append('Peso '+ str(int(round(Emp[i],0))) + 'kg ')</t>
  </si>
  <si>
    <t xml:space="preserve">            buoy_txt.append('0')</t>
  </si>
  <si>
    <t xml:space="preserve">    buoy_node=[]</t>
  </si>
  <si>
    <t xml:space="preserve">    #guarda o no' em que a boia se encontra instalada na linha</t>
  </si>
  <si>
    <t xml:space="preserve">        for j in range(len(line_x.X)-1,-1,-1):</t>
  </si>
  <si>
    <t xml:space="preserve">            if line_x.X[j]&lt;line_x.X[-1]-buoys_z[i]:</t>
  </si>
  <si>
    <t xml:space="preserve">                buoy_node.append(j+1)</t>
  </si>
  <si>
    <t xml:space="preserve">                break</t>
  </si>
  <si>
    <t xml:space="preserve">    #guarda a posicao no espaco de cada boia que se encontra instalada na linha</t>
  </si>
  <si>
    <t xml:space="preserve">    line_len=line1.StaticResult('Arc Length',orca.oeEndB)</t>
  </si>
  <si>
    <t xml:space="preserve">    for i in range(0,len(buoys_z)):</t>
  </si>
  <si>
    <t xml:space="preserve">        x_buoy.append(line1.StaticResult('X',orca.oeArcLength(line_len-buoys_z[i])))</t>
  </si>
  <si>
    <t xml:space="preserve">        z_buoy.append(line1.StaticResult('Z',orca.oeArcLength(line_len-buoys_z[i])))</t>
  </si>
  <si>
    <t>#----Get minimum seabed clearance of lines and attachments--------------------#</t>
  </si>
  <si>
    <t>min_all=[]</t>
  </si>
  <si>
    <t>vertical_seabed_cleareance = line1.RangeGraph('Vertical Seabed Clearance')</t>
  </si>
  <si>
    <t>min_value_2, maxi_2, mini_2 = extremas(vertical_seabed_cleareance.Mean)</t>
  </si>
  <si>
    <t>min_all.append(min_value_2)</t>
  </si>
  <si>
    <t>all_vertical_seabed_clearance_z = []</t>
  </si>
  <si>
    <t>all_vertical_seabed_clearance_z.append(vertical_seabed_cleareance.Mean)</t>
  </si>
  <si>
    <t>att_vertical_seabed_clearance_z=[]</t>
  </si>
  <si>
    <t xml:space="preserve">    att_vertical_seabed_clearance = att_line.RangeGraph('Vertical Seabed Clearance')</t>
  </si>
  <si>
    <t xml:space="preserve">    att_vertical_seabed_clearance_z.append(att_vertical_seabed_clearance.Mean)</t>
  </si>
  <si>
    <t xml:space="preserve">    all_vertical_seabed_clearance_z.append(att_vertical_seabed_clearance.Mean)</t>
  </si>
  <si>
    <t>for j in range(0,len(att_vertical_seabed_clearance_z)):</t>
  </si>
  <si>
    <t xml:space="preserve">    min_all.append(min(att_vertical_seabed_clearance_z[j]))</t>
  </si>
  <si>
    <t>line_w_seabd_clear = min_all.index(min(min_all))</t>
  </si>
  <si>
    <t>min_value, maxi, mini1 = extremas(all_vertical_seabed_clearance_z[line_w_seabd_clear])</t>
  </si>
  <si>
    <t>if line_w_seabd_clear!=0:</t>
  </si>
  <si>
    <t xml:space="preserve">    for i in range(0,len(line_x.Mean)):</t>
  </si>
  <si>
    <t xml:space="preserve">        if att_line_x[line_w_seabd_clear-1].Mean[mini1]==line_x.Mean[i]:</t>
  </si>
  <si>
    <t xml:space="preserve">            mini=i</t>
  </si>
  <si>
    <t xml:space="preserve">            break</t>
  </si>
  <si>
    <t xml:space="preserve">    mini=mini1</t>
  </si>
  <si>
    <t>if line_w_seabd_clear==0:</t>
  </si>
  <si>
    <t xml:space="preserve">    for i in range(0,line1.NumberOfSections):</t>
  </si>
  <si>
    <t xml:space="preserve">        if i&gt;0:</t>
  </si>
  <si>
    <t xml:space="preserve">            if (mini&gt;=line1.CumulativeNumberOfSegments[i-1] </t>
  </si>
  <si>
    <t xml:space="preserve">                and mini&lt;line1.CumulativeNumberOfSegments[i]):</t>
  </si>
  <si>
    <t xml:space="preserve">                linetype=model[linetypes[i]]</t>
  </si>
  <si>
    <t xml:space="preserve">                if linetype.ContactDiameter&gt;100:</t>
  </si>
  <si>
    <t xml:space="preserve">                    min_diameter=linetype.OD</t>
  </si>
  <si>
    <t xml:space="preserve">                else:</t>
  </si>
  <si>
    <t xml:space="preserve">                    min_diameter=linetype.ContactDiameter</t>
  </si>
  <si>
    <t xml:space="preserve">        elif i==0:</t>
  </si>
  <si>
    <t xml:space="preserve">            if mini&gt;0 and mini&lt;line1.CumulativeNumberOfSegments[i]:</t>
  </si>
  <si>
    <t xml:space="preserve">else:     </t>
  </si>
  <si>
    <t xml:space="preserve">    min_diameter=att_diameter[line_w_seabd_clear-1]</t>
  </si>
  <si>
    <t>x_min_height_above_seabed = line_x.Mean[mini]</t>
  </si>
  <si>
    <t>z_min_height_above_seabed = line_z.Mean[mini] - min_diameter/2</t>
  </si>
  <si>
    <t>min_height_above_seabed = line_z.Mean[mini] - min_diameter/2 - float(all_vertical_seabed_clearance_z[line_w_seabd_clear][mini1])</t>
  </si>
  <si>
    <t>#----Get slings end A and end B positions-------------------------------------#</t>
  </si>
  <si>
    <t>if wire1.type == orca.otWinch:</t>
  </si>
  <si>
    <t xml:space="preserve">    leg1_x=wire1.StaticResult('X',orca.oeWinch(2))</t>
  </si>
  <si>
    <t xml:space="preserve">    leg1_z=wire1.StaticResult('Z',orca.oeWinch(2))</t>
  </si>
  <si>
    <t>elif wire1.type == orca.otLink:</t>
  </si>
  <si>
    <t xml:space="preserve">    leg1_x=wire1.StaticResult('End B X')</t>
  </si>
  <si>
    <t xml:space="preserve">    leg1_z=wire1.StaticResult('End B Z')</t>
  </si>
  <si>
    <t>if np.isclose(wire1.ConnectionZ[0], 0.0, atol=1e-2):</t>
  </si>
  <si>
    <t xml:space="preserve">    leg1_al=line_x.X[len(line_x.Mean)-1]-wire1.ConnectionZ[1]</t>
  </si>
  <si>
    <t xml:space="preserve">    leg1_al_index=min(range(len(line_x.X)), key=lambda i: abs(line_x.X[i]-leg1_al))</t>
  </si>
  <si>
    <t xml:space="preserve">    leg1_al_x=line_x.Mean[leg1_al_index]</t>
  </si>
  <si>
    <t xml:space="preserve">    leg1_al_z=line_z.Mean[leg1_al_index]</t>
  </si>
  <si>
    <t>elif np.isclose(wire1.ConnectionZ[1], 0.0, atol=1e-2):</t>
  </si>
  <si>
    <t xml:space="preserve">    leg1_al=line_x.X[len(line_x.Mean)-1]-wire1.ConnectionZ[0]</t>
  </si>
  <si>
    <t xml:space="preserve">    </t>
  </si>
  <si>
    <t xml:space="preserve">    leg2_x=wire2.StaticResult('X',orca.oeWinch(2))</t>
  </si>
  <si>
    <t xml:space="preserve">    leg2_z=wire2.StaticResult('Z',orca.oeWinch(2))</t>
  </si>
  <si>
    <t xml:space="preserve">    leg2_x=wire2.StaticResult('End B X')</t>
  </si>
  <si>
    <t xml:space="preserve">    leg2_z=wire2.StaticResult('End B Z')</t>
  </si>
  <si>
    <t>#----Get A&amp;R wire end A and end B positions-----------------------------------#</t>
  </si>
  <si>
    <t>ar_winch_bottom_x=ar_winch.StaticResult('X',orca.oeWinch(2))</t>
  </si>
  <si>
    <t>ar_winch_bottom_z=ar_winch.StaticResult('Z',orca.oeWinch(2))</t>
  </si>
  <si>
    <t>ar_winch_top_x=ar_winch.StaticResult('X',orca.oeWinch(1))</t>
  </si>
  <si>
    <t>ar_winch_top_z=ar_winch.StaticResult('Z',orca.oeWinch(1))</t>
  </si>
  <si>
    <t>#----Get line maximum seabed clearance at slings position---------------------#</t>
  </si>
  <si>
    <t>min_value_alt, maxi_alt, mini_alt = extremas(all_vertical_seabed_clearance_z[0])</t>
  </si>
  <si>
    <t xml:space="preserve">    if i&gt;0:</t>
  </si>
  <si>
    <t xml:space="preserve">        if (leg1_al_index&gt;=line1.CumulativeNumberOfSegments[i-1] </t>
  </si>
  <si>
    <t xml:space="preserve">            and leg1_al_index&lt;line1.CumulativeNumberOfSegments[i]):</t>
  </si>
  <si>
    <t xml:space="preserve">            linetype=model[linetypes[i]]</t>
  </si>
  <si>
    <t xml:space="preserve">            if linetype.ContactDiameter&gt;100:</t>
  </si>
  <si>
    <t xml:space="preserve">                max_diameter=linetype.OD</t>
  </si>
  <si>
    <t xml:space="preserve">            else:</t>
  </si>
  <si>
    <t xml:space="preserve">                max_diameter=linetype.ContactDiameter</t>
  </si>
  <si>
    <t xml:space="preserve">    elif i==0:</t>
  </si>
  <si>
    <t xml:space="preserve">        if leg1_al_index&gt;0 and leg1_al_index&lt;line1.CumulativeNumberOfSegments[i]:</t>
  </si>
  <si>
    <t>x_max_height_corco = line_x.Mean[maxi_alt[0]]</t>
  </si>
  <si>
    <t>z_max_height_corco = line_z.Mean[maxi_alt[0]] - max_diameter/2</t>
  </si>
  <si>
    <t>max_height_corco = line_z.Mean[maxi_alt[0]] - max_diameter/2 - float(line1.RangeGraph('Vertical Seabed Clearance').Mean[maxi_alt[0]])</t>
  </si>
  <si>
    <t xml:space="preserve">#----Get TDP spatial positions---------------------------------------------------------------------------------------------------------------------------------------------#      </t>
  </si>
  <si>
    <t>x_tdp=line1.StaticResult('X',orca.oeTouchdown)</t>
  </si>
  <si>
    <t>z_tdp=line1.StaticResult('Z',orca.oeTouchdown)</t>
  </si>
  <si>
    <t>#----Dredging------------------------------------------------------------------</t>
  </si>
  <si>
    <t>sbed_dist = environment.SeabedProfileDistanceFromSeabedOrigin</t>
  </si>
  <si>
    <t>sbed_depth = environment.SeabedProfileDepth</t>
  </si>
  <si>
    <t>dred_dist = []</t>
  </si>
  <si>
    <t>dred_z = []</t>
  </si>
  <si>
    <t># Pega a cota anterior e posterior aos pontos de dragagem</t>
  </si>
  <si>
    <t>for i in range(len(sbed_dist)):</t>
  </si>
  <si>
    <t xml:space="preserve">    if sbed_dist[i] not in profile_dist and sbed_depth[i] not in profile_depth:</t>
  </si>
  <si>
    <t xml:space="preserve">        if 1 &gt; 0:</t>
  </si>
  <si>
    <t xml:space="preserve">            dred_dist.append(sbed_dist[i-1])</t>
  </si>
  <si>
    <t xml:space="preserve">            dred_z.append(sbed_depth[i-1] * -1)</t>
  </si>
  <si>
    <t xml:space="preserve">        try:</t>
  </si>
  <si>
    <t xml:space="preserve">            dred_dist.append(sbed_dist[i+1])</t>
  </si>
  <si>
    <t xml:space="preserve">            dred_z.append(sbed_depth[i+1] * -1)</t>
  </si>
  <si>
    <t xml:space="preserve">        except(IndexError):</t>
  </si>
  <si>
    <t xml:space="preserve">            dred_dist.append(sbed_dist[i])</t>
  </si>
  <si>
    <t xml:space="preserve">            dred_z.append(sbed_depth[i] * -1)</t>
  </si>
  <si>
    <t>###############################################################################</t>
  </si>
  <si>
    <t>fig = plt.figure(</t>
  </si>
  <si>
    <t xml:space="preserve">    figsize=(abs((vcm1_base_point_x-0.5-1+x_min_lim)-(x_tdp+1+x_max_lim)), </t>
  </si>
  <si>
    <t xml:space="preserve">             abs((min(seabed_z)-2.0+z_min_lim)-(line_z.Mean[-1]+8+z_max_lim)))</t>
  </si>
  <si>
    <t>)</t>
  </si>
  <si>
    <t>ax = fig.add_subplot(111)</t>
  </si>
  <si>
    <t>#----insere o bloco mcv na sua coordenada espacial----------------------------#</t>
  </si>
  <si>
    <t>verts = [</t>
  </si>
  <si>
    <t xml:space="preserve">    (vcm1_base_point_x,vcm1_base_point_z),</t>
  </si>
  <si>
    <t xml:space="preserve">    (vcm1_base_point_x-0.5,vcm1_base_point_z),</t>
  </si>
  <si>
    <t xml:space="preserve">    (vcm1_base_point_x-0.25,vcm1_base_point_z+1.2),</t>
  </si>
  <si>
    <t xml:space="preserve">    (vcm1_base_point_x+0.25,vcm1_base_point_z+1.2),</t>
  </si>
  <si>
    <t xml:space="preserve">    (vcm1_base_point_x+0.5,vcm1_base_point_z),</t>
  </si>
  <si>
    <t xml:space="preserve">    (0.0,0.0)</t>
  </si>
  <si>
    <t>]</t>
  </si>
  <si>
    <t>verts = np.array(verts, float)</t>
  </si>
  <si>
    <t>codes = [Path.MOVETO] + [Path.LINETO]*(len(verts)-2) + [Path.CLOSEPOLY]</t>
  </si>
  <si>
    <t>path1 = Path(verts,codes)</t>
  </si>
  <si>
    <t>r1 = patches.PathPatch(path1, linestyle='solid', facecolor='r')</t>
  </si>
  <si>
    <t>ax.add_patch(r1)</t>
  </si>
  <si>
    <t>#----desenha a linha do guincho que vai do mcv ao navio-----------------------#</t>
  </si>
  <si>
    <t>ax.plot(</t>
  </si>
  <si>
    <t xml:space="preserve">    [crane_vcm1_bottom_conection_x, crane_vcm1_top_conection_x],</t>
  </si>
  <si>
    <t xml:space="preserve">    [crane_vcm1_bottom_conection_z, crane_vcm1_top_conection_z],</t>
  </si>
  <si>
    <t xml:space="preserve">    'k-', </t>
  </si>
  <si>
    <t xml:space="preserve">    linewidth=3.0</t>
  </si>
  <si>
    <t>#----desenha a linha do solo marinho------------------------------------------#</t>
  </si>
  <si>
    <t>ax.plot(seabed_x,seabed_z, linewidth=3.0, color="brown")</t>
  </si>
  <si>
    <t>#----desenha a linha externa do duto------------------------------------------#</t>
  </si>
  <si>
    <t xml:space="preserve">line_draw=[] </t>
  </si>
  <si>
    <t>for j in range(0,len(linetypes)):</t>
  </si>
  <si>
    <t xml:space="preserve">    for i in range(lt_N_nodes[j],lt_N_nodes[j+1]+1):</t>
  </si>
  <si>
    <t xml:space="preserve">        line_draw.append((line_x.Mean[i]+(diameter[j]/2)*np.cos(line_declin.Mean[i]*np.pi/180),</t>
  </si>
  <si>
    <t xml:space="preserve">        line_z.Mean[i]+(diameter[j]/2)*np.sin(line_declin.Mean[i]*np.pi/180)))</t>
  </si>
  <si>
    <t>for j in range(len(linetypes)-1,-1,-1):</t>
  </si>
  <si>
    <t xml:space="preserve">    for i in range(lt_N_nodes[j+1],lt_N_nodes[j]-1,-1):</t>
  </si>
  <si>
    <t xml:space="preserve">        line_draw.append((line_x.Mean[i]-(diameter[j]/2)*np.cos(line_declin.Mean[i]*np.pi/180),</t>
  </si>
  <si>
    <t xml:space="preserve">        line_z.Mean[i]-(diameter[j]/2)*np.sin(line_declin.Mean[i]*np.pi/180)))</t>
  </si>
  <si>
    <t>verts3 = np.array(line_draw, float)</t>
  </si>
  <si>
    <t>codes3 = [Path.MOVETO] + [Path.LINETO]*(len(verts3)-1)</t>
  </si>
  <si>
    <t>path3 = Path(verts3,codes3)</t>
  </si>
  <si>
    <t xml:space="preserve">r3 = patches.PathPatch(path3, linestyle='solid',facecolor='y') </t>
  </si>
  <si>
    <t>ax.add_patch(r3)</t>
  </si>
  <si>
    <t>#----desenha a linha externa das vertebras------------------------------------#</t>
  </si>
  <si>
    <t>vert_draw=[]</t>
  </si>
  <si>
    <t xml:space="preserve">    for i in range(0, att_line.CumulativeNumberOfSegments[-1]+1):</t>
  </si>
  <si>
    <t xml:space="preserve">        vert_draw.append((att_line_x[j].Mean[i]+(att_diameter[j]/2)*np.cos(att_line_declin[j].Mean[i]*np.pi/180),</t>
  </si>
  <si>
    <t xml:space="preserve">        att_line_z[j].Mean[i]+(att_diameter[j]/2)*np.sin(att_line_declin[j].Mean[i]*np.pi/180)))</t>
  </si>
  <si>
    <t>for j in range(len(att_lines)-1,-1,-1):</t>
  </si>
  <si>
    <t xml:space="preserve">    for i in range(att_line.CumulativeNumberOfSegments[-1], -1,-1):</t>
  </si>
  <si>
    <t xml:space="preserve">        vert_draw.append((att_line_x[j].Mean[i]-(att_diameter[j]/2)*np.cos(att_line_declin[j].Mean[i]*np.pi/180),</t>
  </si>
  <si>
    <t xml:space="preserve">        att_line_z[j].Mean[i]-(att_diameter[j]/2)*np.sin(att_line_declin[j].Mean[i]*np.pi/180)))</t>
  </si>
  <si>
    <t>verts2 = np.array(vert_draw, float)</t>
  </si>
  <si>
    <t>codes2 = [Path.MOVETO] + [Path.LINETO]*(len(verts2)-1)</t>
  </si>
  <si>
    <t>path2 = Path(verts2,codes2)</t>
  </si>
  <si>
    <t xml:space="preserve">r2 = patches.PathPatch(path2, linestyle='solid',facecolor='grey') </t>
  </si>
  <si>
    <t>ax.add_patch(r2)</t>
  </si>
  <si>
    <t>#----desenha a cota de distancia da flange do MCV ao solo---------------------#</t>
  </si>
  <si>
    <t>ax.annotate(</t>
  </si>
  <si>
    <t xml:space="preserve">    "",</t>
  </si>
  <si>
    <t xml:space="preserve">    xy=(flange_vcm1_x+mov_x_2, flange_vcm1_z), </t>
  </si>
  <si>
    <t xml:space="preserve">    xycoords='data',</t>
  </si>
  <si>
    <t xml:space="preserve">    xytext=(flange_vcm1_x+mov_x_2,flange_seabed_z), </t>
  </si>
  <si>
    <t xml:space="preserve">    textcoords='data',</t>
  </si>
  <si>
    <t xml:space="preserve">    arrowprops=dict(arrowstyle="&lt;-&gt;", connectionstyle="arc3", lw=2), </t>
  </si>
  <si>
    <t>ax.plot([flange_vcm1_x,flange_vcm1_x+mov_x_2],[flange_vcm1_z,flange_vcm1_z],'k-')</t>
  </si>
  <si>
    <t>ax.plot([flange_vcm1_x,flange_vcm1_x+mov_x_2],[flange_seabed_z,flange_seabed_z],'k-')</t>
  </si>
  <si>
    <t xml:space="preserve">    str(round(flange_vcm1_z-flange_seabed_z,2)).replace('.', ',')+'m', </t>
  </si>
  <si>
    <t xml:space="preserve">    xy=(flange_vcm1_x+mov_x_2, flange_seabed_z+((flange_vcm1_z-flange_seabed_z)/2)+mov_z_2), </t>
  </si>
  <si>
    <t xml:space="preserve">    xytext=(5, 0), </t>
  </si>
  <si>
    <t xml:space="preserve">    textcoords='offset points',</t>
  </si>
  <si>
    <t xml:space="preserve">    verticalalignment ='center', </t>
  </si>
  <si>
    <t xml:space="preserve">    fontsize=font_size,</t>
  </si>
  <si>
    <t xml:space="preserve">)  </t>
  </si>
  <si>
    <t>#----desenho das boias e pesos------------------------------------------------#</t>
  </si>
  <si>
    <t>ponto_anterior=[[],[]]</t>
  </si>
  <si>
    <t>N_Buoys=line1.NumberOfAttachments</t>
  </si>
  <si>
    <t>if N_Buoys&gt;0:</t>
  </si>
  <si>
    <t xml:space="preserve">    flag_peso=0</t>
  </si>
  <si>
    <t xml:space="preserve">    for j in range(0,len(z_buoy)):</t>
  </si>
  <si>
    <t xml:space="preserve">    #check se 'e uma boia</t>
  </si>
  <si>
    <t xml:space="preserve">        if Emp[j]&lt;0.0:</t>
  </si>
  <si>
    <t>#----desenho das boias--------------------------------------------------------#</t>
  </si>
  <si>
    <t xml:space="preserve">            ax.plot([x_buoy[j],x_buoy[j]],[z_buoy[j],z_buoy[j]+1],'k-')</t>
  </si>
  <si>
    <t xml:space="preserve">            r4 = patches.Rectangle((x_buoy[j]-0.25,z_buoy[j]+1),width=0.5, height=0.5, linestyle='solid',facecolor='y') </t>
  </si>
  <si>
    <t xml:space="preserve">            ax.add_patch(r4)</t>
  </si>
  <si>
    <t xml:space="preserve">        #check se 'e um peso</t>
  </si>
  <si>
    <t xml:space="preserve">        elif Emp[j]&gt;0.0:</t>
  </si>
  <si>
    <t>#----desenho do peso morto----------------------------------------------------#</t>
  </si>
  <si>
    <t xml:space="preserve">            if flag_peso==0:</t>
  </si>
  <si>
    <t xml:space="preserve">                flag_peso=1</t>
  </si>
  <si>
    <t xml:space="preserve">            #da o valor val2 para um comprimento de linha que pendura o anel</t>
  </si>
  <si>
    <t xml:space="preserve">            for itera in range(0,len(att_lines)):</t>
  </si>
  <si>
    <t xml:space="preserve">                if (abs(line_x.Mean[buoy_node[j]]) &gt; abs(att_line_x[itera].Mean[-1]) </t>
  </si>
  <si>
    <t xml:space="preserve">                    and abs(line_x.Mean[buoy_node[j]]) &lt; abs(att_line_x[itera].Mean[0])):</t>
  </si>
  <si>
    <t xml:space="preserve">                    val2=att_diameter[itera]/2+0.1</t>
  </si>
  <si>
    <t xml:space="preserve">                    for itera1 in range(0,len(linetypes)):</t>
  </si>
  <si>
    <t xml:space="preserve">                        if line_x.X[buoy_node[j]]&gt;=line_x.X[lt_N_nodes[itera1]] and line_x.X[buoy_node[j]]&lt;line_x.X[lt_N_nodes[itera1+1]]:</t>
  </si>
  <si>
    <t xml:space="preserve">                            val2=diameter[itera1]/2+0.1</t>
  </si>
  <si>
    <t xml:space="preserve">                    </t>
  </si>
  <si>
    <t xml:space="preserve">            ax.plot([line_x.Mean[buoy_node[j]],line_x.Mean[buoy_node[j]]],[line_z.Mean[buoy_node[j]],line_z.Mean[buoy_node[j]]-val2],'k-')</t>
  </si>
  <si>
    <t xml:space="preserve">            r6 = patches.Circle((line_x.Mean[buoy_node[j]],line_z.Mean[buoy_node[j]]-val2-0.125),radius=0.125, linestyle='solid',facecolor='k')</t>
  </si>
  <si>
    <t xml:space="preserve">            ax.add_patch(r6)</t>
  </si>
  <si>
    <t>#----desenha os estropos------------------------------------------------------#</t>
  </si>
  <si>
    <t>ax.plot([leg1_x,ar_winch_bottom_x,leg2_x],[leg1_z,ar_winch_bottom_z,leg2_z],'k-')</t>
  </si>
  <si>
    <t>#----desenha o A&amp;R winch wire-------------------------------------------------#</t>
  </si>
  <si>
    <t>ax.plot([ar_winch_bottom_x,ar_winch_bottom_x],[ar_winch_bottom_z,ar_winch_top_z],'k-')</t>
  </si>
  <si>
    <t>#----desenha a cota de distancia da linha ao solo-----------------------------#</t>
  </si>
  <si>
    <t xml:space="preserve">    xy=(x_min_height_above_seabed+mov_x_1,min_height_above_seabed), </t>
  </si>
  <si>
    <t xml:space="preserve">    xytext=(x_min_height_above_seabed+mov_x_1,z_min_height_above_seabed), </t>
  </si>
  <si>
    <t>ax.plot([x_min_height_above_seabed,x_min_height_above_seabed+mov_x_1],[min_height_above_seabed,min_height_above_seabed],'k-')</t>
  </si>
  <si>
    <t>ax.plot([x_min_height_above_seabed,x_min_height_above_seabed+mov_x_1],[z_min_height_above_seabed,z_min_height_above_seabed],'k-')</t>
  </si>
  <si>
    <t xml:space="preserve">    str(format(floor((z_min_height_above_seabed-min_height_above_seabed)*100)/100, '.2f')).replace('.', ',')+'m', </t>
  </si>
  <si>
    <t xml:space="preserve">    xy=(x_min_height_above_seabed+mov_x_1,min_height_above_seabed+(z_min_height_above_seabed-min_height_above_seabed)/2+mov_z_1), </t>
  </si>
  <si>
    <t xml:space="preserve">    verticalalignment ='center',</t>
  </si>
  <si>
    <t>#----desenha a cota de distancia da maxima distancia da linha ao solo na zona da corcova-#</t>
  </si>
  <si>
    <t xml:space="preserve">    xy=(x_max_height_corco+mov_x_3,max_height_corco), </t>
  </si>
  <si>
    <t xml:space="preserve">    xytext=(x_max_height_corco+mov_x_3,z_max_height_corco), </t>
  </si>
  <si>
    <t>ax.plot([x_max_height_corco,x_max_height_corco+mov_x_3],[max_height_corco,max_height_corco],'k-')</t>
  </si>
  <si>
    <t>ax.plot([x_max_height_corco,x_max_height_corco+mov_x_3],[z_max_height_corco,z_max_height_corco],'k-')</t>
  </si>
  <si>
    <t xml:space="preserve">    str(format(round(z_max_height_corco-max_height_corco,2), '.2f')).replace('.', ',')+'m', </t>
  </si>
  <si>
    <t xml:space="preserve">    xy=(x_max_height_corco+mov_x_3,max_height_corco+(z_max_height_corco-max_height_corco)/2+mov_z_3), </t>
  </si>
  <si>
    <t>#----desenha a cota de distancia do flange ao TDP-----------------------------#</t>
  </si>
  <si>
    <t xml:space="preserve">    xy=(flange_vcm1_x,max(flange_vcm1_z, z_max_height_corco) + 1.0 + mov_z_4), </t>
  </si>
  <si>
    <t xml:space="preserve">    xytext=(x_tdp, max(flange_vcm1_z, z_max_height_corco) + 1.0 + mov_z_4), </t>
  </si>
  <si>
    <t>ax.plot([flange_vcm1_x,flange_vcm1_x],[flange_vcm1_z,max(flange_vcm1_z,z_max_height_corco)+1.0+mov_z_4],'k-')</t>
  </si>
  <si>
    <t>ax.plot([x_tdp,x_tdp],[z_tdp,max(flange_vcm1_z,z_max_height_corco)+1.0+mov_z_4],'k-')</t>
  </si>
  <si>
    <t xml:space="preserve">    str(format(round(abs(flange_vcm1_x-x_tdp),2), '.2f')).replace('.', ',')+'m', </t>
  </si>
  <si>
    <t xml:space="preserve">    xy=(flange_vcm1_x+(x_tdp-flange_vcm1_x)/2+mov_x_4, max(flange_vcm1_z,z_max_height_corco)+1.2+mov_z_4), </t>
  </si>
  <si>
    <t xml:space="preserve">    fontsize=font_size</t>
  </si>
  <si>
    <t xml:space="preserve">) </t>
  </si>
  <si>
    <t xml:space="preserve">#----insere bloco com localizacao do TDP--------------------------------------#   </t>
  </si>
  <si>
    <t xml:space="preserve">r5 = patches.Circle(xy=(x_tdp,z_tdp), radius=0.5, fill=False)    </t>
  </si>
  <si>
    <t>ax.add_patch(r5)</t>
  </si>
  <si>
    <t xml:space="preserve">    'TDP', </t>
  </si>
  <si>
    <t xml:space="preserve">    xy=(x_tdp, z_tdp + 0.5), </t>
  </si>
  <si>
    <t xml:space="preserve">    textcoords='offset points', </t>
  </si>
  <si>
    <t>#----desenha a cota da dragagem-----------------------------------------------#</t>
  </si>
  <si>
    <t>if dred:</t>
  </si>
  <si>
    <t xml:space="preserve">    o_x = environment.SeabedOriginX</t>
  </si>
  <si>
    <t xml:space="preserve">    # Cota horizontal</t>
  </si>
  <si>
    <t xml:space="preserve">    ax.annotate(</t>
  </si>
  <si>
    <t xml:space="preserve">        "",</t>
  </si>
  <si>
    <t xml:space="preserve">        xy=(o_x+min(dred_dist),min(dred_z)-1+mov_z_7), </t>
  </si>
  <si>
    <t xml:space="preserve">        xycoords='data',</t>
  </si>
  <si>
    <t xml:space="preserve">        xytext=(o_x+max(dred_dist),min(dred_z)-1+mov_z_7),</t>
  </si>
  <si>
    <t xml:space="preserve">        textcoords='data',</t>
  </si>
  <si>
    <t xml:space="preserve">        arrowprops=dict(arrowstyle="&lt;-&gt;", connectionstyle="arc3", lw=2), </t>
  </si>
  <si>
    <t xml:space="preserve">    )</t>
  </si>
  <si>
    <t xml:space="preserve">    ax.plot([o_x+min(dred_dist),o_x+min(dred_dist)],[max(dred_z),min(dred_z)-1.0+mov_z_7],'k-')</t>
  </si>
  <si>
    <t xml:space="preserve">    ax.plot([o_x+max(dred_dist),o_x+max(dred_dist)],[max(dred_z),min(dred_z)-1.0+mov_z_7],'k-')</t>
  </si>
  <si>
    <t xml:space="preserve">        str(format(round(abs(min(dred_dist)-max(dred_dist)),1), '.2f')).replace('.', ',')+'m', </t>
  </si>
  <si>
    <t xml:space="preserve">        xy=(o_x+np.mean(dred_dist)-3.5+mov_x_7,min(dred_z)-1.75+mov_z_7), </t>
  </si>
  <si>
    <t xml:space="preserve">        xytext=(5, 0), </t>
  </si>
  <si>
    <t xml:space="preserve">        textcoords='offset points',</t>
  </si>
  <si>
    <t xml:space="preserve">        verticalalignment ='center', </t>
  </si>
  <si>
    <t xml:space="preserve">        fontsize=font_size,</t>
  </si>
  <si>
    <t xml:space="preserve">    ) </t>
  </si>
  <si>
    <t xml:space="preserve">    #----Dragagem - Cota Vertical---------------------------------------------#</t>
  </si>
  <si>
    <t xml:space="preserve">        xy=(o_x+max(dred_dist)+1+mov_x_8,min(dred_z)), </t>
  </si>
  <si>
    <t xml:space="preserve">        xytext=(o_x + max(dred_dist) + 1+ mov_x_8, min(dred_z) - 1), </t>
  </si>
  <si>
    <t xml:space="preserve">        arrowprops=dict(arrowstyle="-&gt;", connectionstyle="arc3", lw=2), </t>
  </si>
  <si>
    <t xml:space="preserve">        xy=(o_x+max(dred_dist)+1+mov_x_8,seabed_z[-1]), </t>
  </si>
  <si>
    <t xml:space="preserve">        xytext=(o_x+max(dred_dist)+1+mov_x_8,seabed_z[-1]+1), </t>
  </si>
  <si>
    <t xml:space="preserve">    ax.plot([o_x+max(dred_dist),o_x+max(dred_dist)+1+mov_x_8],[min(dred_z),min(dred_z)],'k-')</t>
  </si>
  <si>
    <t xml:space="preserve">        str(format(round(abs(seabed_z[-1]-min(dred_z)),1), '.2f')).replace('.', ',')+'m', </t>
  </si>
  <si>
    <t xml:space="preserve">        xy=(o_x + max(dred_dist) + 1 + mov_x_8, min(dred_z) - 1 + mov_z_8), </t>
  </si>
  <si>
    <t xml:space="preserve">    #----Distância do flange--------------------------------------------------#</t>
  </si>
  <si>
    <t xml:space="preserve">        xy=(flange_vcm1_x, min(dred_z) - 1 + mov_z_6), </t>
  </si>
  <si>
    <t xml:space="preserve">        xytext=(o_x + min(dred_dist), min(dred_z) -1 + mov_z_6), </t>
  </si>
  <si>
    <t xml:space="preserve">    ax.plot([flange_vcm1_x,flange_vcm1_x],[seabed_z[0],min(dred_z)-1+mov_z_6],'k-')</t>
  </si>
  <si>
    <t xml:space="preserve">    ax.plot([o_x+min(dred_dist),o_x+min(dred_dist)],[min(dred_z),min(dred_z)-1+mov_z_6],'k-')</t>
  </si>
  <si>
    <t xml:space="preserve">        str(format(round(abs(o_x+min(dred_dist)-flange_vcm1_x), 1), '.2f')).replace('.', ',') + 'm', </t>
  </si>
  <si>
    <t xml:space="preserve">        xy=(o_x + min(dred_dist)/2 - 2 + mov_x_6, min(dred_z) -1.75 + mov_z_6), </t>
  </si>
  <si>
    <t>plt.xlim(vcm1_base_point_x-0.5-1+x_min_lim,x_tdp+1+x_max_lim)</t>
  </si>
  <si>
    <t xml:space="preserve">plt.ylim(min(seabed_z)-2.0+z_min_lim,line_z.Mean[-1]+8+z_max_lim) </t>
  </si>
  <si>
    <t>cur_axes = plt.gca()</t>
  </si>
  <si>
    <t>cur_axes.axes.get_xaxis().set_visible(turn_axes_on)</t>
  </si>
  <si>
    <t>cur_axes.axes.get_yaxis().set_visible(turn_axes_on)</t>
  </si>
  <si>
    <t>ax.spines['top'].set_visible(False)</t>
  </si>
  <si>
    <t>ax.spines['right'].set_visible(False)</t>
  </si>
  <si>
    <t>ax.spines['left'].set_visible(False)</t>
  </si>
  <si>
    <t>ax.spines['bottom'].set_visible(False)</t>
  </si>
  <si>
    <t>fig.savefig('./' + pngname ,bbox_inches='tight')</t>
  </si>
  <si>
    <t>#THE END</t>
  </si>
  <si>
    <t># Movimentar em X o texto da cota do comprimento de linha da flange ao ponto minimo da linha</t>
  </si>
  <si>
    <t>mov_x_1 = -1.5</t>
  </si>
  <si>
    <t># Movimentar em Z o texto da cota do comprimento de linha da flange ao ponto minimo da linha</t>
  </si>
  <si>
    <t># Movimentar em X o texto da cota do comprimento de linha do ponto minimo da linha ao outro lado</t>
  </si>
  <si>
    <t>mov_x_2 = 1.5</t>
  </si>
  <si>
    <t># Movimentar em Z o texto da cota do comprimento de linha do ponto minimo da linha ao outro lado</t>
  </si>
  <si>
    <t xml:space="preserve">    # refaz as listas de posicao/no, empuxo e quantidade de boias de modo a</t>
  </si>
  <si>
    <t xml:space="preserve">    leg2_z=wire2.StaticResult('End B Z')    </t>
  </si>
  <si>
    <t>other_point_i=leg1_al_index</t>
  </si>
  <si>
    <t xml:space="preserve">    figsize=(abs((vcm1_base_point_x-0.5-1+x_min_lim)-(max(leg1_x,leg2_x)+1+x_max_lim)), </t>
  </si>
  <si>
    <t xml:space="preserve">             abs((min(seabed_z)-2.0+z_min_lim)-(line_z.Mean[-1]+8+z_max_lim) ))</t>
  </si>
  <si>
    <t xml:space="preserve">            ax.annotate(</t>
  </si>
  <si>
    <t xml:space="preserve">                buoy_txt[j].replace('.', ',')+'de\n'+'empuxo'+'\n'+'a '+str(round(buoys_z[j],2)).replace('.', ',')+'m'+'\n'+'do flange',</t>
  </si>
  <si>
    <t xml:space="preserve">                xy=(x_buoy[j],z_buoy[j]+1.5), </t>
  </si>
  <si>
    <t xml:space="preserve">                xycoords='data',</t>
  </si>
  <si>
    <t xml:space="preserve">                xytext=(x_buoy[j]+(mov_x_3*j),z_buoy[j]+3+(mov_z_3*j)), </t>
  </si>
  <si>
    <t xml:space="preserve">                textcoords='data',</t>
  </si>
  <si>
    <t xml:space="preserve">                arrowprops=dict(arrowstyle="-", connectionstyle="arc3", lw=2), </t>
  </si>
  <si>
    <t xml:space="preserve">                fontsize=font_size,</t>
  </si>
  <si>
    <t xml:space="preserve">            )</t>
  </si>
  <si>
    <t xml:space="preserve">      </t>
  </si>
  <si>
    <t xml:space="preserve">    peso_txt = str(round(peso_total,2))+'kg'      </t>
  </si>
  <si>
    <t xml:space="preserve">    if flag_peso == 1 and dead_weight:</t>
  </si>
  <si>
    <t xml:space="preserve">        ax.annotate(</t>
  </si>
  <si>
    <t xml:space="preserve">            peso_txt.replace('.', ',')+' de\n'+'peso dentro de água'+'\n'+'de '+str(round(dead_weight_pos[0],2)).replace('.', ',')+u' até ' +str(round(dead_weight_pos[-1]+0.2,2)).replace('.', ',')+'m'+'\n'+'do flange',</t>
  </si>
  <si>
    <t xml:space="preserve">            xy=(x_buoy[int(len(x_buoy)/2)]+0.5,z_buoy[int(len(z_buoy)/2)]+0.5), </t>
  </si>
  <si>
    <t xml:space="preserve">            xycoords='data',</t>
  </si>
  <si>
    <t xml:space="preserve">            xytext=(x_buoy[int(len(x_buoy)/2)]+3+(mov_x_3*j),z_buoy[int(len(z_buoy)/2)]+3+(mov_z_3*j)), </t>
  </si>
  <si>
    <t xml:space="preserve">            textcoords='data',</t>
  </si>
  <si>
    <t xml:space="preserve">            arrowprops=dict(arrowstyle="-", connectionstyle="arc3", lw=2), </t>
  </si>
  <si>
    <t xml:space="preserve">            fontsize=font_size,</t>
  </si>
  <si>
    <t xml:space="preserve">            horizontalalignment='center',</t>
  </si>
  <si>
    <t>#----desenha os estropos-------------------------------------------------------#</t>
  </si>
  <si>
    <t>#----cota do comprimento de linha da flange ao ponto minimo da linha----------#</t>
  </si>
  <si>
    <t>#insere as cotas das boias</t>
  </si>
  <si>
    <t>#esta cota e uma linha porque faz a catenaria do duto</t>
  </si>
  <si>
    <t>cota2_x=[]</t>
  </si>
  <si>
    <t>cota2_z=[]</t>
  </si>
  <si>
    <t>for i in range(mini,len(line_x.Mean)):</t>
  </si>
  <si>
    <t xml:space="preserve">    cota2_x.append(line_x.Mean[i]-1*np.cos(line_declin.Mean[i]*np.pi/180))</t>
  </si>
  <si>
    <t xml:space="preserve">    cota2_z.append(line_z.Mean[i]-1*np.sin(line_declin.Mean[i]*np.pi/180))</t>
  </si>
  <si>
    <t>ax.plot(cota2_x,cota2_z,'k-')</t>
  </si>
  <si>
    <t xml:space="preserve">    xy=(cota2_x[-1],cota2_z[-1]), </t>
  </si>
  <si>
    <t xml:space="preserve">    xytext=(cota2_x[-2],cota2_z[-2]), </t>
  </si>
  <si>
    <t xml:space="preserve">    arrowprops=dict(arrowstyle="-&gt;", connectionstyle="arc3", lw=2), </t>
  </si>
  <si>
    <t xml:space="preserve">    xy=(cota2_x[0],cota2_z[0]), </t>
  </si>
  <si>
    <t xml:space="preserve">    xytext=(cota2_x[1],cota2_z[1]), </t>
  </si>
  <si>
    <t>index = int((len(line_x.Mean)-mini)/2+mini)</t>
  </si>
  <si>
    <t>annot2_x_pos=line_x.Mean[index]-1*np.cos(line_declin.Mean[index]*np.pi/180)</t>
  </si>
  <si>
    <t xml:space="preserve">annot2_z_pos=line_z.Mean[index]-1*np.sin(line_declin.Mean[index]*np.pi/180)     </t>
  </si>
  <si>
    <t xml:space="preserve">            </t>
  </si>
  <si>
    <t xml:space="preserve">    str(format(round(line_x.X[len(line_x.X)-1]-line_x.X[mini],2),'.2f')).replace('.', ',')+'m',</t>
  </si>
  <si>
    <t xml:space="preserve">    xy=(annot2_x_pos+mov_x_1,annot2_z_pos+mov_z_1), </t>
  </si>
  <si>
    <t xml:space="preserve">    horizontalalignment='center',</t>
  </si>
  <si>
    <t>#----cota do comprimento de linha do ponto minimo da linha ao outro lado------#</t>
  </si>
  <si>
    <t>cota3_x=[]</t>
  </si>
  <si>
    <t>cota3_z=[]</t>
  </si>
  <si>
    <t>for i in range(other_point_i+1,mini+1):</t>
  </si>
  <si>
    <t xml:space="preserve">    cota3_x.append(line_x.Mean[i]-1*np.cos(line_declin.Mean[i]*np.pi/180))</t>
  </si>
  <si>
    <t xml:space="preserve">    cota3_z.append(line_z.Mean[i]-1*np.sin(line_declin.Mean[i]*np.pi/180))</t>
  </si>
  <si>
    <t>ax.plot(cota3_x,cota3_z,'k-')</t>
  </si>
  <si>
    <t xml:space="preserve">    xy=(cota3_x[-1],cota3_z[-1]), </t>
  </si>
  <si>
    <t xml:space="preserve">    xytext=(cota3_x[-2],cota3_z[-2]), </t>
  </si>
  <si>
    <t xml:space="preserve">    arrowprops=dict(arrowstyle="-&gt;", connectionstyle="arc3", lw=2),</t>
  </si>
  <si>
    <t xml:space="preserve">    xy=(cota3_x[0],cota3_z[0]), </t>
  </si>
  <si>
    <t xml:space="preserve">    xytext=(cota3_x[1],cota3_z[1]), </t>
  </si>
  <si>
    <t>portion_1 = int((mini-other_point_i)/2+other_point_i+1)</t>
  </si>
  <si>
    <t>portion_2 = line_declin.Mean[int((mini-other_point_i+1)/2+other_point_i+1)]</t>
  </si>
  <si>
    <t>annot2_x_pos=line_x.Mean[portion_1]-1*np.cos(portion_2*np.pi/180)</t>
  </si>
  <si>
    <t>annot2_z_pos=line_z.Mean[portion_1]-1*np.sin(portion_2*np.pi/180)</t>
  </si>
  <si>
    <t xml:space="preserve">    str(format(round(line_x.X[mini]-line_x.X[other_point_i],2),'.2f')).replace('.', ',')+'m', </t>
  </si>
  <si>
    <t xml:space="preserve">    xy=(annot2_x_pos+mov_x_2,annot2_z_pos+mov_z_2), </t>
  </si>
  <si>
    <t>plt.xlim(vcm1_base_point_x-0.5-1+x_min_lim,max(leg1_x,leg2_x)+1+x_max_lim)</t>
  </si>
  <si>
    <t># Caminho do ficheiro da analise de contingencia</t>
  </si>
  <si>
    <t>model_2 = orca.Model()</t>
  </si>
  <si>
    <t>model_2.LoadSimulation(filename_static)</t>
  </si>
  <si>
    <t xml:space="preserve">    buoys_z_2=[]</t>
  </si>
  <si>
    <t xml:space="preserve">        if att_name==None:              </t>
  </si>
  <si>
    <t xml:space="preserve">            buoys_z_2.append(line1.Attachmentz[i])</t>
  </si>
  <si>
    <t xml:space="preserve">            buoys_z_2.append(0)</t>
  </si>
  <si>
    <t xml:space="preserve">                        if buoys_z_2[i]==buoys_z_2[j]:</t>
  </si>
  <si>
    <t xml:space="preserve">    Emp_2=[]</t>
  </si>
  <si>
    <t xml:space="preserve">            buoy_obj=model_2[buoys_type[i]]</t>
  </si>
  <si>
    <t xml:space="preserve">            Emp_2.append((buoy_obj.Mass-1.025*buoy_obj.Volume)*1000)</t>
  </si>
  <si>
    <t xml:space="preserve">            Emp_2.append(0)</t>
  </si>
  <si>
    <t xml:space="preserve">                            Emp_2[i]=Emp_2[i]+Emp_2[j]</t>
  </si>
  <si>
    <t xml:space="preserve">                            buoys_z_2[j]=0</t>
  </si>
  <si>
    <t xml:space="preserve">                            Emp_2[j]=0</t>
  </si>
  <si>
    <t xml:space="preserve">    #refaz as listas de posicao/no, empuxo e quantidade de boias de modo </t>
  </si>
  <si>
    <t xml:space="preserve">    # a colocar apenas uma boia onde estao varias no modelo</t>
  </si>
  <si>
    <t xml:space="preserve">            buoys_z_new.append(buoys_z_2[i])</t>
  </si>
  <si>
    <t xml:space="preserve">            Emp_new.append(Emp_2[i])</t>
  </si>
  <si>
    <t xml:space="preserve">    buoys_z_2=buoys_z_new</t>
  </si>
  <si>
    <t>model.LoadSimulation(filename_cont)</t>
  </si>
  <si>
    <t xml:space="preserve">    if ((wire.Connection[0] == 'Fixed' and wire.Connection[1] == 'Fixed') </t>
  </si>
  <si>
    <t xml:space="preserve">        or (wire.Connection[0] == vcm1.Name) </t>
  </si>
  <si>
    <t xml:space="preserve">        or (wire.Connection[1] == vcm1.Name)):</t>
  </si>
  <si>
    <t xml:space="preserve">            Crane = wire</t>
  </si>
  <si>
    <t xml:space="preserve">    if ((wire.Connection[0] == lock.Name or wire.Connection[1] == lock.Name) </t>
  </si>
  <si>
    <t xml:space="preserve">        seabed_x.append(environment.SeabedOriginX + environment.SeabedProfileDistanceFromSeabedOrigin[i])</t>
  </si>
  <si>
    <t xml:space="preserve">                # If condition</t>
  </si>
  <si>
    <t>#x_max_height_corco = line_x.Mean[maxi_alt[0]]</t>
  </si>
  <si>
    <t>#z_max_height_corco = line_z.Mean[maxi_alt[0]] - max_diameter/2</t>
  </si>
  <si>
    <t>#max_height_corco = line_z.Mean[maxi_alt[0]] - max_diameter/2 - float(line1.RangeGraph('Vertical Seabed Clearance').Mean[maxi_alt[0]])</t>
  </si>
  <si>
    <t>#----Get TDP spatial positions------------------------------------------------#</t>
  </si>
  <si>
    <t xml:space="preserve">    figsize=(abs((vcm1_base_point_x-0.5-1+x_min_lim)-(x_tdp+1.0+x_max_lim)), </t>
  </si>
  <si>
    <t xml:space="preserve">             abs((min(seabed_z)-2.0+z_min_lim)-(line_z.Mean[-1]+8.0+z_max_lim)))</t>
  </si>
  <si>
    <t xml:space="preserve">            if buoys_z[j] not in buoys_z_2:</t>
  </si>
  <si>
    <t xml:space="preserve">                ax.annotate(</t>
  </si>
  <si>
    <t xml:space="preserve">                    u"Até "+buoy_txt[j].replace('.', ',')+'de\n'+'empuxo'+'\n'+'a '+str(round(buoys_z[j],2)).replace('.', ',')+'m'+'\n'+'do flange',</t>
  </si>
  <si>
    <t xml:space="preserve">                    fontsize=font_size, xy=(x_buoy[j],z_buoy[j]+1.5), </t>
  </si>
  <si>
    <t xml:space="preserve">                    xycoords='data',</t>
  </si>
  <si>
    <t xml:space="preserve">                    xytext=(x_buoy[j],z_buoy[j]+3), textcoords='data',</t>
  </si>
  <si>
    <t xml:space="preserve">                    arrowprops=dict(arrowstyle="-", connectionstyle="arc3", lw=2), </t>
  </si>
  <si>
    <t xml:space="preserve">                )</t>
  </si>
  <si>
    <t xml:space="preserve">                        if (line_x.X[buoy_node[j]]&gt;=line_x.X[lt_N_nodes[itera1]] </t>
  </si>
  <si>
    <t xml:space="preserve">                            and line_x.X[buoy_node[j]]&lt;line_x.X[lt_N_nodes[itera1+1]]):</t>
  </si>
  <si>
    <t xml:space="preserve">  </t>
  </si>
  <si>
    <t>#----insere bloco com localizacao do TDP--------------------------------------#</t>
  </si>
  <si>
    <t xml:space="preserve">#----Get TDP spatial positions------------------------------------------------#      </t>
  </si>
  <si>
    <t># Caminho do ficheiro da analise de altura máxima</t>
  </si>
  <si>
    <t>model.LoadSimulation(filename_hmax)</t>
  </si>
  <si>
    <t>model_static = orca.Model()</t>
  </si>
  <si>
    <t>model_static.LoadSimulation(filename_static)</t>
  </si>
  <si>
    <t>vcm1_base_point_z = vcm1.StaticResult('Z')</t>
  </si>
  <si>
    <t xml:space="preserve">                if att_name==None and i!=j and buoys_z[i] == buoys_z[j]:</t>
  </si>
  <si>
    <t xml:space="preserve">                    n[i]=n[i]+1</t>
  </si>
  <si>
    <t xml:space="preserve">                    Emp[i]=Emp[i]+Emp[j]</t>
  </si>
  <si>
    <t xml:space="preserve">                    n[j]=0</t>
  </si>
  <si>
    <t xml:space="preserve">                    buoys_z[j]=0</t>
  </si>
  <si>
    <t xml:space="preserve">                    Emp[j]=0</t>
  </si>
  <si>
    <t>#----MCV position Static------------------------------------------------------#</t>
  </si>
  <si>
    <t>vcm1_static_base_point_x = vcm1_static.StaticResult('X')</t>
  </si>
  <si>
    <t>vcm1_static_base_point_z = vcm1_static.StaticResult('Z')</t>
  </si>
  <si>
    <t>#----Line Nodes position and angle Static-------------------------------------#</t>
  </si>
  <si>
    <t>line_static_z=line1_static.RangeGraph('Z')</t>
  </si>
  <si>
    <t>line_static_x=line1_static.RangeGraph('X')</t>
  </si>
  <si>
    <t>line_static_declin=line1_static.RangeGraph('Declination')</t>
  </si>
  <si>
    <t>#----Attachments Nodes position and angle Static------------------------------#</t>
  </si>
  <si>
    <t>att_line_static_z=[]</t>
  </si>
  <si>
    <t>att_line_static_x=[]</t>
  </si>
  <si>
    <t>att_line_static_declin=[]</t>
  </si>
  <si>
    <t>for j  in range(0,len(att_lines_static)):</t>
  </si>
  <si>
    <t xml:space="preserve">    att_line_static=model_static[att_lines_static[j]]</t>
  </si>
  <si>
    <t xml:space="preserve">    att_line_static_z.append(att_line_static.RangeGraph('Z'))</t>
  </si>
  <si>
    <t xml:space="preserve">    att_line_static_x.append(att_line_static.RangeGraph('X'))</t>
  </si>
  <si>
    <t xml:space="preserve">    att_line_static_declin.append(att_line_static.RangeGraph('Declination'))</t>
  </si>
  <si>
    <t>linetypes_static=[]</t>
  </si>
  <si>
    <t>diameter_static=[]</t>
  </si>
  <si>
    <t>lt_N_nodes_static=[1]</t>
  </si>
  <si>
    <t>for i in range(0,line1_static.NumberOfSections):</t>
  </si>
  <si>
    <t xml:space="preserve">    linetypes_static.append(line1_static.LineType[i])</t>
  </si>
  <si>
    <t xml:space="preserve">    linetype_static=model_static[linetypes_static[i]]</t>
  </si>
  <si>
    <t xml:space="preserve">    lt_N_nodes_static.append(line1_static.CumulativeNumberOfSegments[i])</t>
  </si>
  <si>
    <t xml:space="preserve">    if linetype_static.ContactDiameter&gt;100:</t>
  </si>
  <si>
    <t xml:space="preserve">        diameter_static.append(linetype_static.OD)</t>
  </si>
  <si>
    <t xml:space="preserve">        diameter_static.append(linetype_static.ContactDiameter)    </t>
  </si>
  <si>
    <t>att_diameter_static=[]</t>
  </si>
  <si>
    <t xml:space="preserve">    att_linetype_static=model_static[att_line_static.LineType[0]]</t>
  </si>
  <si>
    <t xml:space="preserve">    if att_linetype_static.ContactDiameter&gt;100:</t>
  </si>
  <si>
    <t xml:space="preserve">        att_diameter_static.append(att_linetype_static.OD)</t>
  </si>
  <si>
    <t xml:space="preserve">        att_diameter_static.append(att_linetype_static.ContactDiameter)</t>
  </si>
  <si>
    <t>#----MCV Flange position and X-position at seabed to take dimensions in CAD Static-#</t>
  </si>
  <si>
    <t>flange_vcm1_static_x=line1_static.StaticResult('X',orca.oeEndB)</t>
  </si>
  <si>
    <t>flange_vcm1_static_z=line1_static.StaticResult('Z',orca.oeEndB)</t>
  </si>
  <si>
    <t xml:space="preserve">    figsize=(abs((vcm1_static_base_point_x-0.5-1+x_min_lim)-(x_tdp+1+x_max_lim)), </t>
  </si>
  <si>
    <t xml:space="preserve">    (vcm1_static_base_point_x,vcm1_static_base_point_z),</t>
  </si>
  <si>
    <t xml:space="preserve">    (vcm1_static_base_point_x-0.5,vcm1_static_base_point_z),</t>
  </si>
  <si>
    <t xml:space="preserve">    (vcm1_static_base_point_x-0.25,vcm1_static_base_point_z+1.2),</t>
  </si>
  <si>
    <t xml:space="preserve">    (vcm1_static_base_point_x+0.25,vcm1_static_base_point_z+1.2),</t>
  </si>
  <si>
    <t xml:space="preserve">    (vcm1_static_base_point_x+0.5,vcm1_static_base_point_z),</t>
  </si>
  <si>
    <t>path0 = Path(verts,codes)</t>
  </si>
  <si>
    <t xml:space="preserve">r0 = patches.PathPatch(path0, linewidth=0, facecolor='gainsboro')  </t>
  </si>
  <si>
    <t>ax.add_patch(r0)</t>
  </si>
  <si>
    <t xml:space="preserve">#----desenha a linha externa do duto Static-----------------------------------# </t>
  </si>
  <si>
    <t xml:space="preserve">line_draw_static=[] </t>
  </si>
  <si>
    <t>for j in range(0,len(linetypes_static)):</t>
  </si>
  <si>
    <t xml:space="preserve">    for i in range(lt_N_nodes_static[j],lt_N_nodes_static[j+1]+1):</t>
  </si>
  <si>
    <t xml:space="preserve">        line_draw_static.append((line_static_x.Mean[i]+(diameter_static[j]/2)*np.cos(line_static_declin.Mean[i]*np.pi/180),</t>
  </si>
  <si>
    <t xml:space="preserve">        line_static_z.Mean[i]+(diameter_static[j]/2)*np.sin(line_static_declin.Mean[i]*np.pi/180)))</t>
  </si>
  <si>
    <t xml:space="preserve">#----desenha a linha externa do duto Static-----------------------------------#    </t>
  </si>
  <si>
    <t>for j in range(len(linetypes_static)-1,-1,-1):</t>
  </si>
  <si>
    <t xml:space="preserve">    for i in range(lt_N_nodes_static[j+1],lt_N_nodes_static[j]-1,-1):</t>
  </si>
  <si>
    <t xml:space="preserve">        line_draw_static.append((line_static_x.Mean[i]-(diameter_static[j]/2)*np.cos(line_static_declin.Mean[i]*np.pi/180),</t>
  </si>
  <si>
    <t xml:space="preserve">        line_static_z.Mean[i]-(diameter_static[j]/2)*np.sin(line_static_declin.Mean[i]*np.pi/180)))</t>
  </si>
  <si>
    <t>verts3 = np.array(line_draw_static, float)</t>
  </si>
  <si>
    <t xml:space="preserve">r3 = patches.PathPatch(path3, linewidth=0,facecolor='gainsboro') </t>
  </si>
  <si>
    <t>#----desenha a linha externa das vertebras Static-----------------------------#</t>
  </si>
  <si>
    <t>vert_draw_static=[]</t>
  </si>
  <si>
    <t xml:space="preserve">    for i in range(0, att_line_static.CumulativeNumberOfSegments[-1]+1):</t>
  </si>
  <si>
    <t xml:space="preserve">        vert_draw_static.append((att_line_static_x[j].Mean[i]+(att_diameter_static[j]/2)*np.cos(att_line_static_declin[j].Mean[i]*np.pi/180),</t>
  </si>
  <si>
    <t xml:space="preserve">        att_line_static_z[j].Mean[i]+(att_diameter_static[j]/2)*np.sin(att_line_static_declin[j].Mean[i]*np.pi/180)))</t>
  </si>
  <si>
    <t>for j in range(len(att_lines_static)-1,-1,-1):</t>
  </si>
  <si>
    <t xml:space="preserve">    for i in range(att_line_static.CumulativeNumberOfSegments[-1], -1,-1):</t>
  </si>
  <si>
    <t xml:space="preserve">        vert_draw_static.append((att_line_static_x[j].Mean[i]-(att_diameter_static[j]/2)*np.cos(att_line_static_declin[j].Mean[i]*np.pi/180),</t>
  </si>
  <si>
    <t xml:space="preserve">        att_line_static_z[j].Mean[i]-(att_diameter_static[j]/2)*np.sin(att_line_static_declin[j].Mean[i]*np.pi/180)))</t>
  </si>
  <si>
    <t>verts2 = np.array(vert_draw_static, float)</t>
  </si>
  <si>
    <t xml:space="preserve">r2 = patches.PathPatch(path2, linewidth=0,facecolor='gainsboro') </t>
  </si>
  <si>
    <t>verts=[</t>
  </si>
  <si>
    <t xml:space="preserve">r1 = patches.PathPatch(path1, linestyle='solid', facecolor='r')  </t>
  </si>
  <si>
    <t>ax.plot([crane_vcm1_bottom_conection_x,crane_vcm1_top_conection_x],</t>
  </si>
  <si>
    <t xml:space="preserve">        [crane_vcm1_bottom_conection_z,crane_vcm1_top_conection_z],</t>
  </si>
  <si>
    <t xml:space="preserve">        'k-'</t>
  </si>
  <si>
    <t xml:space="preserve">    str(format(round(flange_vcm1_z-flange_seabed_z,2), '.2f')).replace('.', ',')+'m', </t>
  </si>
  <si>
    <t xml:space="preserve">    xy=(flange_vcm1_x+mov_x_2,flange_seabed_z+(flange_vcm1_z-flange_seabed_z)/2+mov_z_2), </t>
  </si>
  <si>
    <t xml:space="preserve">)    </t>
  </si>
  <si>
    <t xml:space="preserve">    xytext=(5, 0),</t>
  </si>
  <si>
    <t>plt.xlim(vcm1_static_base_point_x-0.5-1+x_min_lim,x_tdp+1+x_max_lim)</t>
  </si>
  <si>
    <t xml:space="preserve">plt.ylim(min(seabed_z)-2.0+z_min_lim,min(ar_winch_bottom_z,ar_winch_top_z)+z_max_lim) </t>
  </si>
  <si>
    <t>print (vcm1_static_base_point_x-0.5-1+x_min_lim,x_tdp+1+x_max_lim)</t>
  </si>
  <si>
    <t>print (min(seabed_z)-2.0+z_min_lim,min(ar_winch_bottom_z,ar_winch_top_z)+z_max_lim)</t>
  </si>
  <si>
    <t>model.LoadSimulation(filename_puxada)</t>
  </si>
  <si>
    <t>model.Reset()</t>
  </si>
  <si>
    <t>model.CalculateStatics()</t>
  </si>
  <si>
    <t>line1_static=model['Line']</t>
  </si>
  <si>
    <t>att_lines_static=list(['Stiffener1'])</t>
  </si>
  <si>
    <t>vcm1_static_base_point_z=vcm1_static.StaticResult('Z')</t>
  </si>
  <si>
    <t>for j  in range(len(att_lines_static)-1,-1,-1):</t>
  </si>
  <si>
    <t>Dados de Referência</t>
  </si>
  <si>
    <t>Fonte</t>
  </si>
  <si>
    <t>Estático</t>
  </si>
  <si>
    <t>Estático Zoom</t>
  </si>
  <si>
    <t>Overlength</t>
  </si>
  <si>
    <t>Hmax</t>
  </si>
  <si>
    <t>Puxada na Corcova</t>
  </si>
  <si>
    <t>[-]</t>
  </si>
  <si>
    <t>[kN.m]</t>
  </si>
  <si>
    <t>[kN]</t>
  </si>
  <si>
    <t>MCV</t>
  </si>
  <si>
    <t>Cont1</t>
  </si>
  <si>
    <t>Cont2</t>
  </si>
  <si>
    <t>Cota A da Planilha EQSB</t>
  </si>
  <si>
    <t>m</t>
  </si>
  <si>
    <t>Junção</t>
  </si>
  <si>
    <t>Momento Admissível na Vértebra</t>
  </si>
  <si>
    <t>kN.m</t>
  </si>
  <si>
    <t>A/R</t>
  </si>
  <si>
    <t>Força Cortante Admissível na Vértebra</t>
  </si>
  <si>
    <t>kN</t>
  </si>
  <si>
    <t>Dinamico</t>
  </si>
  <si>
    <t>Tipo de Linha</t>
  </si>
  <si>
    <t>º</t>
  </si>
  <si>
    <t>Tipo de Conexão</t>
  </si>
  <si>
    <t>Embarcação</t>
  </si>
  <si>
    <t>Número da RT</t>
  </si>
  <si>
    <t>Versão do Relatório</t>
  </si>
  <si>
    <t>Iniciais do Elaborador</t>
  </si>
  <si>
    <t>Iniciais do Verificador</t>
  </si>
  <si>
    <t>Comprimento de flexível suspenso</t>
  </si>
  <si>
    <t>Iniciais do Aprovador</t>
  </si>
  <si>
    <t>Númeração do Relatório</t>
  </si>
  <si>
    <t>Engenheiro Solicitante</t>
  </si>
  <si>
    <t>Coordenador da Embarcação</t>
  </si>
  <si>
    <t>Em cópia (Opcional)</t>
  </si>
  <si>
    <t>Versão do Orcaflex</t>
  </si>
  <si>
    <t>RT / Documento</t>
  </si>
  <si>
    <t>RT / Revisão</t>
  </si>
  <si>
    <t>RT / Título</t>
  </si>
  <si>
    <t>Distância do Flange [m]</t>
  </si>
  <si>
    <t>Profundidade [m]</t>
  </si>
  <si>
    <t>Altura no Estático + Heave Up</t>
  </si>
  <si>
    <t>te</t>
  </si>
  <si>
    <t>°</t>
  </si>
  <si>
    <t>Contingência 1</t>
  </si>
  <si>
    <t>Empuxo</t>
  </si>
  <si>
    <t>kg</t>
  </si>
  <si>
    <t>Contingência 2</t>
  </si>
  <si>
    <t>Posicionamento de Boias</t>
  </si>
  <si>
    <t>CVD de 2ª</t>
  </si>
  <si>
    <t>Diâmetro Nominal (")</t>
  </si>
  <si>
    <t>Lâmina d'água (m)</t>
  </si>
  <si>
    <t>Qtde. de Conjuntos de Boias</t>
  </si>
  <si>
    <t>Distância da 1ª Boia ao Flange</t>
  </si>
  <si>
    <t xml:space="preserve">AN </t>
  </si>
  <si>
    <t>GL</t>
  </si>
  <si>
    <t>IA</t>
  </si>
  <si>
    <t>IG</t>
  </si>
  <si>
    <t>PO</t>
  </si>
  <si>
    <t>UEH</t>
  </si>
  <si>
    <t>Gas</t>
  </si>
  <si>
    <t>Selecionar Caso</t>
  </si>
  <si>
    <t>Momento Fletor</t>
  </si>
  <si>
    <t>Orcaflex</t>
  </si>
  <si>
    <t>CASO DE CARREGAMENTO</t>
  </si>
  <si>
    <t>ESFORÇO</t>
  </si>
  <si>
    <t>Valor</t>
  </si>
  <si>
    <t>M. Fletor</t>
  </si>
  <si>
    <t>Verificação</t>
  </si>
  <si>
    <t>CVD 2a - Topo (Caso 1)</t>
  </si>
  <si>
    <t>Tração (Fx)</t>
  </si>
  <si>
    <t>CVD 2a - Equilibrio
(Caso 2 - Flutuadores)</t>
  </si>
  <si>
    <t>Forga Cortante (Fz)</t>
  </si>
  <si>
    <t>Momento Fletor (My)</t>
  </si>
  <si>
    <t>MBR (Vertebra)</t>
  </si>
  <si>
    <t>MBR (Flexivel)</t>
  </si>
  <si>
    <t>CVD 2a - MCV no Hub com linha
suspensa (Caso 3i - Flutuadores)</t>
  </si>
  <si>
    <t>Momento
Fletor
Maximo</t>
  </si>
  <si>
    <t>Momento
Fletor
Minimo</t>
  </si>
  <si>
    <t>CVD 2a - MCV no Hub
(Caso 3ii - Flutuadores)</t>
  </si>
  <si>
    <t>(a)</t>
  </si>
  <si>
    <t>(b)</t>
  </si>
  <si>
    <t>CVD 2a - MCV no Hub
(Caso 3ii - Após retirada
dos Flutuadores)</t>
  </si>
  <si>
    <t>CVD 2a - Teste Offshore
(Caso 4 - Flutuadores)</t>
  </si>
  <si>
    <t>CVD 2a - Teste Offshore
(Caso 4 - Após retirada
dos Flutuadores)</t>
  </si>
  <si>
    <t>CVD 2a - Operagão
(Caso 5 - Após retirada
dos Flutuadores)</t>
  </si>
  <si>
    <t>Puxada com GP Max</t>
  </si>
  <si>
    <t>Puxada com GP Min</t>
  </si>
  <si>
    <t>Esforços no Flange</t>
  </si>
  <si>
    <t>Esforços na Vértebra</t>
  </si>
  <si>
    <t>Puxada</t>
  </si>
  <si>
    <t>Toque no solo</t>
  </si>
  <si>
    <t>Puxada com Guindaste</t>
  </si>
  <si>
    <t>Momento Máximo</t>
  </si>
  <si>
    <t>Momento Mínimo</t>
  </si>
  <si>
    <t>Heave Up [m]</t>
  </si>
  <si>
    <t>Análise - Puxada</t>
  </si>
  <si>
    <t>Para Aprovação</t>
  </si>
  <si>
    <t>Análise</t>
  </si>
  <si>
    <t>(Caso 3i)</t>
  </si>
  <si>
    <t>Caso (3ii)</t>
  </si>
  <si>
    <t>(Caso 3ii)</t>
  </si>
  <si>
    <t>(Extra)</t>
  </si>
  <si>
    <t>Tração 
[kN]</t>
  </si>
  <si>
    <t>N/A</t>
  </si>
  <si>
    <t>Força Cortante 
[kN]</t>
  </si>
  <si>
    <t>Momento Fletor 
[kN.m]</t>
  </si>
  <si>
    <t>Legenda:</t>
  </si>
  <si>
    <t>-Valores em verde: são inferiores aos esforços do RL e, por isso, estão aprovados.</t>
  </si>
  <si>
    <r>
      <t xml:space="preserve">-Valores em vermelho: são superiores ao RL, portanto, </t>
    </r>
    <r>
      <rPr>
        <b/>
        <u/>
        <sz val="12"/>
        <color rgb="FFFF0000"/>
        <rFont val="Arial"/>
        <family val="2"/>
      </rPr>
      <t>requerem aprovação</t>
    </r>
    <r>
      <rPr>
        <sz val="12"/>
        <color rgb="FFFF0000"/>
        <rFont val="Arial"/>
        <family val="2"/>
      </rPr>
      <t>.</t>
    </r>
  </si>
  <si>
    <r>
      <t xml:space="preserve">-Valores em azul: os esforços do RL não apresentam direções (sinais) compatíveis com os esforços observados na análise, portanto, </t>
    </r>
    <r>
      <rPr>
        <b/>
        <u/>
        <sz val="12"/>
        <color rgb="FF0070C0"/>
        <rFont val="Arial"/>
        <family val="2"/>
      </rPr>
      <t>requerem aprovação</t>
    </r>
    <r>
      <rPr>
        <sz val="12"/>
        <color rgb="FF0070C0"/>
        <rFont val="Arial"/>
        <family val="2"/>
      </rPr>
      <t>.</t>
    </r>
  </si>
  <si>
    <t>-Valores em preto: esforços extraídos do RL.</t>
  </si>
  <si>
    <t>HISTÓRICO DAS REVISÕES</t>
  </si>
  <si>
    <t xml:space="preserve"> Toque da linha no solo após conexão</t>
  </si>
  <si>
    <t>Esforços no no flange do goose neck do MCV (toque no solo)</t>
  </si>
  <si>
    <t>REV:</t>
  </si>
  <si>
    <t>DATA</t>
  </si>
  <si>
    <t>ELABORADO</t>
  </si>
  <si>
    <t>VERIFICADO</t>
  </si>
  <si>
    <t>APROVADO</t>
  </si>
  <si>
    <t>Momento Fletor [kN.m]</t>
  </si>
  <si>
    <t>Tração no flange do goose neck [kN]</t>
  </si>
  <si>
    <t>Força Cortante no flange do goose neck  [kN]</t>
  </si>
  <si>
    <t>Primeira Emissão</t>
  </si>
  <si>
    <t>TÍTULO:</t>
  </si>
  <si>
    <t>Máxima altura permitida para erguimento da corcova. (Estático sem acoplar o MCV)</t>
  </si>
  <si>
    <t>Parâmetros da corcova</t>
  </si>
  <si>
    <t>Distância do flange do MCV ao solo [m]</t>
  </si>
  <si>
    <t>Distância do TDP ao flange do MCV [m]</t>
  </si>
  <si>
    <t>Comp. De flexível suspenso [m]</t>
  </si>
  <si>
    <t>Altura da corcova [m]</t>
  </si>
  <si>
    <t>Inclinação do MCV [graus]</t>
  </si>
  <si>
    <t>Overlength[m]</t>
  </si>
  <si>
    <r>
      <rPr>
        <b/>
        <sz val="10"/>
        <rFont val="Arial"/>
        <family val="2"/>
      </rPr>
      <t>MBR Linha [m</t>
    </r>
    <r>
      <rPr>
        <sz val="10"/>
        <rFont val="Arial"/>
        <family val="2"/>
      </rPr>
      <t>]</t>
    </r>
  </si>
  <si>
    <t>Para:</t>
  </si>
  <si>
    <t>1-INTRODUÇÃO</t>
  </si>
  <si>
    <t>Informação Geral</t>
  </si>
  <si>
    <t>Abreviações</t>
  </si>
  <si>
    <t>Momento fletor Máximo na vértebra [kN.m]</t>
  </si>
  <si>
    <t>Força Cortante Máxima na vértebra [kN.m]</t>
  </si>
  <si>
    <t>MBR Vértebra [m]</t>
  </si>
  <si>
    <t>Objetivo:</t>
  </si>
  <si>
    <t xml:space="preserve"> Realizar um estudo de CVD de segunda extremidade. </t>
  </si>
  <si>
    <t>CVD:</t>
  </si>
  <si>
    <t>Conexão Vertical Direta</t>
  </si>
  <si>
    <t>Conexão Subsea:</t>
  </si>
  <si>
    <t>Injeção de Água</t>
  </si>
  <si>
    <t>Lâmina de Água:</t>
  </si>
  <si>
    <r>
      <rPr>
        <b/>
        <sz val="10"/>
        <rFont val="Arial"/>
        <family val="2"/>
      </rPr>
      <t>MBR:</t>
    </r>
    <r>
      <rPr>
        <sz val="10"/>
        <rFont val="Arial"/>
        <family val="2"/>
      </rPr>
      <t xml:space="preserve"> </t>
    </r>
  </si>
  <si>
    <t>Minimum Bending Radius</t>
  </si>
  <si>
    <t xml:space="preserve">Altura Máxima para erguimento da corcova </t>
  </si>
  <si>
    <t>Embarcação:</t>
  </si>
  <si>
    <t xml:space="preserve">MCV: </t>
  </si>
  <si>
    <t>Módulo de Conexão Vertical</t>
  </si>
  <si>
    <t>Campo:</t>
  </si>
  <si>
    <t>TDP:</t>
  </si>
  <si>
    <t>Touch Down Point</t>
  </si>
  <si>
    <r>
      <rPr>
        <b/>
        <sz val="10"/>
        <rFont val="Arial"/>
        <family val="2"/>
      </rPr>
      <t>Software:</t>
    </r>
    <r>
      <rPr>
        <sz val="10"/>
        <rFont val="Arial"/>
        <family val="2"/>
      </rPr>
      <t xml:space="preserve"> </t>
    </r>
  </si>
  <si>
    <t>Te:</t>
  </si>
  <si>
    <t>Toneladas</t>
  </si>
  <si>
    <t>Referências</t>
  </si>
  <si>
    <t>REF</t>
  </si>
  <si>
    <t>Documento</t>
  </si>
  <si>
    <t>Rev</t>
  </si>
  <si>
    <t>Título</t>
  </si>
  <si>
    <t>[1]</t>
  </si>
  <si>
    <t>[2]</t>
  </si>
  <si>
    <t>2-PREMISSAS DE CÁLCULO</t>
  </si>
  <si>
    <t>Metodologia</t>
  </si>
  <si>
    <t>Hipóteses</t>
  </si>
  <si>
    <r>
      <t xml:space="preserve">A metodologia utilizada no estudo visa dispor o cabo ligado à manilha do MCV e o cabo ligado à corcova do flexível de maneira que o MCV e o hub estejam alinhados, com o desvio do MCV em relação à vertical dentro da tolerância especificada, que é condição necessária para a conexão vertical.
Após o MCV ser assentado, o cabo ligado à corcova do flexível com o navio é suspenso </t>
    </r>
    <r>
      <rPr>
        <sz val="10"/>
        <color rgb="FFFF0000"/>
        <rFont val="Arial"/>
        <family val="2"/>
      </rPr>
      <t>2,5 metros</t>
    </r>
    <r>
      <rPr>
        <sz val="10"/>
        <rFont val="Arial"/>
        <family val="2"/>
      </rPr>
      <t xml:space="preserve"> em 2,15 segundos, para assegurar que não há travamento da vértebra. Caso necessário, esse deslocamento pode ser reduzido. Nesse caso o comprimento do cabo ligado à corcova do flexível usado para verticalizar o MCV é mantido. Essa etapa é para simular um heave up do navio logo após o MCV ser assentado no hub.</t>
    </r>
  </si>
  <si>
    <t>4-ANÁLISE DE CONTINGÊNCIA</t>
  </si>
  <si>
    <t>Configuração do caso de 1ª Contingência</t>
  </si>
  <si>
    <t>Critérios de aceitação</t>
  </si>
  <si>
    <t>Item</t>
  </si>
  <si>
    <t>Parâmetros</t>
  </si>
  <si>
    <t>Ref</t>
  </si>
  <si>
    <t>Valor Limite</t>
  </si>
  <si>
    <t>Unidade</t>
  </si>
  <si>
    <t>Estrutura:</t>
  </si>
  <si>
    <t xml:space="preserve">Inclinação do MCV em relação à vertical: </t>
  </si>
  <si>
    <r>
      <rPr>
        <sz val="10"/>
        <rFont val="Calibri"/>
        <family val="2"/>
      </rPr>
      <t>±</t>
    </r>
    <r>
      <rPr>
        <sz val="10"/>
        <rFont val="Arial"/>
        <family val="2"/>
      </rPr>
      <t>0,50</t>
    </r>
  </si>
  <si>
    <t>graus</t>
  </si>
  <si>
    <t>Vértebra:</t>
  </si>
  <si>
    <t>Distância mínima do flexível ao solo:</t>
  </si>
  <si>
    <t>metros</t>
  </si>
  <si>
    <t>Conector:</t>
  </si>
  <si>
    <t>Distância do flange do MCV ao leito:</t>
  </si>
  <si>
    <t>MCV:</t>
  </si>
  <si>
    <t>Raio de travamento da vértebra:</t>
  </si>
  <si>
    <t>Raio de Curvatura mínimo da linha:</t>
  </si>
  <si>
    <t>Momento Fletor máximo na vértebra:</t>
  </si>
  <si>
    <t>Força Cortante máxima na vértebra:</t>
  </si>
  <si>
    <t>Notas</t>
  </si>
  <si>
    <t>De acordo com o documento ET-3000.00-1500-951-PMU-001 - revisão F, algumas observações se aplicam:
(1)  No caso de estudos para MCVs de umbilicais, a aprovação da análise depende apenas dos parâmetros descritos acima, não incluindo os esforços (momento/tração/cortante) como critérios de aceitação;
(2)  No caso de linhas de fluxo, os carregamentos devem ser gerados obedecendo o mesmo sistema de referência do relatório de cargas e comparados individualmente em módulo (i.e. tração com tração, cortante com cortante e momento com momento).</t>
  </si>
  <si>
    <t>MBR Linha [m]</t>
  </si>
  <si>
    <t>Momento Fletor Vértebra [kN.m]</t>
  </si>
  <si>
    <t>Esforço Cortante Vértebra [kN]</t>
  </si>
  <si>
    <t>Momento Fletor Flange [kN.m]</t>
  </si>
  <si>
    <t>Esforço Cortante Flange [kN]</t>
  </si>
  <si>
    <t>Configuração do caso de 2ª Contingência</t>
  </si>
  <si>
    <t>3-RESULTADOS</t>
  </si>
  <si>
    <t>Alinhamento e Verticalização do MCV (Estático)</t>
  </si>
  <si>
    <t>Resultados Estáticos para Alinhamento e Verticalização</t>
  </si>
  <si>
    <t>Distância do Flange do MCV ao solo [m]</t>
  </si>
  <si>
    <t>Distância mínima da linha ao solo [m]</t>
  </si>
  <si>
    <t>MBR Linha   [m]</t>
  </si>
  <si>
    <t>Parâmetros da Corcova</t>
  </si>
  <si>
    <t>Distância das lingadas ao flange do MCV [m;m]</t>
  </si>
  <si>
    <t>Comprimento de flexível suspenso [m]</t>
  </si>
  <si>
    <t xml:space="preserve"> Esforços na Vértebra</t>
  </si>
  <si>
    <t xml:space="preserve"> Esforços no flange do goose neck do MCV </t>
  </si>
  <si>
    <t>Tração [kN]</t>
  </si>
  <si>
    <t>Força Cortante [kN]</t>
  </si>
  <si>
    <t xml:space="preserve">Configuração da CVD de 2ª Extremidade </t>
  </si>
  <si>
    <t>5-CONCLUSÕES</t>
  </si>
  <si>
    <t>Conclui-se que é necessário instalar 1152 kg de empuxo a 4 metros,  do flange, de forma a verticalizar o MCV e cumprir o critério de heave up que deverá nesse caso ser reduzido para 1,8 metros.</t>
  </si>
  <si>
    <t>A máxima altura da corcova após acoplamento do MCV deve ser de 4,46 metros, caso o compensador de heave não esteja ativado e/ou não esteja na corcova.</t>
  </si>
  <si>
    <t>Acrescentar informação se houver redução no comprimento da vértebra.
Os esforços encontrados no estudo excedem os informados na RL-3A52.00-1500-94G-PZ9-031. Deve-se apenas prosseguir com a operação de CVD após a devida avaliação e aprovação dos esforços obtidos neste estudo, conforme solicitado na TQF-XXX-YYYYY. Caso os esforços excedam a RL                                                                              Os esforços calculados deste estudo estão aprovados a partir do ábaco (Figura 4.1)
 Caso os esforços excedam a RL ou não tenha recebido RL, mas o ábaco foi recebido e esteja aprovado
Os esforços encontrados no estudo excedem os informados na RL. Contudo, os resultados deste estudo estão aprovados a partir da planilha de cálculo do momento equivalente: “Momento Equivalente - Instaladoras - STIES x SIDS_Ago2019 (Figura 4.1). Caso os esforços excedam a RL, não recebeu ábaco ou não foi aprovado, mas momento equivalente aprovado</t>
  </si>
  <si>
    <t>Heave-Up (Dinâmico)</t>
  </si>
  <si>
    <t>Resultados da Análise de Heave-Up</t>
  </si>
  <si>
    <t>Heave-Up [m]</t>
  </si>
  <si>
    <t>Tração nas lingadas (Corcova) [Te]</t>
  </si>
  <si>
    <t xml:space="preserve"> Esforços no flange do goose neck do MCV da análise de heave up</t>
  </si>
  <si>
    <t xml:space="preserve">Momento Fletor </t>
  </si>
  <si>
    <t>Momento Fletor  [kN.m]</t>
  </si>
  <si>
    <t xml:space="preserve">Tração [kN]                </t>
  </si>
  <si>
    <t>Máximo</t>
  </si>
  <si>
    <t>Mínimo</t>
  </si>
  <si>
    <t>REV.</t>
  </si>
  <si>
    <t>EMISSÃO</t>
  </si>
  <si>
    <t>1ª</t>
  </si>
  <si>
    <t>PARA:</t>
  </si>
  <si>
    <t>1 - INTRODUÇÃO</t>
  </si>
  <si>
    <t>Informações Gerais</t>
  </si>
  <si>
    <t>Objectivo:</t>
  </si>
  <si>
    <t xml:space="preserve"> Realizar um estudo de CVD de segunda extremidade </t>
  </si>
  <si>
    <t xml:space="preserve">Lâmina de Água: </t>
  </si>
  <si>
    <t>MBR:</t>
  </si>
  <si>
    <t>Software:</t>
  </si>
  <si>
    <t>Ref:</t>
  </si>
  <si>
    <t>Rev:</t>
  </si>
  <si>
    <t>Título:</t>
  </si>
  <si>
    <t>2 - PREMISSAS DE CÁLCULO</t>
  </si>
  <si>
    <t>A metodologia utilizada no estudo visa dispor o cabo ligado à manilha do MCV e o flexível de maneira que o MCV e o hub estejam alinhados, com o desvio do MCV em relação à vertical dentro da tolerância especificada, que é condição necessária para a conexão vertical.
Após o MCV ser assentado, o ponto de conexão do flexível com o navio é suspenso, inicialmente 2,5 metros em 2,15 segundos, para assegurar que não há travamento da vértebra. Caso necessário, esse deslocamento pode ser reduzido. Nesse caso o comprimento de flexível usado para verticalizar o MCV é mantido. Essa etapa é para simular um deslocamento vertical do navio logo após o MCV ser assentado no hub.</t>
  </si>
  <si>
    <t>Critérios de Aceitação</t>
  </si>
  <si>
    <t>Limite</t>
  </si>
  <si>
    <t>±0,50</t>
  </si>
  <si>
    <t>Notas:</t>
  </si>
  <si>
    <t>De acordo com o documento ET-3000.00-1500-951-PMU-001 - revisão F, algumas observações se aplicam:                                                                            
(1) No caso de estudos para MCVs de umbilicais, a aprovação da análise depende apenas dos parâmetros descritos acima, não incluindo os esforços (momento/tração/cortante) como critérios de aceitação;
(2) No caso de linhas de fluxo, os carregamentos devem ser gerados obedecendo o mesmo sistema de referência do relatório de cargas e comparados individualmente em módulo (i.e. tração com tração, cortante com cortante e momento com momento).</t>
  </si>
  <si>
    <t>3 - RESULTADOS</t>
  </si>
  <si>
    <t>Alinhamento e Verticalização do MCV - (Estático)</t>
  </si>
  <si>
    <t>Configuração da CVD de 2ª Extremidade</t>
  </si>
  <si>
    <t>Heave-Up - (Dinâmico)</t>
  </si>
  <si>
    <t>Tração nas lingadas da corcova [Te]</t>
  </si>
  <si>
    <t>Esforços no flange do goose neck do MCV (toque no solo)</t>
  </si>
  <si>
    <t>Tração flange do goose neck [kN]</t>
  </si>
  <si>
    <t>Força Cortante flange do goose neck [kN]</t>
  </si>
  <si>
    <t>Máxima altura permitida para erguimento da corcova - (Estático sem acoplar o MCV)</t>
  </si>
  <si>
    <t>Inclinação do MCV (graus)</t>
  </si>
  <si>
    <t>Overlength [m]</t>
  </si>
  <si>
    <t>Esforços na vértebra</t>
  </si>
  <si>
    <t>Configuração de Altura máxima para erguimento da Corcova</t>
  </si>
  <si>
    <t>4 - CONTINGÊNCIAS</t>
  </si>
  <si>
    <t>Configuração da 1ª Contingência</t>
  </si>
  <si>
    <t>Configuração da 2ª Contingência</t>
  </si>
  <si>
    <t>5 - CONCLUSÕES</t>
  </si>
  <si>
    <r>
      <rPr>
        <sz val="10"/>
        <color rgb="FF00B050"/>
        <rFont val="Arial"/>
        <family val="2"/>
      </rPr>
      <t>Acrescentar informação se houver redução no comprimento da vértebra.                                                                                   Acrescentar informação se houver dragagem do leito.</t>
    </r>
    <r>
      <rPr>
        <sz val="10"/>
        <color rgb="FFFF0000"/>
        <rFont val="Arial"/>
        <family val="2"/>
      </rPr>
      <t xml:space="preserve">
Os esforços encontrados no estudo excedem os informados na RL-3A52.00-1500-94G-PZ9-031. Deve-se apenas prosseguir com a operação de CVD após a devida avaliação e aprovação dos esforços obtidos neste estudo, conforme solicitado na TQF-XXX-YYYYY. </t>
    </r>
    <r>
      <rPr>
        <sz val="10"/>
        <color rgb="FF00B050"/>
        <rFont val="Arial"/>
        <family val="2"/>
      </rPr>
      <t>Caso os esforços excedam a RL</t>
    </r>
    <r>
      <rPr>
        <sz val="10"/>
        <color rgb="FFFF0000"/>
        <rFont val="Arial"/>
        <family val="2"/>
      </rPr>
      <t xml:space="preserve">                                                                              Os esforços calculados deste estudo estão aprovados a partir do ábaco (Figura 4.1)</t>
    </r>
    <r>
      <rPr>
        <sz val="10"/>
        <rFont val="Arial"/>
        <family val="2"/>
      </rPr>
      <t xml:space="preserve">
 </t>
    </r>
    <r>
      <rPr>
        <sz val="10"/>
        <color rgb="FF00B050"/>
        <rFont val="Arial"/>
        <family val="2"/>
      </rPr>
      <t>Caso os esforços excedam a RL ou não tenha recebido RL, mas o ábaco foi recebido e esteja aprovado</t>
    </r>
    <r>
      <rPr>
        <sz val="10"/>
        <rFont val="Arial"/>
        <family val="2"/>
      </rPr>
      <t xml:space="preserve">
</t>
    </r>
    <r>
      <rPr>
        <sz val="10"/>
        <color rgb="FFFF0000"/>
        <rFont val="Arial"/>
        <family val="2"/>
      </rPr>
      <t>Os esforços encontrados no estudo excedem os informados na RL. Contudo, os resultados deste estudo estão aprovados a partir da planilha de cálculo do momento equivalente: “Momento Equivalente - Instaladoras - STIES x SIDS_Ago2019 (Figura 4.1)</t>
    </r>
    <r>
      <rPr>
        <sz val="10"/>
        <rFont val="Arial"/>
        <family val="2"/>
      </rPr>
      <t xml:space="preserve">. </t>
    </r>
    <r>
      <rPr>
        <sz val="10"/>
        <color rgb="FF00B050"/>
        <rFont val="Arial"/>
        <family val="2"/>
      </rPr>
      <t>Caso os esforços excedam a RL, não recebeu ábaco ou não foi aprovado, mas momento equivalente aprovado</t>
    </r>
  </si>
  <si>
    <t>Puxada com guindaste na corcova</t>
  </si>
  <si>
    <t xml:space="preserve">O objetivo desse caso é avaliar os esforços para puxada com guindaste na corcova para ajuste do nivelamento do MCV. Com o MCV fixo no hub, a pega do guindaste principal com é alterada para a corcova e a altura da corcova é aumentada em relação ao caso de alinhamento e verticalização. O ponto de conexão do flexível com o navio é então suspenso 0,5 metros em 2,15 segundos, considerando o AHC ativado. </t>
  </si>
  <si>
    <t xml:space="preserve">Resultados da análise de puxada com guindaste na corcova </t>
  </si>
  <si>
    <t>Comp. De guindaste recolhido [m]</t>
  </si>
  <si>
    <t>Heave up [m]</t>
  </si>
  <si>
    <t>Tração nas lingadas da Corcova [Te]</t>
  </si>
  <si>
    <t>Esforços na análise de puxada com guindaste na corcova</t>
  </si>
  <si>
    <t>Configuração de puxada com guindaste na corcova</t>
  </si>
  <si>
    <t>Duplicate - Script file name</t>
  </si>
  <si>
    <t>ArcLength</t>
  </si>
  <si>
    <t>Version</t>
  </si>
  <si>
    <t>9.8b</t>
  </si>
  <si>
    <t>Duplicate - Sheet base name</t>
  </si>
  <si>
    <t>BatchName</t>
  </si>
  <si>
    <t>StageValue</t>
  </si>
  <si>
    <t>Requires</t>
  </si>
  <si>
    <t>9.3c1</t>
  </si>
  <si>
    <t>IgnoreErrors</t>
  </si>
  <si>
    <t>Duplicate - Xoffset</t>
  </si>
  <si>
    <t>OverwriteLabels</t>
  </si>
  <si>
    <t>ContainsDependencies</t>
  </si>
  <si>
    <t>Duplicate - Yoffset</t>
  </si>
  <si>
    <t>ClearanceLineindex</t>
  </si>
  <si>
    <t>InstructionsSheetIndex</t>
  </si>
  <si>
    <t>Duplicate - Different sheets</t>
  </si>
  <si>
    <t>Duplicate - Specified Files</t>
  </si>
  <si>
    <t>Position.X</t>
  </si>
  <si>
    <t>Duplicate - Number of Files</t>
  </si>
  <si>
    <t>Position.Y</t>
  </si>
  <si>
    <t>Duplicate - Duplicate Labels</t>
  </si>
  <si>
    <t>Position.Z (Global)</t>
  </si>
  <si>
    <t>Duplicate - Sheet name method</t>
  </si>
  <si>
    <t>FileName</t>
  </si>
  <si>
    <t>Dinamico.sim</t>
  </si>
  <si>
    <t>FromArcLength</t>
  </si>
  <si>
    <t>GetDataIndex</t>
  </si>
  <si>
    <t>InsertMethod</t>
  </si>
  <si>
    <t>LabelCell</t>
  </si>
  <si>
    <t>LinePosition</t>
  </si>
  <si>
    <t>NodeNumber</t>
  </si>
  <si>
    <t>ObjectIndex</t>
  </si>
  <si>
    <t>OutputCell</t>
  </si>
  <si>
    <t>Position.Z (Local)</t>
  </si>
  <si>
    <t>Radius</t>
  </si>
  <si>
    <t>ArcLengthRange</t>
  </si>
  <si>
    <t>SubObject</t>
  </si>
  <si>
    <t>ResultsSheetName</t>
  </si>
  <si>
    <t>SpecifiedPeriodFrom</t>
  </si>
  <si>
    <t>SpecifiedPeriodTo</t>
  </si>
  <si>
    <t>Theta</t>
  </si>
  <si>
    <t>ToArcLength</t>
  </si>
  <si>
    <t>UseDefaultLabel</t>
  </si>
  <si>
    <t>SelectedVarIDs</t>
  </si>
  <si>
    <t>nnnnnnnnnnnnnnny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</t>
  </si>
  <si>
    <t>WinchConnectionPoint</t>
  </si>
  <si>
    <t>WingIndex</t>
  </si>
  <si>
    <t>Section</t>
  </si>
  <si>
    <t>ClearSheetName</t>
  </si>
  <si>
    <t>SourceSheetName</t>
  </si>
  <si>
    <t>Sheet1</t>
  </si>
  <si>
    <t>DestinationSheetName</t>
  </si>
  <si>
    <t>Sheet2</t>
  </si>
  <si>
    <t>RangeMin</t>
  </si>
  <si>
    <t>RangeMax</t>
  </si>
  <si>
    <t>RangeMean</t>
  </si>
  <si>
    <t>RangeStdDev</t>
  </si>
  <si>
    <t>RangeArcLength</t>
  </si>
  <si>
    <t>RangeUpper</t>
  </si>
  <si>
    <t>RangeLower</t>
  </si>
  <si>
    <t>ClearSheetMethod</t>
  </si>
  <si>
    <t>ClearSheetRange</t>
  </si>
  <si>
    <t>A1:E10</t>
  </si>
  <si>
    <t>RayleighExtremesToAnalyse</t>
  </si>
  <si>
    <t>RayleighExtremesStormDuration</t>
  </si>
  <si>
    <t>RayleighExtremesRiskFactor</t>
  </si>
  <si>
    <t>~</t>
  </si>
  <si>
    <t>ExcludeHeaderText</t>
  </si>
  <si>
    <t>Duplicate - First File</t>
  </si>
  <si>
    <t>Campo de verificação da versão do OrcaFlex.</t>
  </si>
  <si>
    <t>OrcFxAPI version</t>
  </si>
  <si>
    <t>C36</t>
  </si>
  <si>
    <t>OrcaFlex version</t>
  </si>
  <si>
    <t>Verificar versão do OrcaFlex</t>
  </si>
  <si>
    <t>Versão 12.0.5</t>
  </si>
  <si>
    <t>12.0.5</t>
  </si>
  <si>
    <t>Script Table - Foi adicionado uma célula para indicar se a curva de rigidez foi inserida ou não.</t>
  </si>
  <si>
    <t>IndependentValue</t>
  </si>
  <si>
    <t>DependentValue</t>
  </si>
  <si>
    <t>Curvature 
[1/m]</t>
  </si>
  <si>
    <t>BM 
[N.m]</t>
  </si>
  <si>
    <t>BM 
[kN.m]</t>
  </si>
  <si>
    <t>Tabela 4 - OrcaFlex Input</t>
  </si>
  <si>
    <t>Tabela 1.3 - OrcaFlex Input</t>
  </si>
  <si>
    <t>Tabela 2.3 - OrcaFlex Input</t>
  </si>
  <si>
    <t>Tabela 3.3 - OrcaFlex Input</t>
  </si>
  <si>
    <t>Tabela 1.2 - Input</t>
  </si>
  <si>
    <t>Tabela 2.2 -  Input</t>
  </si>
  <si>
    <t>Tabela 3.2 - Input</t>
  </si>
  <si>
    <t>Tabela 2.1 - Dados da Curva</t>
  </si>
  <si>
    <t>Tabela 1.1 - Dados da Curva</t>
  </si>
  <si>
    <t>Tabela 3.1 - Dados da Curva</t>
  </si>
  <si>
    <t>Não</t>
  </si>
  <si>
    <t>NumberOfSections</t>
  </si>
  <si>
    <t>Flexible Types</t>
  </si>
  <si>
    <t>Bending Stiffness Data</t>
  </si>
  <si>
    <t>Tabela 1 - Nomes dos Objetos</t>
  </si>
  <si>
    <t>Contigência 1</t>
  </si>
  <si>
    <t>Contigência 2</t>
  </si>
  <si>
    <t>Junção de Corcova</t>
  </si>
  <si>
    <t>Corcova 1</t>
  </si>
  <si>
    <t>Corcova 2</t>
  </si>
  <si>
    <t>RL ou MD / Documento</t>
  </si>
  <si>
    <t>RL ou MD / Revisão</t>
  </si>
  <si>
    <t>RL ou MD / Título</t>
  </si>
  <si>
    <t>Arquivo Estático (*.sim)</t>
  </si>
  <si>
    <t>Arquivo Hmax (*.sim)</t>
  </si>
  <si>
    <t>Arquivo Imagem (*.png)</t>
  </si>
  <si>
    <t>Script (*.py)</t>
  </si>
  <si>
    <t>Arquivo Cont1 (*.sim)</t>
  </si>
  <si>
    <t>LEIA - Attachments!</t>
  </si>
  <si>
    <t>Casos</t>
  </si>
  <si>
    <t>Dado</t>
  </si>
  <si>
    <t>Arquivo</t>
  </si>
  <si>
    <t>LEIA - Pós-Processamento!</t>
  </si>
  <si>
    <t>K38</t>
  </si>
  <si>
    <t>B14</t>
  </si>
  <si>
    <t>K53</t>
  </si>
  <si>
    <t>C16</t>
  </si>
  <si>
    <t>Relativa Elongation</t>
  </si>
  <si>
    <t>Adaptador</t>
  </si>
  <si>
    <t>E64</t>
  </si>
  <si>
    <t>ID do conector</t>
  </si>
  <si>
    <t>C44</t>
  </si>
  <si>
    <t>I62</t>
  </si>
  <si>
    <t>OD do conector</t>
  </si>
  <si>
    <t>K60</t>
  </si>
  <si>
    <t>C45</t>
  </si>
  <si>
    <t>Diâmetro de contato do conector</t>
  </si>
  <si>
    <t>C46</t>
  </si>
  <si>
    <t>K59</t>
  </si>
  <si>
    <t>MBR de armazenamento</t>
  </si>
  <si>
    <t>Leia a nota</t>
  </si>
  <si>
    <t>Se indicado valor no data sheet, sobrescrever a célula.</t>
  </si>
  <si>
    <t>Calculado</t>
  </si>
  <si>
    <t>Constante</t>
  </si>
  <si>
    <t>Ver aba Bending Stiffness e a equação 5</t>
  </si>
  <si>
    <t>Desenho - OD da menor seção da ZR da vértebra (figura 2)</t>
  </si>
  <si>
    <t>Desenho - ID da menor seção da ZR da vértebra (figura 2)</t>
  </si>
  <si>
    <t>Desenho - OD da menor seção da vértebra (figura 1)</t>
  </si>
  <si>
    <t>Desenho - ID da menor seção da vértebra (figura 1)</t>
  </si>
  <si>
    <t>Desenho - Maior diâmetro do acessório (colocar em contact e drag)</t>
  </si>
  <si>
    <t>Se não tiver no desenho usar Par*0,87, EXCETO para Vértebras de PU!</t>
  </si>
  <si>
    <t>Nota1 - Inserir peso na água. Peso ar deve ser igual ao peso na água</t>
  </si>
  <si>
    <t>13.0.0</t>
  </si>
  <si>
    <t>Versão 13.0.0</t>
  </si>
  <si>
    <t>Caso 2 - Estático</t>
  </si>
  <si>
    <t>IGNORAR</t>
  </si>
  <si>
    <t>Origem do dado - OrcaFlex API</t>
  </si>
  <si>
    <t>Origem do dado - Fórmulas</t>
  </si>
  <si>
    <t>Rótulo</t>
  </si>
  <si>
    <t>Dado 
Bruto</t>
  </si>
  <si>
    <t>Dado Processado</t>
  </si>
  <si>
    <t>CVD de 2ª - Hmax</t>
  </si>
  <si>
    <t>CVD de 2ª - Puxada</t>
  </si>
  <si>
    <t>B26</t>
  </si>
  <si>
    <t>B27</t>
  </si>
  <si>
    <t>B28</t>
  </si>
  <si>
    <t>B29</t>
  </si>
  <si>
    <t>B30</t>
  </si>
  <si>
    <t>B31</t>
  </si>
  <si>
    <t>B33</t>
  </si>
  <si>
    <t>B34</t>
  </si>
  <si>
    <t>B35</t>
  </si>
  <si>
    <t>B37</t>
  </si>
  <si>
    <t>B38</t>
  </si>
  <si>
    <t>B40</t>
  </si>
  <si>
    <t>H28</t>
  </si>
  <si>
    <t>H30</t>
  </si>
  <si>
    <t>H31</t>
  </si>
  <si>
    <t>H32</t>
  </si>
  <si>
    <t>H33</t>
  </si>
  <si>
    <t>Distância entre as Boias de Cont e o Flange</t>
  </si>
  <si>
    <t>N75</t>
  </si>
  <si>
    <t>N76</t>
  </si>
  <si>
    <t>N77</t>
  </si>
  <si>
    <t>N78</t>
  </si>
  <si>
    <t>N79</t>
  </si>
  <si>
    <t>N80</t>
  </si>
  <si>
    <t>N81</t>
  </si>
  <si>
    <t>N82</t>
  </si>
  <si>
    <t>N83</t>
  </si>
  <si>
    <t>B75</t>
  </si>
  <si>
    <t>B76</t>
  </si>
  <si>
    <t>B77</t>
  </si>
  <si>
    <t>B78</t>
  </si>
  <si>
    <t>B79</t>
  </si>
  <si>
    <t>H75</t>
  </si>
  <si>
    <t>H76</t>
  </si>
  <si>
    <t>H77</t>
  </si>
  <si>
    <t>H78</t>
  </si>
  <si>
    <t>H79</t>
  </si>
  <si>
    <t>B24</t>
  </si>
  <si>
    <t>B25</t>
  </si>
  <si>
    <t>B84</t>
  </si>
  <si>
    <t>B85</t>
  </si>
  <si>
    <t>Stiffener Range</t>
  </si>
  <si>
    <t>Stiffener</t>
  </si>
  <si>
    <t>ArcLength (AL)</t>
  </si>
  <si>
    <t>B44</t>
  </si>
  <si>
    <t>B45</t>
  </si>
  <si>
    <t>B64</t>
  </si>
  <si>
    <t>B65</t>
  </si>
  <si>
    <t>Geral</t>
  </si>
  <si>
    <t>Tabela 1 - Momento do Primeiro Toque</t>
  </si>
  <si>
    <t>Tabela 2 - Verificação da tabela 3</t>
  </si>
  <si>
    <t>Tabela 3 - Dados de ArcLength - Verificar momento do 1º toque</t>
  </si>
  <si>
    <t>A vértebra travou?</t>
  </si>
  <si>
    <t>Dados Gerais</t>
  </si>
  <si>
    <t>Nome - Estrutura</t>
  </si>
  <si>
    <t>Nome - Vértebra</t>
  </si>
  <si>
    <t>Nome - Conector</t>
  </si>
  <si>
    <t>Nome - Adaptador de Flanges</t>
  </si>
  <si>
    <t>Nome - MCV</t>
  </si>
  <si>
    <t>Caso 3 - Dinâmico</t>
  </si>
  <si>
    <t>* Esforços calculados de acordo com os itens 6.4 e 6.5 do documento 
ET-3000.00-1500-941-PMU-006 - Rev.C.</t>
  </si>
  <si>
    <t>Se NÃO houver vértebra ou ângulo de cobertura &lt; 72º, utilizar 1.5*MBR instalação</t>
  </si>
  <si>
    <t>CASO 3i - Max e Min (Linked Statistics)</t>
  </si>
  <si>
    <t>CASO 3ii - Toque no solo (Linked Statistics)</t>
  </si>
  <si>
    <t>Puxada - CVD de 2ª (Linked Statistics)</t>
  </si>
  <si>
    <t>Caso 3i - Dinâmico (Max e  Min)</t>
  </si>
  <si>
    <t>Droplist - Tipos Linha</t>
  </si>
  <si>
    <t>Droplist - Casos</t>
  </si>
  <si>
    <t>Caso 3ii - Toque no Solo</t>
  </si>
  <si>
    <t>VALOR (com unidade)</t>
  </si>
  <si>
    <t>Empuxo total</t>
  </si>
  <si>
    <t>Arquivo Cont2 (*.sim)</t>
  </si>
  <si>
    <t>Arquivo Puxada (*.sim)</t>
  </si>
  <si>
    <t>Length[1] =</t>
  </si>
  <si>
    <t>CVD DE PRIMEIRA EXTREMIDADE</t>
  </si>
  <si>
    <t>CVD DE SEGUNDA EXTREMIDADE</t>
  </si>
  <si>
    <t>CFS</t>
  </si>
  <si>
    <t>T - Tração</t>
  </si>
  <si>
    <t>V - Cortante</t>
  </si>
  <si>
    <t>M - Momento</t>
  </si>
  <si>
    <t>Empuxo Total</t>
  </si>
  <si>
    <t>Heave Up</t>
  </si>
  <si>
    <t>Momento Max na Vértebra</t>
  </si>
  <si>
    <t>Cabrestantes Posições</t>
  </si>
  <si>
    <t>Cabrestantes Comprimentos</t>
  </si>
  <si>
    <t>Curva de Rigidez de Lançamento (LAN)</t>
  </si>
  <si>
    <t>Caso 4 - Curva de Lançamento</t>
  </si>
  <si>
    <t>Caso 4 - Curva de Teste</t>
  </si>
  <si>
    <t>Caso 5 - Curva de Operação</t>
  </si>
  <si>
    <t>Tipo de CVD</t>
  </si>
  <si>
    <t>Select Stiffness_Vértebra</t>
  </si>
  <si>
    <t>Posição em relação ao flange [m]</t>
  </si>
  <si>
    <t>Posição na linha</t>
  </si>
  <si>
    <t>Aba Bending Stiffness - Modificada para inserção das curvas de rigidez de teste hidroestático e de operação</t>
  </si>
  <si>
    <t>Aba Results - Modificada para apresentar os dados de pós-processamento dos casos 4 e 5</t>
  </si>
  <si>
    <t>Named Range - Os named ranges foram atualizados e padronizados para serem os mesmos nas planilhas de CVD de 1ª e 2ª</t>
  </si>
  <si>
    <t>VBA - Os códigos foram organizados em módulos para facilitar a manutenção</t>
  </si>
  <si>
    <t>Caso 3i - Heave Up (Max)</t>
  </si>
  <si>
    <t>Caso 3i - Heave Up (Min)</t>
  </si>
  <si>
    <t>Curva de Rigidez da Vértebra (VERT)
Histerese desativada</t>
  </si>
  <si>
    <t>Curva de Rigidez de Operação (OPE)
Histerese desativada</t>
  </si>
  <si>
    <t>Curva de Rigidez de Teste Hidroestático (HID)
Histerese desativada</t>
  </si>
  <si>
    <t>Curva de Lançamento - NumberOfRows</t>
  </si>
  <si>
    <t>Curva de Lançamento - First row of the table</t>
  </si>
  <si>
    <t>Curva de Teste - NumberOfRows</t>
  </si>
  <si>
    <t>Curva de Teste - First row of the table</t>
  </si>
  <si>
    <t>Curva de Operação - NumberOfRows</t>
  </si>
  <si>
    <t>Curva de Operação - First row of the table</t>
  </si>
  <si>
    <t>Curva da Vértebra - NumberOfRows</t>
  </si>
  <si>
    <t>Tabela 1 - Dados do Estudo</t>
  </si>
  <si>
    <t>A tabela 1 está preenchida?</t>
  </si>
  <si>
    <t>Tabela 2 - Dados da Dragagem (Preencha se houver dragagem)</t>
  </si>
  <si>
    <t>Tabela 3 - Nomes dos Arquivos</t>
  </si>
  <si>
    <t>LayAway</t>
  </si>
  <si>
    <t>Estatico</t>
  </si>
  <si>
    <t>CASO 4 - Teste Hidroestático com Curva de LANÇAMENTO (Linked Statistics) - COM Flutuador</t>
  </si>
  <si>
    <t>CASO 4 - Teste Hidroestático com Curva de LANÇAMENTO (Linked Statistics) - SEM Flutuador</t>
  </si>
  <si>
    <t>CASO 4 - Teste Hidroestático com Curva de TESTE (Linked Statistics) - COM Flutuador</t>
  </si>
  <si>
    <t>CASO 4 - Teste Hidroestático com Curva de TESTE (Linked Statistics) - SEM Flutuador</t>
  </si>
  <si>
    <t>CASO 5 - Operação (Linked Statistics) - SEM Flutuador</t>
  </si>
  <si>
    <t>H24</t>
  </si>
  <si>
    <t>H5</t>
  </si>
  <si>
    <t>H4</t>
  </si>
  <si>
    <t>Q5</t>
  </si>
  <si>
    <t>R5</t>
  </si>
  <si>
    <t>S5</t>
  </si>
  <si>
    <t>S6</t>
  </si>
  <si>
    <t>R6</t>
  </si>
  <si>
    <t>Q6</t>
  </si>
  <si>
    <t>H44</t>
  </si>
  <si>
    <t>H64</t>
  </si>
  <si>
    <t>H65</t>
  </si>
  <si>
    <t>H45</t>
  </si>
  <si>
    <t>H25</t>
  </si>
  <si>
    <t>"_package_data\ModeloRTCVD1a_v2.dat"</t>
  </si>
  <si>
    <t>"_package_data\ModeloRTCVD2a_v2.dat"</t>
  </si>
  <si>
    <t>Caso</t>
  </si>
  <si>
    <t>Caso 4 - Com flutuadores (curva de lançamento)</t>
  </si>
  <si>
    <t>Caso 4 - Com flutuadores (curva de teste)</t>
  </si>
  <si>
    <t>Caso 3 - Com flutuadores (curva de lançamento)</t>
  </si>
  <si>
    <t>Caso 3 - Sem flutuadores (curva de lançamento)</t>
  </si>
  <si>
    <t>Caso 4 - Sem flutuadores (curva de lançamento)</t>
  </si>
  <si>
    <t>Caso 4 - Sem flutuadores (curva de teste)</t>
  </si>
  <si>
    <t>Caso 5 - Sem flutuadores (curva de operação)</t>
  </si>
  <si>
    <t>Caso 3ii - Toque no solo</t>
  </si>
  <si>
    <t>Índice</t>
  </si>
  <si>
    <t>i0</t>
  </si>
  <si>
    <t>i1</t>
  </si>
  <si>
    <t>i2</t>
  </si>
  <si>
    <t>Caso 4 - Com flutuadores TOTAL [i2 - i1 + i0]</t>
  </si>
  <si>
    <t>Caso 4 - Sem flutuadores TOTAL [i2 - i1 + i0]</t>
  </si>
  <si>
    <t>Caso 5 - Sem flutuadores TOTAL [i2 - i1 + i0]</t>
  </si>
  <si>
    <t>Layway - Esforços no flange ao fim da simulação do caso 3  (Linked Statistics) - COM Flutuador</t>
  </si>
  <si>
    <t>Layway - Esforços no flange ao fim da simulação do caso 3  (Linked Statistics) - SEM Flutuador</t>
  </si>
  <si>
    <t>H84</t>
  </si>
  <si>
    <t>H85</t>
  </si>
  <si>
    <t xml:space="preserve">T - Força Axial 
[kN] </t>
  </si>
  <si>
    <t>M - Momento Fletor [kN.m]</t>
  </si>
  <si>
    <t>Esforços no flange do MCV</t>
  </si>
  <si>
    <t>V - Força Cortante 
[kN]</t>
  </si>
  <si>
    <t>CVD de 2ª - Puxada (Max)</t>
  </si>
  <si>
    <t>CVD de 2ª - Puxada (Min)</t>
  </si>
  <si>
    <t>Caso 2 - Análise estática</t>
  </si>
  <si>
    <t>MBR Vértebra - RL</t>
  </si>
  <si>
    <t>MBR Linha - RL</t>
  </si>
  <si>
    <t>Tipo de Dado</t>
  </si>
  <si>
    <t>Tipo de Attachment</t>
  </si>
  <si>
    <t>Input</t>
  </si>
  <si>
    <t>Dado  Bruto</t>
  </si>
  <si>
    <t>Peso - Estrutura</t>
  </si>
  <si>
    <t>Peso - Vértebra</t>
  </si>
  <si>
    <t>Peso - Conector</t>
  </si>
  <si>
    <t>Peso - Adaptador de Flanges</t>
  </si>
  <si>
    <t>Peso - MCV</t>
  </si>
  <si>
    <t>Te</t>
  </si>
  <si>
    <t>Te/m</t>
  </si>
  <si>
    <t>Tabela 4 - Fonte das Imagens</t>
  </si>
  <si>
    <t>Tabela 5 - Dados Gerais</t>
  </si>
  <si>
    <t>Tabela 6 - Esforços no Flange do MCV</t>
  </si>
  <si>
    <t>Caso 4 - Teste Hidroestático - Com Flutuadores*</t>
  </si>
  <si>
    <t>Caso 4 - Teste Hidroestático - Sem Flutuadores*</t>
  </si>
  <si>
    <t>Caso 5 - Operação - Sem Flutuadores*</t>
  </si>
  <si>
    <t>Densidade do Fluido</t>
  </si>
  <si>
    <t>Condição da Linha</t>
  </si>
  <si>
    <t>Condição do Anular</t>
  </si>
  <si>
    <t>Cheia</t>
  </si>
  <si>
    <t>Quantidade de Conjuntos de Boias</t>
  </si>
  <si>
    <t>0 to 32,15</t>
  </si>
  <si>
    <t xml:space="preserve"> kg</t>
  </si>
  <si>
    <t>Stiffener1</t>
  </si>
  <si>
    <t>Rotation 2 - MCV</t>
  </si>
  <si>
    <t>Depth - Environment</t>
  </si>
  <si>
    <t>Z - Line - End B</t>
  </si>
  <si>
    <t>End Ey-Moment - Line - End B</t>
  </si>
  <si>
    <t>End Ex-Force - Line - End B</t>
  </si>
  <si>
    <t>End Ez-Force - Line - End B</t>
  </si>
  <si>
    <t>Bend Radius - Line</t>
  </si>
  <si>
    <t>Bend Radius - Stiffener1</t>
  </si>
  <si>
    <t>Bend Moment - Stiffener1</t>
  </si>
  <si>
    <t>Shear Force - Stiffener1</t>
  </si>
  <si>
    <t>EndBZ - Cabrestante 1</t>
  </si>
  <si>
    <t>EndBZ - Cabrestante 2</t>
  </si>
  <si>
    <t>StageValue[1] - A/R</t>
  </si>
  <si>
    <t>Length - Cabrestante 1</t>
  </si>
  <si>
    <t>Length - Cabrestante 2</t>
  </si>
  <si>
    <t>Min - Vertical Sb Clearance (Line and BR)</t>
  </si>
  <si>
    <t>StageValue[3] - A/R</t>
  </si>
  <si>
    <t>NumberOfAttachments - Line</t>
  </si>
  <si>
    <t>Tension - Cabrestante 1</t>
  </si>
  <si>
    <t>Tension - Cabrestante 2</t>
  </si>
  <si>
    <t>MBR Linha - Min (Estático, Dinâmico)</t>
  </si>
  <si>
    <t>MBR Vértebra - Min (Estático, Dinâmico)</t>
  </si>
  <si>
    <t>Dist. Boias de Cont e o Flange</t>
  </si>
  <si>
    <t>Dist. vertical entre o flange e o leito marinho</t>
  </si>
  <si>
    <t>Dist. horizontal entre o TDP e o Flange</t>
  </si>
  <si>
    <t>Dist. entre o flange e o cabrestante1</t>
  </si>
  <si>
    <t>Dist. entre o flange e o cabrestante2</t>
  </si>
  <si>
    <t>Peso Morto 
ou Boia</t>
  </si>
  <si>
    <t>X - Line - End B</t>
  </si>
  <si>
    <t>X - Line - Touchdown</t>
  </si>
  <si>
    <t>Arc Length - Line - End B</t>
  </si>
  <si>
    <t>Arc Length - Line - Touchdown</t>
  </si>
  <si>
    <t>Comp. de flexível suspenso entre o TDP e o flange</t>
  </si>
  <si>
    <t>Attachmentz[3] - Line</t>
  </si>
  <si>
    <t>Curva de Lançamento</t>
  </si>
  <si>
    <t>Curva de Teste</t>
  </si>
  <si>
    <t>Curva de Operação</t>
  </si>
  <si>
    <t>Estatico.sim</t>
  </si>
  <si>
    <t>##################################INICIO INPUT#################################</t>
  </si>
  <si>
    <t># Cota de distancia da linha ao solo [m]</t>
  </si>
  <si>
    <t>mov_z_1 = 0.0 # Movimentar em Z [texto]</t>
  </si>
  <si>
    <t>mov_x_1 = 0.0 # Movimentar em X [cota]</t>
  </si>
  <si>
    <t># Cota de distancia da flange do MCV ao solo [m]</t>
  </si>
  <si>
    <t>mov_z_2 = -0.5 # Movimentar em Z [texto]</t>
  </si>
  <si>
    <t>mov_x_2 = 0.0 # Movimentar em X [cota]</t>
  </si>
  <si>
    <t># Cota do comprimento de linha da flange ao ponto minimo da linha [m]</t>
  </si>
  <si>
    <t>mov_x_3 = -2.5 # Movimentar em X [texto]</t>
  </si>
  <si>
    <t>mov_z_3 = 0.5 # Movimentar em Z [texto]</t>
  </si>
  <si>
    <t># Cota do comprimento do ponto minimo da linha ao outro lado da flange [m]</t>
  </si>
  <si>
    <t>mov_x_4 = 1.5 # Movimentar em X [texto]</t>
  </si>
  <si>
    <t>mov_z_4 = 0.0 # Movimentar em Z [texto]</t>
  </si>
  <si>
    <t xml:space="preserve"># Cota horizontal da flange ao outro lado do duto [m]   </t>
  </si>
  <si>
    <t>mov_x_5 = 0.0 # Movimentar em X [texto]</t>
  </si>
  <si>
    <t>mov_z_5 = 0.0 # Movimentar em Z [cota]</t>
  </si>
  <si>
    <t># Cota horizontal da flange ao outro lado do duto e acima [m]</t>
  </si>
  <si>
    <t>mov_x_6 = 0.0 # Movimentar em X [texto]</t>
  </si>
  <si>
    <t>mov_z_6 = 0.0 # Movimentar em Z [cota]</t>
  </si>
  <si>
    <t># Cota horizontal da flange 'a distancia minima ao solo marinho [m]</t>
  </si>
  <si>
    <t>mov_x_7 = 0.0 # Movimentar em X [texto]</t>
  </si>
  <si>
    <t>mov_z_7 = 0.0 # Movimentar em Z [cota]</t>
  </si>
  <si>
    <t># Cota da catenaria do ponto no duto que esta do outro lado da flange ate a acima da flange do mcv [m]</t>
  </si>
  <si>
    <t>mov_x_8 = 0.5 # Movimentar em X [texto]</t>
  </si>
  <si>
    <t>mov_z_8 = 0.0 # Movimentar em Z [texto]</t>
  </si>
  <si>
    <t># Cota vertical do ponto no duto que esta do outro lado da flange ate a acima da flange do mcv</t>
  </si>
  <si>
    <t>mov_x_9 = 0.5 # Movimentar em X [cota]</t>
  </si>
  <si>
    <t>mov_z_9 = 0.0 # Movimentar em Z [texto]</t>
  </si>
  <si>
    <t># Texto da descrição de flutuadores em relação ao da esquerda [m]</t>
  </si>
  <si>
    <t>mov_x_10 = 0.0 # Movimentar em X</t>
  </si>
  <si>
    <t>mov_z_10 = 0.0 # Movimentar em Z</t>
  </si>
  <si>
    <t># Cota de distancia do flange à dragagem</t>
  </si>
  <si>
    <t>mov_x_11 = 0.0 # Movimentar em X [texto]</t>
  </si>
  <si>
    <t>mov_z_11 = 0.0 # Movimentar em Z [cota]</t>
  </si>
  <si>
    <t># Cota de comprimento da dragagem</t>
  </si>
  <si>
    <t>mov_x_12 = 0.0 # Movimentar em X [texto]</t>
  </si>
  <si>
    <t>mov_z_12 = 0.0 # Movimentar em Z [cota]</t>
  </si>
  <si>
    <t># Cota de profundidade da dragagem</t>
  </si>
  <si>
    <t>mov_x_13 = 4.0 # Movimentar em X [cota]</t>
  </si>
  <si>
    <t>mov_z_13 = 0.0 # Movimentar em Z [texto]</t>
  </si>
  <si>
    <t xml:space="preserve">    # Para melhorar o desenho da dragagem</t>
  </si>
  <si>
    <t xml:space="preserve">    mov_z_5 = 1.25</t>
  </si>
  <si>
    <t xml:space="preserve">    mov_z_6 = 1.0</t>
  </si>
  <si>
    <t xml:space="preserve">    mov_z_7 = 10.1</t>
  </si>
  <si>
    <t xml:space="preserve">    return max_values_index, min_values_index</t>
  </si>
  <si>
    <t>#----Recognize Crane Wire-----------------------------------------------------#</t>
  </si>
  <si>
    <t>Crane = model["Guindaste"]</t>
  </si>
  <si>
    <t>#----Calculation of point of the line at same height as the MCV flange--------#</t>
  </si>
  <si>
    <t>for i in range(len(line_x.Mean)-1, -1, -1):</t>
  </si>
  <si>
    <t xml:space="preserve">    if line_z.Mean[i]&gt;line_z.Mean[-1]:</t>
  </si>
  <si>
    <t xml:space="preserve">        other_point_x=line_x.Mean[i]</t>
  </si>
  <si>
    <t xml:space="preserve">        other_point_z=line_z.Mean[i]</t>
  </si>
  <si>
    <t xml:space="preserve">        other_point_i=i</t>
  </si>
  <si>
    <t xml:space="preserve">        break</t>
  </si>
  <si>
    <t xml:space="preserve">        x_buoy.append(line1.StaticResult('X', orca.oeArcLength(line_len-buoys_z[i])))</t>
  </si>
  <si>
    <t xml:space="preserve">        z_buoy.append(line1.StaticResult('Z', orca.oeArcLength(line_len-buoys_z[i])))</t>
  </si>
  <si>
    <t>#----SAG POSITION-------------------------------------------------------------#</t>
  </si>
  <si>
    <t>sag_pos = np.argmin(line_z.Mean)</t>
  </si>
  <si>
    <t>sag_x = line_x.Mean[sag_pos]</t>
  </si>
  <si>
    <t xml:space="preserve">    flag_1=0</t>
  </si>
  <si>
    <t xml:space="preserve">    flag_2=0</t>
  </si>
  <si>
    <t xml:space="preserve">    for k in range(0,len(att_line_x[j].Mean)):</t>
  </si>
  <si>
    <t xml:space="preserve">        if att_line_x[j].Mean[k]&gt;sag_x:</t>
  </si>
  <si>
    <t xml:space="preserve">            flag_1=1</t>
  </si>
  <si>
    <t xml:space="preserve">        elif att_line_x[j].Mean[k]&lt;sag_x:</t>
  </si>
  <si>
    <t xml:space="preserve">            flag_2=1</t>
  </si>
  <si>
    <t xml:space="preserve">    if flag_1==1 and flag_2==1:</t>
  </si>
  <si>
    <t xml:space="preserve">        att_sag=j</t>
  </si>
  <si>
    <t xml:space="preserve">        if sag_pos&gt;=line1.CumulativeNumberOfSegments[i-1] and sag_pos&lt;line1.CumulativeNumberOfSegments[i]:</t>
  </si>
  <si>
    <t xml:space="preserve">                sag_diameter=linetype.OD</t>
  </si>
  <si>
    <t xml:space="preserve">                line_dia=linetype.OD</t>
  </si>
  <si>
    <t xml:space="preserve">                sag_diameter=linetype.ContactDiameter</t>
  </si>
  <si>
    <t xml:space="preserve">                line_dia=linetype.ContactDiameter</t>
  </si>
  <si>
    <t xml:space="preserve">        if sag_pos&gt;0 and sag_pos&lt;line1.CumulativeNumberOfSegments[i]:</t>
  </si>
  <si>
    <t>if flag_1==1 and flag_2==1:</t>
  </si>
  <si>
    <t xml:space="preserve">    sag_diameter=att_diameter[att_sag]</t>
  </si>
  <si>
    <t>vertical_seabed_clearance_z = line1.RangeGraph('Vertical Seabed Clearance').Mean</t>
  </si>
  <si>
    <t>sag_seabed=line_z.Mean[sag_pos]-vertical_seabed_clearance_z[sag_pos]-line_dia/2</t>
  </si>
  <si>
    <t>sag_z = line_z.Mean[sag_pos]-sag_diameter/2</t>
  </si>
  <si>
    <t>#----posicao espacial do ponto no duto que esta acima da flange do mcv--------#</t>
  </si>
  <si>
    <t>z_eq_value=line_z.Mean[other_point_i]+(-float(sag_z)+float(flange_vcm1_z))-sag_diameter/2</t>
  </si>
  <si>
    <t>for j in range(len(line_x.Mean)-1, -1, -1):</t>
  </si>
  <si>
    <t xml:space="preserve">    if line_z.Mean[j]&gt;z_eq_value:</t>
  </si>
  <si>
    <t xml:space="preserve">        other_point_x_j=line_x.Mean[j]</t>
  </si>
  <si>
    <t xml:space="preserve">        other_point_z_j=line_z.Mean[j]</t>
  </si>
  <si>
    <t xml:space="preserve">        other_point_j=j</t>
  </si>
  <si>
    <t>#----check which object has seabed clearance (attachment or line)------------#</t>
  </si>
  <si>
    <t>all_vertical_seabed_clearance_z = [vertical_seabed_clearance_z]</t>
  </si>
  <si>
    <t>for j in range(0,len(all_vertical_seabed_clearance_z)):</t>
  </si>
  <si>
    <t xml:space="preserve">    min_all.append(min(all_vertical_seabed_clearance_z[j]))</t>
  </si>
  <si>
    <t>#----Minimum Height above seabed calculation----------------------------------#</t>
  </si>
  <si>
    <t>maxi, mini1 = extremas(all_vertical_seabed_clearance_z[line_w_seabd_clear])</t>
  </si>
  <si>
    <t>x_min_height_above_seabed = round(line_x.Mean[mini], 4)</t>
  </si>
  <si>
    <t>z_min_height_above_seabed = round(line_z.Mean[mini] - min_diameter/2,4)</t>
  </si>
  <si>
    <t>min_height_above_seabed = round(</t>
  </si>
  <si>
    <t xml:space="preserve">    line_z.Mean[mini] </t>
  </si>
  <si>
    <t xml:space="preserve">    - min_diameter/2 </t>
  </si>
  <si>
    <t xml:space="preserve">    - float(all_vertical_seabed_clearance_z[line_w_seabd_clear][mini1]), 4)</t>
  </si>
  <si>
    <t xml:space="preserve">    figsize=(abs((vcm1_base_point_x-0.5-1+x_min_lim)-(max(line_x.Mean)+1+x_max_lim)),</t>
  </si>
  <si>
    <t xml:space="preserve">             abs((line_z.Mean[-1]+8+z_max_lim)-(min(seabed_z)-2.0+z_min_lim)))</t>
  </si>
  <si>
    <t xml:space="preserve">    xy=(x_min_height_above_seabed+mov_x_1,sag_seabed), </t>
  </si>
  <si>
    <t>ax.plot([x_min_height_above_seabed,x_min_height_above_seabed+mov_x_1],[sag_seabed,sag_seabed],'k-')</t>
  </si>
  <si>
    <t xml:space="preserve">    str(round(z_min_height_above_seabed-sag_seabed,2)).replace('.', ',')+'m', </t>
  </si>
  <si>
    <t xml:space="preserve">    xy=(x_min_height_above_seabed+mov_x_1,sag_seabed+(z_min_height_above_seabed-sag_seabed)/2+mov_z_1), </t>
  </si>
  <si>
    <t xml:space="preserve">                xytext=(x_buoy[j]+(mov_x_10*j),z_buoy[j]+3+(mov_z_10*j)), </t>
  </si>
  <si>
    <t xml:space="preserve">                    val2=att_diameter[itera]/2+0.25</t>
  </si>
  <si>
    <t xml:space="preserve">                            val2=diameter[itera1]/2+0.25</t>
  </si>
  <si>
    <t xml:space="preserve">    peso_txt = str(round(peso_total,2))+'kg'</t>
  </si>
  <si>
    <t xml:space="preserve">            xytext=(x_buoy[int(len(x_buoy)/2)]+3+(mov_x_10*j),z_buoy[int(len(z_buoy)/2)]+3+(mov_z_10*j)), </t>
  </si>
  <si>
    <t>#layer das cotas</t>
  </si>
  <si>
    <t>cota1_x=[]</t>
  </si>
  <si>
    <t>cota1_z=[]</t>
  </si>
  <si>
    <t xml:space="preserve">    cota1_x.append(line_x.Mean[i]-1*np.cos(line_declin.Mean[i]*np.pi/180))</t>
  </si>
  <si>
    <t xml:space="preserve">    cota1_z.append(line_z.Mean[i]-1*np.sin(line_declin.Mean[i]*np.pi/180))</t>
  </si>
  <si>
    <t>ax.plot(cota1_x,cota1_z,'k-')</t>
  </si>
  <si>
    <t xml:space="preserve">    xy=(cota1_x[-1],cota1_z[-1]), </t>
  </si>
  <si>
    <t xml:space="preserve">    xytext=(cota1_x[-2],cota1_z[-2]), </t>
  </si>
  <si>
    <t xml:space="preserve">    textcoords='data', </t>
  </si>
  <si>
    <t xml:space="preserve">    xy=(cota1_x[0],cota1_z[0]), </t>
  </si>
  <si>
    <t xml:space="preserve">    xytext=(cota1_x[1],cota1_z[1]), </t>
  </si>
  <si>
    <t>annot1_x_pos=line_x.Mean[int((len(line_x.Mean)-mini)/2+mini)]-1*np.cos(line_declin.Mean[int((len(line_x.Mean)-mini)/2+mini)]*np.pi/180)</t>
  </si>
  <si>
    <t>annot1_z_pos=line_z.Mean[int((len(line_x.Mean)-mini)/2+mini)]-1*np.sin(line_declin.Mean[int((len(line_x.Mean)-mini)/2+mini)]*np.pi/180)</t>
  </si>
  <si>
    <t xml:space="preserve">    str(round(line_x.X[-1]-line_x.X[mini],2)).replace('.', ',')+'m', </t>
  </si>
  <si>
    <t xml:space="preserve">    xy=(annot1_x_pos+mov_x_3,annot1_z_pos+mov_z_3), </t>
  </si>
  <si>
    <t>#----cota do comprimento do ponto minimo da linha ao outro lado da flange-----#</t>
  </si>
  <si>
    <t>for i in range(other_point_i,mini+1):</t>
  </si>
  <si>
    <t xml:space="preserve">    xycoords='data', </t>
  </si>
  <si>
    <t xml:space="preserve">    xytext=(cota2_x[1],cota2_z[1]), textcoords='data',</t>
  </si>
  <si>
    <t>annot2_x_pos=line_x.Mean[int((mini-other_point_i)/2+other_point_i)]-1*np.cos(line_declin.Mean[int((mini-other_point_i)/2+other_point_i)]*np.pi/180)</t>
  </si>
  <si>
    <t>annot2_z_pos=line_z.Mean[int((mini-other_point_i)/2+other_point_i)]-1*np.sin(line_declin.Mean[int((mini-other_point_i)/2+other_point_i)]*np.pi/180)</t>
  </si>
  <si>
    <t xml:space="preserve">    str(round(line_x.X[mini]-line_x.X[other_point_i],2)).replace('.', ',')+'m\n', </t>
  </si>
  <si>
    <t xml:space="preserve">    xy=(annot2_x_pos+mov_x_4,annot2_z_pos+mov_z_4), </t>
  </si>
  <si>
    <t>#----cota horizontal da flange ao outro lado do duto--------------------------#</t>
  </si>
  <si>
    <t xml:space="preserve">    xy=(line_x.Mean[-1],line_z.Mean[-1]+4.5+mov_z_5), </t>
  </si>
  <si>
    <t xml:space="preserve">    xytext=(other_point_x,line_z.Mean[-1]+4.5+mov_z_5),</t>
  </si>
  <si>
    <t>ax.plot([line_x.Mean[-1],line_x.Mean[-1]],[line_z.Mean[-1],line_z.Mean[-1]+4.5+mov_z_5],'k-')</t>
  </si>
  <si>
    <t>ax.plot([other_point_x,other_point_x],[other_point_z,line_z.Mean[-1]+4.5+mov_z_5],'k-')</t>
  </si>
  <si>
    <t xml:space="preserve">    str(round(abs(line_x.Mean[-1]-other_point_x),2)).replace('.', ',')+'m\n', </t>
  </si>
  <si>
    <t xml:space="preserve">    xy=(line_x.Mean[-1]+(other_point_x-line_x.Mean[-1])/2+mov_x_5,line_z.Mean[-1]+4.5+mov_z_5), </t>
  </si>
  <si>
    <t>#----cota horizontal da flange ao outro lado do duto e acima------------------#</t>
  </si>
  <si>
    <t xml:space="preserve">    xy=(line_x.Mean[-1],line_z.Mean[-1]+6+mov_z_6), </t>
  </si>
  <si>
    <t xml:space="preserve">    xytext=(other_point_x_j,line_z.Mean[-1]+6+mov_z_6), </t>
  </si>
  <si>
    <t xml:space="preserve">    arrowprops=dict(arrowstyle="&lt;-&gt;", connectionstyle="arc3", lw=2),</t>
  </si>
  <si>
    <t>ax.plot([line_x.Mean[-1],line_x.Mean[-1]],[line_z.Mean[-1],line_z.Mean[-1]+6+mov_z_6],'k-')</t>
  </si>
  <si>
    <t>ax.plot([other_point_x_j,other_point_x_j],[other_point_z_j,line_z.Mean[-1]+6+mov_z_6],'k-')</t>
  </si>
  <si>
    <t xml:space="preserve">    str(round(abs(line_x.Mean[-1]-other_point_x_j),2)).replace('.', ',')+'m\n', </t>
  </si>
  <si>
    <t xml:space="preserve">    xy=(line_x.Mean[-1]+(other_point_x_j-line_x.Mean[-1])/2+mov_x_6,line_z.Mean[-1]+6+mov_z_6), </t>
  </si>
  <si>
    <t xml:space="preserve">    xy=(line_x.Mean[-1],min_wd-1.0+mov_z_7),</t>
  </si>
  <si>
    <t xml:space="preserve">    xytext=(x_min_height_above_seabed,min_wd-1.0+mov_z_7),</t>
  </si>
  <si>
    <t>ax.plot([line_x.Mean[-1],line_x.Mean[-1]],[line_z.Mean[-1],min_wd-1.0+mov_z_7],'k-')</t>
  </si>
  <si>
    <t>ax.plot([x_min_height_above_seabed,x_min_height_above_seabed],[sag_z,min_wd-1.0+mov_z_7],'k-')</t>
  </si>
  <si>
    <t xml:space="preserve">    str(round(abs(line_x.Mean[-1]-x_min_height_above_seabed),2)).replace('.', ',')+'m\n', </t>
  </si>
  <si>
    <t xml:space="preserve">    xy=(line_x.Mean[-1]+(x_min_height_above_seabed-line_x.Mean[-1])/2+mov_x_7,min_wd-1.0+mov_z_7),</t>
  </si>
  <si>
    <t>#----cota da catenaria do ponto no duto que esta do outro lado da flange ate a acima da flange do mcv--#</t>
  </si>
  <si>
    <t>for i in range(other_point_j,other_point_i+1):</t>
  </si>
  <si>
    <t>annot1_x_pos=round(line_x.Mean[int((other_point_i-other_point_j)/2+other_point_j)]-1*np.cos(line_declin.Mean[int((other_point_i-other_point_j)/2+other_point_j)]*np.pi/180))</t>
  </si>
  <si>
    <t>annot1_z_pos=round(line_z.Mean[int((other_point_i-other_point_j)/2+other_point_j)]-1*np.sin(line_declin.Mean[int((other_point_i-other_point_j)/2+other_point_j)]*np.pi/180))</t>
  </si>
  <si>
    <t xml:space="preserve">    str(round(line_x.X[other_point_i]-line_x.X[other_point_j],2)).replace('.', ',')+'m',</t>
  </si>
  <si>
    <t xml:space="preserve">    xy=(annot1_x_pos + mov_x_8,annot1_z_pos + mov_z_8),</t>
  </si>
  <si>
    <t>#----cota vertical do ponto no duto que esta do outro lado da flange ate a acima da flange do mcv-------------------------------------------------------------------#</t>
  </si>
  <si>
    <t xml:space="preserve">    xy=(cota3_x[0]+0.5+mov_x_9,line_z.Mean[other_point_j]), </t>
  </si>
  <si>
    <t xml:space="preserve">    xytext=(cota3_x[0]+0.5+mov_x_9,line_z.Mean[other_point_i]), </t>
  </si>
  <si>
    <t xml:space="preserve">    str(round(line_z.Mean[other_point_j]-line_z.Mean[other_point_i],2)).replace('.', ',')+'m',</t>
  </si>
  <si>
    <t xml:space="preserve">    xy=(cota3_x[0]+0.5+mov_x_9,line_z.Mean[other_point_i]+(line_z.Mean[other_point_j]-line_z.Mean[other_point_i])/2+mov_z_9),</t>
  </si>
  <si>
    <t>ax.plot([line_x.Mean[other_point_j],cota3_x[0]+0.5+mov_x_9],[line_z.Mean[other_point_j],line_z.Mean[other_point_j]],'k-')</t>
  </si>
  <si>
    <t>ax.plot([line_x.Mean[other_point_i],cota3_x[0]+0.5+mov_x_9],[line_z.Mean[other_point_i],line_z.Mean[other_point_i]],'k-')</t>
  </si>
  <si>
    <t xml:space="preserve">    #----Dragagem - Cota Horizontal ------------------------------------------#</t>
  </si>
  <si>
    <t xml:space="preserve">        xy=(o_x+min(dred_dist),min(dred_z)-1+mov_z_12), </t>
  </si>
  <si>
    <t xml:space="preserve">        xytext=(o_x+max(dred_dist),min(dred_z)-1+mov_z_12), </t>
  </si>
  <si>
    <t xml:space="preserve">    ax.plot([o_x+min(dred_dist),o_x+min(dred_dist)],[max(dred_z),min(dred_z)-1.0+mov_z_12],'k-')</t>
  </si>
  <si>
    <t xml:space="preserve">    ax.plot([o_x+max(dred_dist),o_x+max(dred_dist)],[max(dred_z),min(dred_z)-1.0+mov_z_12],'k-')</t>
  </si>
  <si>
    <t xml:space="preserve">        xy=(o_x+np.mean(dred_dist)-2.25+mov_x_12,min(dred_z)-1.25+mov_z_12), </t>
  </si>
  <si>
    <t xml:space="preserve">        xy=(o_x+max(dred_dist)+1+mov_x_13,min(dred_z)), </t>
  </si>
  <si>
    <t xml:space="preserve">        xytext=(o_x+max(dred_dist)+1+mov_x_13,min(dred_z)-1), </t>
  </si>
  <si>
    <t xml:space="preserve">        xy=(o_x+max(dred_dist)+1+mov_x_13,seabed_z[-1]), </t>
  </si>
  <si>
    <t xml:space="preserve">        xytext=(o_x+max(dred_dist)+1+mov_x_13,seabed_z[-1]+1), </t>
  </si>
  <si>
    <t xml:space="preserve">    ax.plot([o_x+max(dred_dist),o_x+max(dred_dist)+1+mov_x_13],[min(dred_z),min(dred_z)],'k-')</t>
  </si>
  <si>
    <t xml:space="preserve">        xy=(o_x+max(dred_dist)+1+mov_x_13,min(dred_z)-1+mov_z_13), </t>
  </si>
  <si>
    <t xml:space="preserve">        xy=(flange_vcm1_x,min(dred_z)-1+mov_z_11),</t>
  </si>
  <si>
    <t xml:space="preserve">        xytext=(o_x+min(dred_dist),min(dred_z)-1+mov_z_11),</t>
  </si>
  <si>
    <t xml:space="preserve">        arrowprops=dict(arrowstyle="&lt;-&gt;", connectionstyle="arc3", lw=2),</t>
  </si>
  <si>
    <t xml:space="preserve">    ax.plot([flange_vcm1_x,flange_vcm1_x],[seabed_z[0],min(dred_z)-1+mov_z_11],'k-')</t>
  </si>
  <si>
    <t xml:space="preserve">    ax.plot([o_x+min(dred_dist),o_x+min(dred_dist)],[min(dred_z),min(dred_z)-1+mov_z_11],'k-')</t>
  </si>
  <si>
    <t xml:space="preserve">        str(format(round(abs(o_x+min(dred_dist)-flange_vcm1_x), 1), '.2f')).replace('.', ',') + 'm',</t>
  </si>
  <si>
    <t xml:space="preserve">        xy=(o_x + min(dred_dist)/2 - 0.75 + mov_x_6, min(dred_z) -2.25 + mov_z_6), </t>
  </si>
  <si>
    <t xml:space="preserve">        xytext=(0, 0), </t>
  </si>
  <si>
    <t>plt.xlim(round(vcm1_base_point_x-0.5-1,0)+x_min_lim,round(max(line_x.Mean)+1,0)+x_max_lim)</t>
  </si>
  <si>
    <t>plt.ylim(round(min(seabed_z)-2.0,0)+z_min_lim,round(line_z.Mean[-1]+8,0)+z_max_lim)</t>
  </si>
  <si>
    <t># Movimentar em X o texto da cota horizontal da flange ao outro lado do duto [m]</t>
  </si>
  <si>
    <t># Movimentar em Z a cota horizontal da flange ao outro lado do duto [m]</t>
  </si>
  <si>
    <t># Movimentar em X o texto da cota linha no solo [m]</t>
  </si>
  <si>
    <t>mov_x_2 = 0.0</t>
  </si>
  <si>
    <t># Movimentar em Z a cota linha no solo [m]</t>
  </si>
  <si>
    <t>font_size = '24'</t>
  </si>
  <si>
    <t>vert = model[att_lines[0]]</t>
  </si>
  <si>
    <t xml:space="preserve">            buoy_txt.append('Peso ' + str(int(round(Emp[i],0))) + 'kg ')</t>
  </si>
  <si>
    <t>#----arc lengths que tocam no solo-------------------------------------------#</t>
  </si>
  <si>
    <t>zipped = zip(line1.RangeGraph('Seabed Clearance').X,line1.RangeGraph('Seabed Clearance').Mean)</t>
  </si>
  <si>
    <t>al_sbd_clear_0=[]</t>
  </si>
  <si>
    <t>for arc_length, seabed_clear in zipped:</t>
  </si>
  <si>
    <t xml:space="preserve">    if seabed_clear&lt;0.0:</t>
  </si>
  <si>
    <t xml:space="preserve">        al_sbd_clear_0.append(arc_length)</t>
  </si>
  <si>
    <t>al_tdp_1st=min(al_sbd_clear_0)</t>
  </si>
  <si>
    <t>al_tdp_2nd=max(al_sbd_clear_0)</t>
  </si>
  <si>
    <t>x_tdp_1st=line1.StaticResult('X',orca.oeArcLength(al_tdp_1st))</t>
  </si>
  <si>
    <t>z_tdp_1st=line1.StaticResult('Z',orca.oeArcLength(al_tdp_1st))</t>
  </si>
  <si>
    <t>x_tdp_2nd=line1.StaticResult('X',orca.oeArcLength(al_tdp_2nd))</t>
  </si>
  <si>
    <t xml:space="preserve">z_tdp_2nd=line1.StaticResult('Z',orca.oeArcLength(al_tdp_2nd))         </t>
  </si>
  <si>
    <t xml:space="preserve">    figsize=(abs((vcm1_base_point_x-0.5-1+x_min_lim)-(max(line_x.Mean)+1+x_max_lim)), </t>
  </si>
  <si>
    <t xml:space="preserve">    (0.0,0.0),</t>
  </si>
  <si>
    <t xml:space="preserve">    linewidth=3.0,</t>
  </si>
  <si>
    <t xml:space="preserve">    xy=(line_x.Mean[-1],line_z.Mean[-1]+4.5+mov_z_1), </t>
  </si>
  <si>
    <t xml:space="preserve">    xytext=(other_point_x,line_z.Mean[-1]+4.5+mov_z_1), </t>
  </si>
  <si>
    <t>ax.plot([line_x.Mean[-1],line_x.Mean[-1]],[line_z.Mean[-1],line_z.Mean[-1]+4.5+mov_z_1],'k-')</t>
  </si>
  <si>
    <t>ax.plot([other_point_x,other_point_x],[other_point_z,line_z.Mean[-1]+4.5+mov_z_1],'k-')</t>
  </si>
  <si>
    <t xml:space="preserve">    xy=(line_x.Mean[-1]+(other_point_x-line_x.Mean[-1])/2+mov_x_1,line_z.Mean[-1]+4.5+mov_z_1), </t>
  </si>
  <si>
    <t>#----cota linha no solo-------------------------------------------------------#</t>
  </si>
  <si>
    <t xml:space="preserve">    xy=(x_tdp_1st,min(z_tdp_2nd,z_tdp_1st)-2.0+mov_z_2), </t>
  </si>
  <si>
    <t xml:space="preserve">    xytext=(x_tdp_2nd,min(z_tdp_2nd,z_tdp_1st)-2.0+mov_z_2), </t>
  </si>
  <si>
    <t>ax.plot([x_tdp_1st,x_tdp_1st],[z_tdp_1st,min(z_tdp_2nd,z_tdp_1st)-2.0+mov_z_2],'k-')</t>
  </si>
  <si>
    <t>ax.plot([x_tdp_2nd,x_tdp_2nd],[z_tdp_2nd,min(z_tdp_2nd,z_tdp_1st)-2.0+mov_z_2],'k-')</t>
  </si>
  <si>
    <t xml:space="preserve">    str(round(abs(x_tdp_1st-x_tdp_2nd),2)).replace('.', ',')+'m\n', xy=(x_tdp_1st+(x_tdp_2nd-x_tdp_1st)/2+mov_x_2,min(z_tdp_2nd,z_tdp_1st)-2.0+mov_z_2), </t>
  </si>
  <si>
    <t xml:space="preserve">                    xytext=(x_buoy[j],z_buoy[j]+3), </t>
  </si>
  <si>
    <t xml:space="preserve">                    textcoords='data',</t>
  </si>
  <si>
    <t xml:space="preserve">            ax.add_patch(r6)     </t>
  </si>
  <si>
    <t xml:space="preserve">plt.ylim(round(min(seabed_z)-2.0,0)+z_min_lim,round(line_z.Mean[-1]+8,0)+z_max_lim) </t>
  </si>
  <si>
    <t>import os</t>
  </si>
  <si>
    <t>import glob</t>
  </si>
  <si>
    <t>B41</t>
  </si>
  <si>
    <t>Distância entre o flange e o TDP</t>
  </si>
  <si>
    <t xml:space="preserve">Distância entre o flange e o leito </t>
  </si>
  <si>
    <t>Distância entre o flange e cabrestante</t>
  </si>
  <si>
    <t>N26</t>
  </si>
  <si>
    <t>N27</t>
  </si>
  <si>
    <t>N28</t>
  </si>
  <si>
    <t>N29</t>
  </si>
  <si>
    <t>N30</t>
  </si>
  <si>
    <t>N31</t>
  </si>
  <si>
    <t>N32</t>
  </si>
  <si>
    <t>N33</t>
  </si>
  <si>
    <t>Comprimento de cabo recolhido do guindaste</t>
  </si>
  <si>
    <t>B42</t>
  </si>
  <si>
    <t>B43</t>
  </si>
  <si>
    <t># Caminho da pasta da planilha de input</t>
  </si>
  <si>
    <t>Vertical Seabed Clearance Max  to - Line</t>
  </si>
  <si>
    <t>Distância do hub [m]</t>
  </si>
  <si>
    <t>4 - ANÁLISE DE CONTINGÊNCIA</t>
  </si>
  <si>
    <t xml:space="preserve"> Realizar um estudo de CVD de primeira extremidade. </t>
  </si>
  <si>
    <t>Força Cortante Máxima na vértebra [kN]</t>
  </si>
  <si>
    <t xml:space="preserve">Configuração da CVD de 1ª Extremidade </t>
  </si>
  <si>
    <t xml:space="preserve"> Realizar um estudo de CVD de primeira extremidade </t>
  </si>
  <si>
    <t>Configuração da CVD de 1ª Extremidade</t>
  </si>
  <si>
    <r>
      <rPr>
        <sz val="10"/>
        <color rgb="FF00B050"/>
        <rFont val="Arial"/>
        <family val="2"/>
      </rPr>
      <t>Acrescentar informação se houver redução no comprimento da vértebra.</t>
    </r>
    <r>
      <rPr>
        <sz val="10"/>
        <rFont val="Arial"/>
        <family val="2"/>
      </rPr>
      <t xml:space="preserve">
</t>
    </r>
    <r>
      <rPr>
        <sz val="10"/>
        <color rgb="FFFF0000"/>
        <rFont val="Arial"/>
        <family val="2"/>
      </rPr>
      <t>Os esforços encontrados no estudo excedem os informados na RL-3A52.00-1500-94G-PZ9-031. Deve-se apenas prosseguir com a operação de CVD após a devida avaliação e aprovação dos esforços obtidos neste estudo, conforme solicitado na TQF-XXX-YYYYY.</t>
    </r>
    <r>
      <rPr>
        <sz val="10"/>
        <rFont val="Arial"/>
        <family val="2"/>
      </rPr>
      <t xml:space="preserve"> </t>
    </r>
    <r>
      <rPr>
        <sz val="10"/>
        <color rgb="FF00B050"/>
        <rFont val="Arial"/>
        <family val="2"/>
      </rPr>
      <t>Caso os esforços excedam a RL</t>
    </r>
    <r>
      <rPr>
        <sz val="10"/>
        <rFont val="Arial"/>
        <family val="2"/>
      </rPr>
      <t xml:space="preserve">                                                                               </t>
    </r>
    <r>
      <rPr>
        <sz val="10"/>
        <color rgb="FFFF0000"/>
        <rFont val="Arial"/>
        <family val="2"/>
      </rPr>
      <t>Os esforços calculados deste estudo estão aprovados a partir do ábaco (Figura 4.1)</t>
    </r>
    <r>
      <rPr>
        <sz val="10"/>
        <rFont val="Arial"/>
        <family val="2"/>
      </rPr>
      <t xml:space="preserve">
 </t>
    </r>
    <r>
      <rPr>
        <sz val="10"/>
        <color rgb="FF00B050"/>
        <rFont val="Arial"/>
        <family val="2"/>
      </rPr>
      <t>Caso os esforços excedam a RL ou não tenha recebido RL, mas o ábaco foi recebido e esteja aprovado</t>
    </r>
    <r>
      <rPr>
        <sz val="10"/>
        <rFont val="Arial"/>
        <family val="2"/>
      </rPr>
      <t xml:space="preserve">
</t>
    </r>
    <r>
      <rPr>
        <sz val="10"/>
        <color rgb="FFFF0000"/>
        <rFont val="Arial"/>
        <family val="2"/>
      </rPr>
      <t>Os esforços encontrados no estudo excedem os informados na RL. Contudo, os resultados deste estudo estão aprovados a partir da planilha de cálculo do momento equivalente: “Momento Equivalente - Instaladoras - STIES x SIDS_Ago2019 (Figura 4.1).</t>
    </r>
    <r>
      <rPr>
        <sz val="10"/>
        <rFont val="Arial"/>
        <family val="2"/>
      </rPr>
      <t xml:space="preserve"> </t>
    </r>
    <r>
      <rPr>
        <sz val="10"/>
        <color rgb="FF00B050"/>
        <rFont val="Arial"/>
        <family val="2"/>
      </rPr>
      <t>Caso os esforços excedam a RL, não recebeu ábaco ou não foi aprovado, mas momento equivalente aprovado</t>
    </r>
  </si>
  <si>
    <t># Caminho do ficheiro da analise de puxada</t>
  </si>
  <si>
    <t>Shear force</t>
  </si>
  <si>
    <t>B80</t>
  </si>
  <si>
    <t>H80</t>
  </si>
  <si>
    <t>Shear force - Line - End B</t>
  </si>
  <si>
    <t>H [mm]</t>
  </si>
  <si>
    <t>D [m] (Z)</t>
  </si>
  <si>
    <t>G [m] (Z)</t>
  </si>
  <si>
    <t>B [m] (Y)</t>
  </si>
  <si>
    <t>C [m] (X)</t>
  </si>
  <si>
    <t>E [m] (Y)</t>
  </si>
  <si>
    <t>H [m] (Y)</t>
  </si>
  <si>
    <t>I [m] (X)</t>
  </si>
  <si>
    <t>CentreOfMassY=</t>
  </si>
  <si>
    <t>CentreOfVolumeY=</t>
  </si>
  <si>
    <t>Aba Data - Essa aba foi criada para remover as colunas ocultas da aba Results</t>
  </si>
  <si>
    <t>Aba MCV e Guindaste - Inserção da cota H do MCV</t>
  </si>
  <si>
    <t>Unificação dos códigos VBA das planilhas de 1ª e 2ª extremidade</t>
  </si>
  <si>
    <t>Aba Values - Inserção dos dados de conector, adaptador e MCV para extração da planilha de RT</t>
  </si>
  <si>
    <t>Remoção de dados de pós-processamento para gerar as cotas das imagens - Funcionalidade realizada pelo Python</t>
  </si>
  <si>
    <t>Abas Script_Table - Modificada para inserção no modelo das 3 curvas da linha</t>
  </si>
  <si>
    <t>Unificação das planilhas de CVD de 1ª e 2ª extremidade - Padronização das abas e range names</t>
  </si>
  <si>
    <t>Prefixo 2nd e 1st nos nomes das abas - Foi inserido para diferenciar as abas</t>
  </si>
  <si>
    <t>Adição das análises dos casos 4 e 5</t>
  </si>
  <si>
    <t>Abas Post-Processing - Modificada para extração dos dados dos casos 4 e 5</t>
  </si>
  <si>
    <t>Caso 4 - Teste Hidroestático (Sem Flutuador)</t>
  </si>
  <si>
    <t>Caso 4 - Teste Hidroestático (Com Flutuador)</t>
  </si>
  <si>
    <t>Caso 5 - Operação (Sem Flutuador)</t>
  </si>
  <si>
    <t>49,999 to 50,000</t>
  </si>
  <si>
    <t>162,149 to 162,15</t>
  </si>
  <si>
    <t>212,149 to 212,15</t>
  </si>
  <si>
    <t>712,149 to 712,15</t>
  </si>
  <si>
    <t>662,149 to 662,15</t>
  </si>
  <si>
    <t>figure_dir = os.path.dirname(__file__)</t>
  </si>
  <si>
    <t>workspace_dir = os.path.dirname(figure_dir)</t>
  </si>
  <si>
    <t>WSI 152.2553-RD-4042-6</t>
  </si>
  <si>
    <t>1</t>
  </si>
  <si>
    <t>Diâmetro nominal ['']</t>
  </si>
  <si>
    <r>
      <t>Bend. Stiffness [kN.m</t>
    </r>
    <r>
      <rPr>
        <vertAlign val="super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]</t>
    </r>
  </si>
  <si>
    <r>
      <t>Torsional Stiffness [kN.m</t>
    </r>
    <r>
      <rPr>
        <vertAlign val="super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]</t>
    </r>
  </si>
  <si>
    <t xml:space="preserve">Axial Stiffness [KN] </t>
  </si>
  <si>
    <t>CB-BR1522553-00-01</t>
  </si>
  <si>
    <t>Aço</t>
  </si>
  <si>
    <t xml:space="preserve">End Fitting </t>
  </si>
  <si>
    <t>CB-EF1522540-00-05</t>
  </si>
  <si>
    <t>4</t>
  </si>
  <si>
    <t>FD-3A00.00-1514-276-PEK-001</t>
  </si>
  <si>
    <t>TechnipFMC</t>
  </si>
  <si>
    <t>P7000048060</t>
  </si>
  <si>
    <t>MSIAGs FMC</t>
  </si>
  <si>
    <t>Alagado</t>
  </si>
  <si>
    <t>Poço</t>
  </si>
  <si>
    <t>8-LL-44-RJS</t>
  </si>
  <si>
    <t>Skandi Açu</t>
  </si>
  <si>
    <t>Lula</t>
  </si>
  <si>
    <t>NSI</t>
  </si>
  <si>
    <t>S51956-RT-5801-IAS-661</t>
  </si>
  <si>
    <t>Alef Nascimento; João Gabriel Santos</t>
  </si>
  <si>
    <t>André Paulo</t>
  </si>
  <si>
    <t>Nathalia Silva; Eduardo Carvalho; Ana-Caroline Mesquita</t>
  </si>
  <si>
    <t>CVD de 1ª da linha de IG do MSIAG-01 do FPSO Cidade de Itaguaí</t>
  </si>
  <si>
    <t>Select Stiffness_Lançamento</t>
  </si>
  <si>
    <t>IndependentValue[4]=</t>
  </si>
  <si>
    <t>IndependentValue[5]=</t>
  </si>
  <si>
    <t>IndependentValue[6]=</t>
  </si>
  <si>
    <t>IndependentValue[7]=</t>
  </si>
  <si>
    <t>IndependentValue[8]=</t>
  </si>
  <si>
    <t>IndependentValue[9]=</t>
  </si>
  <si>
    <t>IndependentValue[10]=</t>
  </si>
  <si>
    <t>IndependentValue[11]=</t>
  </si>
  <si>
    <t>IndependentValue[12]=</t>
  </si>
  <si>
    <t>IndependentValue[13]=</t>
  </si>
  <si>
    <t>IndependentValue[14]=</t>
  </si>
  <si>
    <t>IndependentValue[15]=</t>
  </si>
  <si>
    <t>IndependentValue[16]=</t>
  </si>
  <si>
    <t>IndependentValue[17]=</t>
  </si>
  <si>
    <t>IndependentValue[18]=</t>
  </si>
  <si>
    <t>IndependentValue[19]=</t>
  </si>
  <si>
    <t>IndependentValue[20]=</t>
  </si>
  <si>
    <t>IndependentValue[21]=</t>
  </si>
  <si>
    <t>IndependentValue[22]=</t>
  </si>
  <si>
    <t>IndependentValue[23]=</t>
  </si>
  <si>
    <t>IndependentValue[24]=</t>
  </si>
  <si>
    <t>IndependentValue[25]=</t>
  </si>
  <si>
    <t>DependentValue[4]=</t>
  </si>
  <si>
    <t>DependentValue[5]=</t>
  </si>
  <si>
    <t>DependentValue[6]=</t>
  </si>
  <si>
    <t>DependentValue[7]=</t>
  </si>
  <si>
    <t>DependentValue[8]=</t>
  </si>
  <si>
    <t>DependentValue[9]=</t>
  </si>
  <si>
    <t>DependentValue[10]=</t>
  </si>
  <si>
    <t>DependentValue[11]=</t>
  </si>
  <si>
    <t>DependentValue[12]=</t>
  </si>
  <si>
    <t>DependentValue[13]=</t>
  </si>
  <si>
    <t>DependentValue[14]=</t>
  </si>
  <si>
    <t>DependentValue[15]=</t>
  </si>
  <si>
    <t>DependentValue[16]=</t>
  </si>
  <si>
    <t>DependentValue[17]=</t>
  </si>
  <si>
    <t>DependentValue[18]=</t>
  </si>
  <si>
    <t>DependentValue[19]=</t>
  </si>
  <si>
    <t>DependentValue[20]=</t>
  </si>
  <si>
    <t>DependentValue[21]=</t>
  </si>
  <si>
    <t>DependentValue[22]=</t>
  </si>
  <si>
    <t>DependentValue[23]=</t>
  </si>
  <si>
    <t>DependentValue[24]=</t>
  </si>
  <si>
    <t>DependentValue[25]=</t>
  </si>
  <si>
    <t>Select Stiffness_Teste</t>
  </si>
  <si>
    <t>Select Stiffness_Operação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</si>
</sst>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0.00000000"/>
    <numFmt numFmtId="165" formatCode="0.00000"/>
    <numFmt numFmtId="166" formatCode="0.000"/>
    <numFmt numFmtId="167" formatCode="0.0000"/>
    <numFmt numFmtId="168" formatCode="0.0"/>
    <numFmt numFmtId="169" formatCode="[$-1009]d\-mmm\-yy;@"/>
    <numFmt numFmtId="170" formatCode="d\-mmm\-yyyy"/>
    <numFmt numFmtId="171" formatCode="0.000000"/>
  </numFmts>
  <fonts count="6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1"/>
      <color rgb="FF006100"/>
      <name val="Calibri"/>
      <family val="2"/>
      <scheme val="minor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sz val="12"/>
      <color theme="1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2"/>
      <name val="Arial"/>
      <family val="2"/>
    </font>
    <font>
      <u/>
      <sz val="10"/>
      <color indexed="12"/>
      <name val="Arial"/>
      <family val="2"/>
    </font>
    <font>
      <b/>
      <sz val="10"/>
      <color theme="1"/>
      <name val="Arial"/>
      <family val="2"/>
    </font>
    <font>
      <b/>
      <sz val="10"/>
      <color rgb="FF000000"/>
      <name val="Arial"/>
      <family val="2"/>
    </font>
    <font>
      <sz val="12"/>
      <name val="Arial"/>
      <family val="2"/>
    </font>
    <font>
      <sz val="14"/>
      <name val="Arial"/>
      <family val="2"/>
    </font>
    <font>
      <sz val="10"/>
      <color rgb="FF00B050"/>
      <name val="Arial"/>
      <family val="2"/>
    </font>
    <font>
      <sz val="8"/>
      <name val="Arial"/>
      <family val="2"/>
    </font>
    <font>
      <b/>
      <sz val="10"/>
      <color theme="7" tint="0.79998168889431442"/>
      <name val="Arial"/>
      <family val="2"/>
    </font>
    <font>
      <sz val="10"/>
      <name val="Calibri"/>
      <family val="2"/>
    </font>
    <font>
      <sz val="10.5"/>
      <name val="Arial"/>
      <family val="2"/>
    </font>
    <font>
      <sz val="12"/>
      <color rgb="FFFF0000"/>
      <name val="Arial"/>
      <family val="2"/>
    </font>
    <font>
      <b/>
      <sz val="10"/>
      <color theme="0"/>
      <name val="Arial"/>
      <family val="2"/>
    </font>
    <font>
      <sz val="11"/>
      <name val="Arial"/>
      <family val="2"/>
    </font>
    <font>
      <sz val="11"/>
      <color rgb="FFFF0000"/>
      <name val="Arial"/>
      <family val="2"/>
    </font>
    <font>
      <b/>
      <sz val="10"/>
      <color rgb="FF00B050"/>
      <name val="Arial"/>
      <family val="2"/>
    </font>
    <font>
      <sz val="12"/>
      <color rgb="FF000000"/>
      <name val="Arial"/>
      <family val="2"/>
    </font>
    <font>
      <sz val="12"/>
      <color rgb="FF00B050"/>
      <name val="Arial"/>
      <family val="2"/>
    </font>
    <font>
      <b/>
      <u/>
      <sz val="12"/>
      <color rgb="FFFF0000"/>
      <name val="Arial"/>
      <family val="2"/>
    </font>
    <font>
      <sz val="12"/>
      <color rgb="FF0070C0"/>
      <name val="Arial"/>
      <family val="2"/>
    </font>
    <font>
      <b/>
      <u/>
      <sz val="12"/>
      <color rgb="FF0070C0"/>
      <name val="Arial"/>
      <family val="2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vertAlign val="superscript"/>
      <sz val="10"/>
      <color theme="1"/>
      <name val="Arial"/>
      <family val="2"/>
    </font>
    <font>
      <sz val="11"/>
      <color theme="1"/>
      <name val="Consolas"/>
      <family val="3"/>
    </font>
    <font>
      <b/>
      <sz val="14"/>
      <color rgb="FF000000"/>
      <name val="Arial"/>
      <family val="2"/>
    </font>
    <font>
      <sz val="10"/>
      <color rgb="FF000000"/>
      <name val="Arial"/>
      <family val="2"/>
    </font>
    <font>
      <sz val="18"/>
      <color rgb="FF000000"/>
      <name val="Arial"/>
      <family val="2"/>
    </font>
    <font>
      <sz val="16"/>
      <color rgb="FF000000"/>
      <name val="Arial"/>
      <family val="2"/>
    </font>
    <font>
      <sz val="10"/>
      <color indexed="81"/>
      <name val="Arial"/>
      <family val="2"/>
    </font>
    <font>
      <b/>
      <sz val="10"/>
      <color indexed="81"/>
      <name val="Arial"/>
      <family val="2"/>
    </font>
    <font>
      <b/>
      <sz val="11"/>
      <name val="Arial"/>
      <family val="2"/>
    </font>
    <font>
      <b/>
      <sz val="9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9"/>
      <name val="Calibri"/>
      <family val="2"/>
      <scheme val="minor"/>
    </font>
    <font>
      <sz val="11"/>
      <name val="Consolas"/>
      <family val="3"/>
    </font>
    <font>
      <b/>
      <sz val="10"/>
      <name val="Cambria"/>
      <family val="1"/>
      <scheme val="major"/>
    </font>
    <font>
      <b/>
      <sz val="12"/>
      <name val="Cambria"/>
      <family val="1"/>
      <scheme val="major"/>
    </font>
    <font>
      <sz val="9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vertAlign val="superscript"/>
      <sz val="12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C6EF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FFCC6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512D6D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FFE699"/>
        <bgColor indexed="64"/>
      </patternFill>
    </fill>
  </fills>
  <borders count="16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/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rgb="FF000000"/>
      </bottom>
      <diagonal/>
    </border>
    <border>
      <left style="medium">
        <color indexed="64"/>
      </left>
      <right style="medium">
        <color indexed="64"/>
      </right>
      <top style="thick">
        <color rgb="FF000000"/>
      </top>
      <bottom style="medium">
        <color indexed="64"/>
      </bottom>
      <diagonal/>
    </border>
    <border>
      <left style="thick">
        <color rgb="FF000000"/>
      </left>
      <right style="thick">
        <color rgb="FF000000"/>
      </right>
      <top style="medium">
        <color indexed="64"/>
      </top>
      <bottom/>
      <diagonal/>
    </border>
    <border>
      <left style="thick">
        <color rgb="FF000000"/>
      </left>
      <right style="thick">
        <color rgb="FF000000"/>
      </right>
      <top style="medium">
        <color indexed="64"/>
      </top>
      <bottom style="thick">
        <color rgb="FF000000"/>
      </bottom>
      <diagonal/>
    </border>
    <border>
      <left style="thick">
        <color rgb="FF000000"/>
      </left>
      <right style="medium">
        <color indexed="64"/>
      </right>
      <top style="medium">
        <color indexed="64"/>
      </top>
      <bottom style="thick">
        <color rgb="FF000000"/>
      </bottom>
      <diagonal/>
    </border>
    <border>
      <left style="thick">
        <color rgb="FF000000"/>
      </left>
      <right style="medium">
        <color indexed="64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medium">
        <color indexed="64"/>
      </bottom>
      <diagonal/>
    </border>
    <border>
      <left style="thick">
        <color rgb="FF000000"/>
      </left>
      <right style="medium">
        <color indexed="64"/>
      </right>
      <top style="thick">
        <color rgb="FF000000"/>
      </top>
      <bottom style="medium">
        <color indexed="64"/>
      </bottom>
      <diagonal/>
    </border>
    <border>
      <left style="medium">
        <color indexed="64"/>
      </left>
      <right style="thick">
        <color rgb="FF000000"/>
      </right>
      <top style="medium">
        <color indexed="64"/>
      </top>
      <bottom style="thick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000000"/>
      </bottom>
      <diagonal/>
    </border>
    <border>
      <left style="medium">
        <color indexed="64"/>
      </left>
      <right/>
      <top style="thick">
        <color rgb="FF000000"/>
      </top>
      <bottom style="medium">
        <color indexed="64"/>
      </bottom>
      <diagonal/>
    </border>
    <border>
      <left style="medium">
        <color indexed="64"/>
      </left>
      <right/>
      <top/>
      <bottom style="thick">
        <color rgb="FF000000"/>
      </bottom>
      <diagonal/>
    </border>
    <border>
      <left style="medium">
        <color indexed="64"/>
      </left>
      <right/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medium">
        <color indexed="64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indexed="64"/>
      </bottom>
      <diagonal/>
    </border>
    <border>
      <left style="medium">
        <color indexed="64"/>
      </left>
      <right style="thick">
        <color rgb="FF000000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000000"/>
      </top>
      <bottom style="thick">
        <color rgb="FF000000"/>
      </bottom>
      <diagonal/>
    </border>
    <border>
      <left style="medium">
        <color indexed="64"/>
      </left>
      <right style="medium">
        <color indexed="64"/>
      </right>
      <top/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/>
      <bottom style="medium">
        <color indexed="64"/>
      </bottom>
      <diagonal/>
    </border>
    <border>
      <left style="medium">
        <color indexed="64"/>
      </left>
      <right style="thick">
        <color rgb="FF000000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thick">
        <color rgb="FF000000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/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medium">
        <color indexed="64"/>
      </right>
      <top style="medium">
        <color indexed="64"/>
      </top>
      <bottom/>
      <diagonal/>
    </border>
    <border>
      <left/>
      <right style="thick">
        <color rgb="FF000000"/>
      </right>
      <top/>
      <bottom style="medium">
        <color indexed="64"/>
      </bottom>
      <diagonal/>
    </border>
    <border>
      <left style="thick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/>
      <right/>
      <top style="thick">
        <color rgb="FF000000"/>
      </top>
      <bottom style="medium">
        <color indexed="64"/>
      </bottom>
      <diagonal/>
    </border>
    <border>
      <left/>
      <right/>
      <top/>
      <bottom style="thick">
        <color rgb="FF000000"/>
      </bottom>
      <diagonal/>
    </border>
    <border>
      <left/>
      <right style="medium">
        <color indexed="64"/>
      </right>
      <top style="medium">
        <color indexed="64"/>
      </top>
      <bottom style="thick">
        <color rgb="FF000000"/>
      </bottom>
      <diagonal/>
    </border>
    <border>
      <left/>
      <right style="medium">
        <color indexed="64"/>
      </right>
      <top style="thick">
        <color rgb="FF000000"/>
      </top>
      <bottom style="thick">
        <color rgb="FF000000"/>
      </bottom>
      <diagonal/>
    </border>
    <border>
      <left/>
      <right style="medium">
        <color indexed="64"/>
      </right>
      <top style="thick">
        <color rgb="FF000000"/>
      </top>
      <bottom style="medium">
        <color indexed="64"/>
      </bottom>
      <diagonal/>
    </border>
    <border>
      <left/>
      <right style="medium">
        <color indexed="64"/>
      </right>
      <top/>
      <bottom style="thick">
        <color rgb="FF000000"/>
      </bottom>
      <diagonal/>
    </border>
    <border>
      <left/>
      <right/>
      <top style="thick">
        <color rgb="FF000000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rgb="FF000000"/>
      </top>
      <bottom style="double">
        <color indexed="64"/>
      </bottom>
      <diagonal/>
    </border>
    <border>
      <left/>
      <right style="medium">
        <color indexed="64"/>
      </right>
      <top style="thick">
        <color rgb="FF000000"/>
      </top>
      <bottom style="double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57">
    <xf numFmtId="0" fontId="0" fillId="0" borderId="0"/>
    <xf numFmtId="0" fontId="11" fillId="3" borderId="0" applyNumberFormat="0" applyBorder="0" applyAlignment="0" applyProtection="0"/>
    <xf numFmtId="0" fontId="8" fillId="0" borderId="0"/>
    <xf numFmtId="0" fontId="10" fillId="0" borderId="0"/>
    <xf numFmtId="43" fontId="10" fillId="0" borderId="0" applyFont="0" applyFill="0" applyBorder="0" applyAlignment="0" applyProtection="0"/>
    <xf numFmtId="0" fontId="10" fillId="0" borderId="0"/>
    <xf numFmtId="0" fontId="8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7" fillId="0" borderId="0"/>
    <xf numFmtId="0" fontId="6" fillId="0" borderId="0"/>
    <xf numFmtId="43" fontId="10" fillId="0" borderId="0" applyFont="0" applyFill="0" applyBorder="0" applyAlignment="0" applyProtection="0"/>
    <xf numFmtId="0" fontId="6" fillId="0" borderId="0"/>
    <xf numFmtId="0" fontId="6" fillId="0" borderId="0"/>
    <xf numFmtId="0" fontId="5" fillId="0" borderId="0"/>
    <xf numFmtId="0" fontId="5" fillId="0" borderId="0"/>
    <xf numFmtId="0" fontId="10" fillId="0" borderId="0"/>
    <xf numFmtId="43" fontId="10" fillId="0" borderId="0" applyFont="0" applyFill="0" applyBorder="0" applyAlignment="0" applyProtection="0"/>
    <xf numFmtId="0" fontId="5" fillId="0" borderId="0"/>
    <xf numFmtId="0" fontId="5" fillId="0" borderId="0"/>
    <xf numFmtId="0" fontId="4" fillId="0" borderId="0"/>
    <xf numFmtId="0" fontId="3" fillId="0" borderId="0"/>
    <xf numFmtId="0" fontId="2" fillId="0" borderId="0"/>
    <xf numFmtId="43" fontId="10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43" fontId="10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10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43" fontId="10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3" fontId="10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0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1360">
    <xf numFmtId="0" fontId="0" fillId="0" borderId="0" xfId="0"/>
    <xf numFmtId="0" fontId="0" fillId="0" borderId="0" xfId="0" applyAlignment="1">
      <alignment horizontal="left"/>
    </xf>
    <xf numFmtId="0" fontId="10" fillId="0" borderId="0" xfId="0" applyFont="1"/>
    <xf numFmtId="0" fontId="10" fillId="0" borderId="0" xfId="0" applyFont="1" applyAlignment="1">
      <alignment horizontal="left"/>
    </xf>
    <xf numFmtId="0" fontId="10" fillId="0" borderId="0" xfId="3"/>
    <xf numFmtId="0" fontId="9" fillId="4" borderId="12" xfId="0" applyFont="1" applyFill="1" applyBorder="1" applyAlignment="1">
      <alignment horizontal="center" vertical="center"/>
    </xf>
    <xf numFmtId="0" fontId="9" fillId="0" borderId="23" xfId="3" applyFont="1" applyBorder="1"/>
    <xf numFmtId="0" fontId="10" fillId="0" borderId="0" xfId="3" applyAlignment="1">
      <alignment horizontal="center" vertical="center" wrapText="1"/>
    </xf>
    <xf numFmtId="0" fontId="10" fillId="6" borderId="0" xfId="3" applyFill="1"/>
    <xf numFmtId="0" fontId="10" fillId="6" borderId="28" xfId="3" applyFill="1" applyBorder="1"/>
    <xf numFmtId="0" fontId="10" fillId="6" borderId="13" xfId="3" applyFill="1" applyBorder="1"/>
    <xf numFmtId="0" fontId="10" fillId="6" borderId="10" xfId="3" applyFill="1" applyBorder="1"/>
    <xf numFmtId="0" fontId="10" fillId="6" borderId="9" xfId="3" applyFill="1" applyBorder="1"/>
    <xf numFmtId="0" fontId="10" fillId="4" borderId="21" xfId="3" applyFill="1" applyBorder="1" applyAlignment="1">
      <alignment horizontal="center" vertical="center"/>
    </xf>
    <xf numFmtId="0" fontId="10" fillId="6" borderId="0" xfId="3" applyFill="1" applyAlignment="1">
      <alignment horizontal="left" vertical="top"/>
    </xf>
    <xf numFmtId="0" fontId="10" fillId="6" borderId="17" xfId="3" applyFill="1" applyBorder="1"/>
    <xf numFmtId="0" fontId="10" fillId="0" borderId="0" xfId="3" applyAlignment="1">
      <alignment horizontal="left" vertical="top"/>
    </xf>
    <xf numFmtId="0" fontId="10" fillId="6" borderId="11" xfId="3" applyFill="1" applyBorder="1" applyAlignment="1">
      <alignment horizontal="center" vertical="center" wrapText="1"/>
    </xf>
    <xf numFmtId="0" fontId="10" fillId="6" borderId="84" xfId="3" applyFill="1" applyBorder="1"/>
    <xf numFmtId="0" fontId="10" fillId="6" borderId="0" xfId="3" applyFill="1" applyAlignment="1">
      <alignment horizontal="center" vertical="center" wrapText="1"/>
    </xf>
    <xf numFmtId="0" fontId="10" fillId="6" borderId="0" xfId="3" applyFill="1" applyAlignment="1">
      <alignment vertical="center" wrapText="1"/>
    </xf>
    <xf numFmtId="0" fontId="10" fillId="0" borderId="0" xfId="3" applyAlignment="1">
      <alignment vertical="center"/>
    </xf>
    <xf numFmtId="0" fontId="9" fillId="0" borderId="0" xfId="3" applyFont="1" applyAlignment="1">
      <alignment vertical="center" wrapText="1"/>
    </xf>
    <xf numFmtId="0" fontId="10" fillId="0" borderId="0" xfId="3" applyAlignment="1">
      <alignment vertical="center" wrapText="1"/>
    </xf>
    <xf numFmtId="0" fontId="26" fillId="0" borderId="0" xfId="3" applyFont="1" applyAlignment="1">
      <alignment vertical="center"/>
    </xf>
    <xf numFmtId="0" fontId="10" fillId="0" borderId="0" xfId="3" applyAlignment="1">
      <alignment vertical="top" wrapText="1"/>
    </xf>
    <xf numFmtId="0" fontId="9" fillId="6" borderId="0" xfId="3" applyFont="1" applyFill="1" applyAlignment="1">
      <alignment vertical="center" wrapText="1"/>
    </xf>
    <xf numFmtId="0" fontId="10" fillId="6" borderId="0" xfId="3" applyFill="1" applyAlignment="1">
      <alignment vertical="top" wrapText="1"/>
    </xf>
    <xf numFmtId="0" fontId="9" fillId="0" borderId="0" xfId="3" applyFont="1" applyAlignment="1">
      <alignment vertical="center"/>
    </xf>
    <xf numFmtId="0" fontId="10" fillId="0" borderId="0" xfId="3" applyAlignment="1">
      <alignment vertical="top"/>
    </xf>
    <xf numFmtId="2" fontId="10" fillId="0" borderId="0" xfId="3" applyNumberFormat="1" applyAlignment="1">
      <alignment vertical="center"/>
    </xf>
    <xf numFmtId="0" fontId="10" fillId="0" borderId="0" xfId="3" applyAlignment="1">
      <alignment horizontal="center" vertical="center"/>
    </xf>
    <xf numFmtId="0" fontId="9" fillId="6" borderId="28" xfId="3" applyFont="1" applyFill="1" applyBorder="1" applyAlignment="1">
      <alignment horizontal="center" vertical="center"/>
    </xf>
    <xf numFmtId="0" fontId="10" fillId="6" borderId="0" xfId="3" applyFill="1" applyAlignment="1">
      <alignment vertical="center"/>
    </xf>
    <xf numFmtId="0" fontId="9" fillId="6" borderId="0" xfId="3" applyFont="1" applyFill="1" applyAlignment="1">
      <alignment vertical="center"/>
    </xf>
    <xf numFmtId="2" fontId="10" fillId="6" borderId="0" xfId="3" applyNumberFormat="1" applyFill="1" applyAlignment="1">
      <alignment vertical="center"/>
    </xf>
    <xf numFmtId="0" fontId="10" fillId="6" borderId="0" xfId="3" applyFill="1" applyAlignment="1">
      <alignment horizontal="center" vertical="center"/>
    </xf>
    <xf numFmtId="0" fontId="10" fillId="6" borderId="0" xfId="3" applyFill="1" applyAlignment="1">
      <alignment vertical="top"/>
    </xf>
    <xf numFmtId="0" fontId="26" fillId="6" borderId="0" xfId="3" applyFont="1" applyFill="1" applyAlignment="1">
      <alignment vertical="center"/>
    </xf>
    <xf numFmtId="0" fontId="22" fillId="0" borderId="0" xfId="3" applyFont="1" applyAlignment="1">
      <alignment vertical="top"/>
    </xf>
    <xf numFmtId="0" fontId="10" fillId="6" borderId="0" xfId="3" applyFill="1" applyAlignment="1">
      <alignment horizontal="left" vertical="top" wrapText="1"/>
    </xf>
    <xf numFmtId="0" fontId="22" fillId="6" borderId="9" xfId="3" applyFont="1" applyFill="1" applyBorder="1" applyAlignment="1">
      <alignment vertical="top" wrapText="1"/>
    </xf>
    <xf numFmtId="0" fontId="22" fillId="6" borderId="13" xfId="3" applyFont="1" applyFill="1" applyBorder="1" applyAlignment="1">
      <alignment vertical="top" wrapText="1"/>
    </xf>
    <xf numFmtId="0" fontId="10" fillId="4" borderId="0" xfId="3" applyFill="1" applyAlignment="1">
      <alignment horizontal="center" vertical="center" wrapText="1"/>
    </xf>
    <xf numFmtId="0" fontId="10" fillId="4" borderId="13" xfId="3" applyFill="1" applyBorder="1" applyAlignment="1">
      <alignment horizontal="center" vertical="center" wrapText="1"/>
    </xf>
    <xf numFmtId="0" fontId="10" fillId="6" borderId="9" xfId="3" applyFill="1" applyBorder="1" applyAlignment="1">
      <alignment horizontal="center" vertical="center" wrapText="1"/>
    </xf>
    <xf numFmtId="0" fontId="10" fillId="6" borderId="29" xfId="3" applyFill="1" applyBorder="1" applyAlignment="1">
      <alignment horizontal="center" vertical="center" wrapText="1"/>
    </xf>
    <xf numFmtId="0" fontId="9" fillId="4" borderId="99" xfId="0" applyFont="1" applyFill="1" applyBorder="1" applyAlignment="1">
      <alignment horizontal="center" vertical="center"/>
    </xf>
    <xf numFmtId="0" fontId="9" fillId="4" borderId="100" xfId="0" applyFont="1" applyFill="1" applyBorder="1" applyAlignment="1">
      <alignment horizontal="center" vertical="center"/>
    </xf>
    <xf numFmtId="0" fontId="10" fillId="6" borderId="0" xfId="0" applyFont="1" applyFill="1"/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center"/>
    </xf>
    <xf numFmtId="0" fontId="9" fillId="4" borderId="104" xfId="0" applyFont="1" applyFill="1" applyBorder="1" applyAlignment="1">
      <alignment horizontal="center" vertical="center" wrapText="1"/>
    </xf>
    <xf numFmtId="0" fontId="10" fillId="4" borderId="23" xfId="3" applyFill="1" applyBorder="1" applyAlignment="1">
      <alignment horizontal="center" vertical="center" wrapText="1"/>
    </xf>
    <xf numFmtId="0" fontId="10" fillId="4" borderId="23" xfId="3" applyFill="1" applyBorder="1" applyAlignment="1">
      <alignment horizontal="center"/>
    </xf>
    <xf numFmtId="0" fontId="10" fillId="6" borderId="0" xfId="3" applyFill="1" applyAlignment="1" applyProtection="1">
      <alignment horizontal="left" vertical="center"/>
      <protection locked="0"/>
    </xf>
    <xf numFmtId="0" fontId="10" fillId="6" borderId="24" xfId="3" applyFill="1" applyBorder="1" applyAlignment="1" applyProtection="1">
      <alignment horizontal="left" vertical="center"/>
      <protection locked="0"/>
    </xf>
    <xf numFmtId="0" fontId="10" fillId="6" borderId="0" xfId="3" applyFill="1" applyAlignment="1" applyProtection="1">
      <alignment vertical="center"/>
      <protection locked="0"/>
    </xf>
    <xf numFmtId="0" fontId="10" fillId="6" borderId="23" xfId="0" applyFont="1" applyFill="1" applyBorder="1" applyAlignment="1">
      <alignment vertical="center"/>
    </xf>
    <xf numFmtId="0" fontId="15" fillId="6" borderId="0" xfId="0" applyFont="1" applyFill="1" applyAlignment="1">
      <alignment vertical="center"/>
    </xf>
    <xf numFmtId="0" fontId="9" fillId="6" borderId="0" xfId="3" applyFont="1" applyFill="1" applyAlignment="1" applyProtection="1">
      <alignment vertical="center"/>
      <protection locked="0"/>
    </xf>
    <xf numFmtId="0" fontId="9" fillId="6" borderId="58" xfId="0" applyFont="1" applyFill="1" applyBorder="1" applyAlignment="1">
      <alignment vertical="center"/>
    </xf>
    <xf numFmtId="0" fontId="10" fillId="7" borderId="0" xfId="3" applyFill="1"/>
    <xf numFmtId="0" fontId="10" fillId="6" borderId="9" xfId="3" applyFill="1" applyBorder="1" applyAlignment="1">
      <alignment vertical="center"/>
    </xf>
    <xf numFmtId="0" fontId="10" fillId="6" borderId="13" xfId="3" applyFill="1" applyBorder="1" applyAlignment="1">
      <alignment vertical="center"/>
    </xf>
    <xf numFmtId="0" fontId="10" fillId="6" borderId="59" xfId="3" applyFill="1" applyBorder="1" applyAlignment="1">
      <alignment vertical="center"/>
    </xf>
    <xf numFmtId="0" fontId="9" fillId="0" borderId="61" xfId="3" applyFont="1" applyBorder="1" applyAlignment="1">
      <alignment horizontal="center"/>
    </xf>
    <xf numFmtId="0" fontId="9" fillId="0" borderId="60" xfId="3" applyFont="1" applyBorder="1" applyAlignment="1">
      <alignment horizontal="center"/>
    </xf>
    <xf numFmtId="0" fontId="9" fillId="6" borderId="97" xfId="3" applyFont="1" applyFill="1" applyBorder="1" applyAlignment="1">
      <alignment horizontal="center" vertical="center"/>
    </xf>
    <xf numFmtId="0" fontId="9" fillId="6" borderId="0" xfId="3" applyFont="1" applyFill="1" applyAlignment="1">
      <alignment horizontal="center" vertical="center"/>
    </xf>
    <xf numFmtId="0" fontId="9" fillId="6" borderId="9" xfId="3" applyFont="1" applyFill="1" applyBorder="1"/>
    <xf numFmtId="0" fontId="10" fillId="4" borderId="20" xfId="3" applyFill="1" applyBorder="1" applyAlignment="1">
      <alignment horizontal="center"/>
    </xf>
    <xf numFmtId="0" fontId="10" fillId="4" borderId="9" xfId="3" applyFill="1" applyBorder="1" applyAlignment="1">
      <alignment horizontal="center" vertical="center"/>
    </xf>
    <xf numFmtId="0" fontId="22" fillId="6" borderId="0" xfId="3" applyFont="1" applyFill="1" applyAlignment="1">
      <alignment vertical="top" wrapText="1"/>
    </xf>
    <xf numFmtId="0" fontId="10" fillId="6" borderId="83" xfId="3" applyFill="1" applyBorder="1" applyAlignment="1">
      <alignment vertical="center"/>
    </xf>
    <xf numFmtId="0" fontId="10" fillId="6" borderId="28" xfId="3" applyFill="1" applyBorder="1" applyAlignment="1">
      <alignment vertical="center"/>
    </xf>
    <xf numFmtId="0" fontId="10" fillId="7" borderId="0" xfId="3" applyFill="1" applyAlignment="1">
      <alignment vertical="center"/>
    </xf>
    <xf numFmtId="0" fontId="10" fillId="7" borderId="0" xfId="3" applyFill="1" applyAlignment="1">
      <alignment horizontal="right" vertical="center"/>
    </xf>
    <xf numFmtId="0" fontId="10" fillId="7" borderId="0" xfId="3" quotePrefix="1" applyFill="1" applyAlignment="1">
      <alignment horizontal="right" vertical="center"/>
    </xf>
    <xf numFmtId="0" fontId="10" fillId="0" borderId="93" xfId="0" applyFont="1" applyBorder="1" applyAlignment="1">
      <alignment horizontal="center" vertical="center" wrapText="1"/>
    </xf>
    <xf numFmtId="0" fontId="10" fillId="0" borderId="64" xfId="0" applyFont="1" applyBorder="1" applyAlignment="1">
      <alignment horizontal="center" vertical="center" wrapText="1"/>
    </xf>
    <xf numFmtId="0" fontId="10" fillId="0" borderId="76" xfId="0" applyFont="1" applyBorder="1" applyAlignment="1">
      <alignment horizontal="center" vertical="center" wrapText="1"/>
    </xf>
    <xf numFmtId="0" fontId="10" fillId="0" borderId="65" xfId="0" applyFont="1" applyBorder="1" applyAlignment="1">
      <alignment horizontal="center" vertical="center" wrapText="1"/>
    </xf>
    <xf numFmtId="168" fontId="9" fillId="13" borderId="108" xfId="0" applyNumberFormat="1" applyFont="1" applyFill="1" applyBorder="1" applyAlignment="1">
      <alignment horizontal="center" vertical="center" wrapText="1"/>
    </xf>
    <xf numFmtId="0" fontId="9" fillId="6" borderId="0" xfId="0" applyFont="1" applyFill="1"/>
    <xf numFmtId="0" fontId="21" fillId="6" borderId="0" xfId="0" applyFont="1" applyFill="1" applyAlignment="1">
      <alignment horizontal="center" vertical="center" wrapText="1"/>
    </xf>
    <xf numFmtId="0" fontId="21" fillId="14" borderId="25" xfId="0" applyFont="1" applyFill="1" applyBorder="1" applyAlignment="1">
      <alignment horizontal="center" vertical="center" wrapText="1"/>
    </xf>
    <xf numFmtId="0" fontId="21" fillId="14" borderId="10" xfId="0" applyFont="1" applyFill="1" applyBorder="1" applyAlignment="1">
      <alignment horizontal="center" vertical="center" wrapText="1"/>
    </xf>
    <xf numFmtId="0" fontId="21" fillId="14" borderId="1" xfId="0" applyFont="1" applyFill="1" applyBorder="1" applyAlignment="1">
      <alignment horizontal="center" vertical="center" wrapText="1"/>
    </xf>
    <xf numFmtId="0" fontId="21" fillId="14" borderId="11" xfId="0" applyFont="1" applyFill="1" applyBorder="1" applyAlignment="1">
      <alignment horizontal="center" vertical="center" wrapText="1"/>
    </xf>
    <xf numFmtId="0" fontId="21" fillId="14" borderId="29" xfId="0" applyFont="1" applyFill="1" applyBorder="1" applyAlignment="1">
      <alignment horizontal="center" vertical="center" wrapText="1"/>
    </xf>
    <xf numFmtId="0" fontId="21" fillId="14" borderId="3" xfId="0" applyFont="1" applyFill="1" applyBorder="1" applyAlignment="1">
      <alignment horizontal="center" vertical="center" wrapText="1"/>
    </xf>
    <xf numFmtId="0" fontId="21" fillId="14" borderId="107" xfId="0" applyFont="1" applyFill="1" applyBorder="1" applyAlignment="1">
      <alignment horizontal="center" vertical="center" wrapText="1"/>
    </xf>
    <xf numFmtId="0" fontId="21" fillId="14" borderId="108" xfId="0" applyFont="1" applyFill="1" applyBorder="1" applyAlignment="1">
      <alignment horizontal="center" vertical="center" wrapText="1"/>
    </xf>
    <xf numFmtId="0" fontId="21" fillId="14" borderId="109" xfId="0" applyFont="1" applyFill="1" applyBorder="1" applyAlignment="1">
      <alignment horizontal="center" vertical="center" wrapText="1"/>
    </xf>
    <xf numFmtId="0" fontId="21" fillId="14" borderId="111" xfId="0" applyFont="1" applyFill="1" applyBorder="1" applyAlignment="1">
      <alignment horizontal="center" vertical="center" wrapText="1"/>
    </xf>
    <xf numFmtId="2" fontId="10" fillId="0" borderId="5" xfId="0" applyNumberFormat="1" applyFont="1" applyBorder="1" applyAlignment="1">
      <alignment horizontal="center" vertical="center"/>
    </xf>
    <xf numFmtId="2" fontId="10" fillId="0" borderId="69" xfId="0" applyNumberFormat="1" applyFont="1" applyBorder="1" applyAlignment="1">
      <alignment horizontal="center" vertical="center"/>
    </xf>
    <xf numFmtId="2" fontId="10" fillId="0" borderId="23" xfId="0" applyNumberFormat="1" applyFont="1" applyBorder="1" applyAlignment="1">
      <alignment horizontal="center" vertical="center"/>
    </xf>
    <xf numFmtId="2" fontId="10" fillId="0" borderId="67" xfId="0" applyNumberFormat="1" applyFont="1" applyBorder="1" applyAlignment="1">
      <alignment horizontal="center" vertical="center"/>
    </xf>
    <xf numFmtId="2" fontId="10" fillId="0" borderId="21" xfId="0" applyNumberFormat="1" applyFont="1" applyBorder="1" applyAlignment="1">
      <alignment horizontal="center" vertical="center"/>
    </xf>
    <xf numFmtId="2" fontId="10" fillId="0" borderId="19" xfId="0" applyNumberFormat="1" applyFont="1" applyBorder="1" applyAlignment="1">
      <alignment horizontal="center" vertical="center"/>
    </xf>
    <xf numFmtId="0" fontId="10" fillId="6" borderId="74" xfId="0" applyFont="1" applyFill="1" applyBorder="1" applyAlignment="1">
      <alignment vertical="center"/>
    </xf>
    <xf numFmtId="2" fontId="10" fillId="0" borderId="55" xfId="0" applyNumberFormat="1" applyFont="1" applyBorder="1" applyAlignment="1">
      <alignment horizontal="center" vertical="center"/>
    </xf>
    <xf numFmtId="2" fontId="10" fillId="0" borderId="70" xfId="0" applyNumberFormat="1" applyFont="1" applyBorder="1" applyAlignment="1">
      <alignment horizontal="center" vertical="center"/>
    </xf>
    <xf numFmtId="2" fontId="10" fillId="0" borderId="53" xfId="0" applyNumberFormat="1" applyFont="1" applyBorder="1" applyAlignment="1">
      <alignment horizontal="center" vertical="center"/>
    </xf>
    <xf numFmtId="2" fontId="10" fillId="0" borderId="75" xfId="0" applyNumberFormat="1" applyFont="1" applyBorder="1" applyAlignment="1">
      <alignment horizontal="center" vertical="center"/>
    </xf>
    <xf numFmtId="2" fontId="10" fillId="0" borderId="81" xfId="0" applyNumberFormat="1" applyFont="1" applyBorder="1" applyAlignment="1">
      <alignment horizontal="center" vertical="center"/>
    </xf>
    <xf numFmtId="2" fontId="10" fillId="0" borderId="51" xfId="0" applyNumberFormat="1" applyFont="1" applyBorder="1" applyAlignment="1">
      <alignment horizontal="center" vertical="center"/>
    </xf>
    <xf numFmtId="0" fontId="9" fillId="4" borderId="98" xfId="0" applyFont="1" applyFill="1" applyBorder="1" applyAlignment="1">
      <alignment horizontal="center" vertical="center"/>
    </xf>
    <xf numFmtId="2" fontId="20" fillId="0" borderId="17" xfId="0" applyNumberFormat="1" applyFont="1" applyBorder="1" applyAlignment="1">
      <alignment horizontal="center" vertical="center"/>
    </xf>
    <xf numFmtId="2" fontId="20" fillId="0" borderId="73" xfId="0" applyNumberFormat="1" applyFont="1" applyBorder="1" applyAlignment="1">
      <alignment horizontal="center" vertical="center"/>
    </xf>
    <xf numFmtId="2" fontId="20" fillId="0" borderId="63" xfId="0" applyNumberFormat="1" applyFont="1" applyBorder="1" applyAlignment="1">
      <alignment horizontal="center" vertical="center"/>
    </xf>
    <xf numFmtId="2" fontId="20" fillId="0" borderId="62" xfId="0" applyNumberFormat="1" applyFont="1" applyBorder="1" applyAlignment="1">
      <alignment horizontal="center" vertical="center"/>
    </xf>
    <xf numFmtId="2" fontId="20" fillId="0" borderId="74" xfId="0" applyNumberFormat="1" applyFont="1" applyBorder="1" applyAlignment="1">
      <alignment horizontal="center" vertical="center"/>
    </xf>
    <xf numFmtId="2" fontId="20" fillId="0" borderId="106" xfId="0" applyNumberFormat="1" applyFont="1" applyBorder="1" applyAlignment="1">
      <alignment horizontal="center" vertical="center"/>
    </xf>
    <xf numFmtId="0" fontId="14" fillId="6" borderId="0" xfId="24" applyFont="1" applyFill="1" applyAlignment="1">
      <alignment vertical="center"/>
    </xf>
    <xf numFmtId="0" fontId="20" fillId="6" borderId="0" xfId="2" applyFont="1" applyFill="1" applyAlignment="1">
      <alignment vertical="center"/>
    </xf>
    <xf numFmtId="0" fontId="39" fillId="6" borderId="0" xfId="2" applyFont="1" applyFill="1" applyAlignment="1">
      <alignment vertical="center"/>
    </xf>
    <xf numFmtId="0" fontId="39" fillId="6" borderId="0" xfId="2" applyFont="1" applyFill="1" applyAlignment="1">
      <alignment horizontal="center" vertical="center"/>
    </xf>
    <xf numFmtId="167" fontId="39" fillId="6" borderId="0" xfId="2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65" fontId="39" fillId="6" borderId="0" xfId="2" applyNumberFormat="1" applyFont="1" applyFill="1" applyAlignment="1">
      <alignment vertical="center"/>
    </xf>
    <xf numFmtId="0" fontId="39" fillId="0" borderId="23" xfId="2" applyFont="1" applyBorder="1" applyAlignment="1">
      <alignment vertical="center"/>
    </xf>
    <xf numFmtId="0" fontId="39" fillId="0" borderId="23" xfId="2" applyFont="1" applyBorder="1" applyAlignment="1">
      <alignment vertical="center" wrapText="1"/>
    </xf>
    <xf numFmtId="0" fontId="39" fillId="6" borderId="21" xfId="2" applyFont="1" applyFill="1" applyBorder="1" applyAlignment="1">
      <alignment vertical="center"/>
    </xf>
    <xf numFmtId="0" fontId="39" fillId="6" borderId="21" xfId="2" applyFont="1" applyFill="1" applyBorder="1" applyAlignment="1">
      <alignment horizontal="center" vertical="center"/>
    </xf>
    <xf numFmtId="1" fontId="39" fillId="6" borderId="21" xfId="2" applyNumberFormat="1" applyFont="1" applyFill="1" applyBorder="1" applyAlignment="1">
      <alignment horizontal="center" vertical="center"/>
    </xf>
    <xf numFmtId="0" fontId="39" fillId="6" borderId="23" xfId="2" applyFont="1" applyFill="1" applyBorder="1" applyAlignment="1">
      <alignment horizontal="center" vertical="center"/>
    </xf>
    <xf numFmtId="168" fontId="9" fillId="6" borderId="54" xfId="1" applyNumberFormat="1" applyFont="1" applyFill="1" applyBorder="1" applyAlignment="1">
      <alignment horizontal="right" vertical="center"/>
    </xf>
    <xf numFmtId="11" fontId="20" fillId="0" borderId="26" xfId="2" applyNumberFormat="1" applyFont="1" applyBorder="1" applyAlignment="1">
      <alignment horizontal="right" vertical="center"/>
    </xf>
    <xf numFmtId="165" fontId="20" fillId="0" borderId="26" xfId="2" applyNumberFormat="1" applyFont="1" applyBorder="1" applyAlignment="1">
      <alignment horizontal="right" vertical="center"/>
    </xf>
    <xf numFmtId="0" fontId="39" fillId="0" borderId="24" xfId="24" applyFont="1" applyBorder="1" applyAlignment="1">
      <alignment horizontal="center" vertical="center"/>
    </xf>
    <xf numFmtId="0" fontId="39" fillId="0" borderId="48" xfId="24" applyFont="1" applyBorder="1" applyAlignment="1">
      <alignment horizontal="center" vertical="center"/>
    </xf>
    <xf numFmtId="0" fontId="39" fillId="0" borderId="56" xfId="24" applyFont="1" applyBorder="1" applyAlignment="1">
      <alignment horizontal="center" vertical="center"/>
    </xf>
    <xf numFmtId="0" fontId="39" fillId="0" borderId="27" xfId="24" applyFont="1" applyBorder="1" applyAlignment="1">
      <alignment vertical="center"/>
    </xf>
    <xf numFmtId="0" fontId="39" fillId="0" borderId="96" xfId="24" applyFont="1" applyBorder="1" applyAlignment="1">
      <alignment vertical="center"/>
    </xf>
    <xf numFmtId="0" fontId="39" fillId="4" borderId="78" xfId="24" applyFont="1" applyFill="1" applyBorder="1" applyAlignment="1">
      <alignment horizontal="center" vertical="center"/>
    </xf>
    <xf numFmtId="0" fontId="39" fillId="6" borderId="77" xfId="24" applyFont="1" applyFill="1" applyBorder="1" applyAlignment="1">
      <alignment horizontal="center" vertical="center"/>
    </xf>
    <xf numFmtId="0" fontId="39" fillId="6" borderId="24" xfId="24" applyFont="1" applyFill="1" applyBorder="1" applyAlignment="1">
      <alignment horizontal="center" vertical="center"/>
    </xf>
    <xf numFmtId="0" fontId="39" fillId="6" borderId="48" xfId="24" applyFont="1" applyFill="1" applyBorder="1" applyAlignment="1">
      <alignment horizontal="center" vertical="center"/>
    </xf>
    <xf numFmtId="0" fontId="39" fillId="6" borderId="56" xfId="24" applyFont="1" applyFill="1" applyBorder="1" applyAlignment="1">
      <alignment horizontal="center" vertical="center"/>
    </xf>
    <xf numFmtId="0" fontId="39" fillId="6" borderId="6" xfId="24" applyFont="1" applyFill="1" applyBorder="1" applyAlignment="1">
      <alignment horizontal="center" vertical="center"/>
    </xf>
    <xf numFmtId="0" fontId="20" fillId="6" borderId="0" xfId="24" applyFont="1" applyFill="1" applyAlignment="1">
      <alignment vertical="center"/>
    </xf>
    <xf numFmtId="0" fontId="39" fillId="6" borderId="23" xfId="24" applyFont="1" applyFill="1" applyBorder="1" applyAlignment="1">
      <alignment vertical="center"/>
    </xf>
    <xf numFmtId="0" fontId="10" fillId="7" borderId="23" xfId="0" applyFont="1" applyFill="1" applyBorder="1" applyAlignment="1">
      <alignment vertical="center"/>
    </xf>
    <xf numFmtId="0" fontId="39" fillId="7" borderId="23" xfId="24" applyFont="1" applyFill="1" applyBorder="1" applyAlignment="1">
      <alignment vertical="center"/>
    </xf>
    <xf numFmtId="0" fontId="20" fillId="6" borderId="0" xfId="2" applyFont="1" applyFill="1" applyAlignment="1">
      <alignment horizontal="center" vertical="center"/>
    </xf>
    <xf numFmtId="0" fontId="0" fillId="6" borderId="0" xfId="0" applyFill="1"/>
    <xf numFmtId="2" fontId="10" fillId="12" borderId="34" xfId="3" applyNumberFormat="1" applyFill="1" applyBorder="1" applyAlignment="1" applyProtection="1">
      <alignment horizontal="right" vertical="center"/>
      <protection hidden="1"/>
    </xf>
    <xf numFmtId="2" fontId="10" fillId="12" borderId="35" xfId="3" applyNumberFormat="1" applyFill="1" applyBorder="1" applyAlignment="1" applyProtection="1">
      <alignment horizontal="right" vertical="center"/>
      <protection hidden="1"/>
    </xf>
    <xf numFmtId="2" fontId="10" fillId="12" borderId="36" xfId="3" applyNumberFormat="1" applyFill="1" applyBorder="1" applyAlignment="1" applyProtection="1">
      <alignment horizontal="right" vertical="center"/>
      <protection hidden="1"/>
    </xf>
    <xf numFmtId="165" fontId="10" fillId="7" borderId="37" xfId="3" applyNumberFormat="1" applyFill="1" applyBorder="1" applyAlignment="1" applyProtection="1">
      <alignment horizontal="right" vertical="center"/>
      <protection hidden="1"/>
    </xf>
    <xf numFmtId="2" fontId="10" fillId="12" borderId="38" xfId="3" applyNumberFormat="1" applyFill="1" applyBorder="1" applyAlignment="1" applyProtection="1">
      <alignment horizontal="right" vertical="center"/>
      <protection hidden="1"/>
    </xf>
    <xf numFmtId="167" fontId="10" fillId="7" borderId="37" xfId="3" applyNumberFormat="1" applyFill="1" applyBorder="1" applyAlignment="1" applyProtection="1">
      <alignment horizontal="right" vertical="center"/>
      <protection hidden="1"/>
    </xf>
    <xf numFmtId="2" fontId="10" fillId="12" borderId="41" xfId="3" applyNumberFormat="1" applyFill="1" applyBorder="1" applyAlignment="1" applyProtection="1">
      <alignment horizontal="right" vertical="center"/>
      <protection hidden="1"/>
    </xf>
    <xf numFmtId="2" fontId="10" fillId="6" borderId="23" xfId="0" applyNumberFormat="1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10" fillId="6" borderId="62" xfId="0" applyFont="1" applyFill="1" applyBorder="1" applyAlignment="1">
      <alignment horizontal="center" vertical="center"/>
    </xf>
    <xf numFmtId="0" fontId="9" fillId="4" borderId="74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0" fillId="6" borderId="62" xfId="0" applyFill="1" applyBorder="1" applyAlignment="1">
      <alignment horizontal="center" vertical="center"/>
    </xf>
    <xf numFmtId="0" fontId="10" fillId="6" borderId="62" xfId="0" quotePrefix="1" applyFont="1" applyFill="1" applyBorder="1" applyAlignment="1">
      <alignment horizontal="center" vertical="center"/>
    </xf>
    <xf numFmtId="0" fontId="0" fillId="6" borderId="63" xfId="0" applyFill="1" applyBorder="1" applyAlignment="1">
      <alignment vertical="center"/>
    </xf>
    <xf numFmtId="1" fontId="0" fillId="6" borderId="62" xfId="0" applyNumberFormat="1" applyFill="1" applyBorder="1" applyAlignment="1">
      <alignment vertical="center"/>
    </xf>
    <xf numFmtId="0" fontId="0" fillId="6" borderId="9" xfId="0" applyFill="1" applyBorder="1" applyAlignment="1">
      <alignment vertical="center"/>
    </xf>
    <xf numFmtId="0" fontId="10" fillId="6" borderId="3" xfId="0" applyFont="1" applyFill="1" applyBorder="1" applyAlignment="1">
      <alignment vertical="center"/>
    </xf>
    <xf numFmtId="1" fontId="9" fillId="4" borderId="98" xfId="0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42" fillId="4" borderId="0" xfId="0" applyFont="1" applyFill="1" applyAlignment="1">
      <alignment vertical="center"/>
    </xf>
    <xf numFmtId="0" fontId="39" fillId="4" borderId="0" xfId="0" applyFont="1" applyFill="1" applyAlignment="1">
      <alignment vertical="center"/>
    </xf>
    <xf numFmtId="0" fontId="9" fillId="4" borderId="98" xfId="0" applyFont="1" applyFill="1" applyBorder="1" applyAlignment="1">
      <alignment vertical="center"/>
    </xf>
    <xf numFmtId="0" fontId="0" fillId="6" borderId="3" xfId="0" applyFill="1" applyBorder="1" applyAlignment="1">
      <alignment vertical="center"/>
    </xf>
    <xf numFmtId="0" fontId="0" fillId="8" borderId="0" xfId="0" applyFill="1" applyAlignment="1">
      <alignment vertical="center"/>
    </xf>
    <xf numFmtId="0" fontId="0" fillId="6" borderId="74" xfId="0" applyFill="1" applyBorder="1" applyAlignment="1">
      <alignment vertical="center"/>
    </xf>
    <xf numFmtId="0" fontId="0" fillId="6" borderId="62" xfId="0" applyFill="1" applyBorder="1" applyAlignment="1">
      <alignment vertical="center"/>
    </xf>
    <xf numFmtId="0" fontId="10" fillId="0" borderId="23" xfId="3" applyBorder="1" applyAlignment="1">
      <alignment horizontal="left" vertical="center"/>
    </xf>
    <xf numFmtId="0" fontId="10" fillId="0" borderId="23" xfId="0" applyFont="1" applyBorder="1" applyAlignment="1">
      <alignment horizontal="left" vertical="center"/>
    </xf>
    <xf numFmtId="0" fontId="9" fillId="9" borderId="23" xfId="3" applyFont="1" applyFill="1" applyBorder="1" applyAlignment="1">
      <alignment horizontal="left" vertical="center"/>
    </xf>
    <xf numFmtId="0" fontId="10" fillId="9" borderId="23" xfId="0" applyFont="1" applyFill="1" applyBorder="1" applyAlignment="1">
      <alignment horizontal="left" vertical="center"/>
    </xf>
    <xf numFmtId="0" fontId="15" fillId="0" borderId="23" xfId="3" applyFont="1" applyBorder="1" applyAlignment="1">
      <alignment horizontal="left" vertical="center"/>
    </xf>
    <xf numFmtId="0" fontId="15" fillId="6" borderId="0" xfId="3" applyFont="1" applyFill="1" applyAlignment="1">
      <alignment vertical="center"/>
    </xf>
    <xf numFmtId="0" fontId="9" fillId="8" borderId="24" xfId="0" applyFont="1" applyFill="1" applyBorder="1" applyAlignment="1">
      <alignment vertical="center"/>
    </xf>
    <xf numFmtId="0" fontId="10" fillId="6" borderId="0" xfId="3" applyFill="1" applyAlignment="1">
      <alignment wrapText="1"/>
    </xf>
    <xf numFmtId="0" fontId="10" fillId="6" borderId="27" xfId="3" applyFill="1" applyBorder="1" applyAlignment="1">
      <alignment horizontal="center" vertical="center" wrapText="1"/>
    </xf>
    <xf numFmtId="2" fontId="10" fillId="6" borderId="27" xfId="3" applyNumberFormat="1" applyFill="1" applyBorder="1" applyAlignment="1">
      <alignment horizontal="center" vertical="center" wrapText="1"/>
    </xf>
    <xf numFmtId="0" fontId="9" fillId="6" borderId="27" xfId="3" applyFont="1" applyFill="1" applyBorder="1" applyAlignment="1">
      <alignment horizontal="center" wrapText="1"/>
    </xf>
    <xf numFmtId="0" fontId="10" fillId="6" borderId="27" xfId="3" applyFill="1" applyBorder="1" applyAlignment="1">
      <alignment horizontal="center" wrapText="1"/>
    </xf>
    <xf numFmtId="0" fontId="9" fillId="6" borderId="27" xfId="3" applyFont="1" applyFill="1" applyBorder="1"/>
    <xf numFmtId="0" fontId="9" fillId="8" borderId="48" xfId="0" applyFont="1" applyFill="1" applyBorder="1" applyAlignment="1">
      <alignment vertical="center"/>
    </xf>
    <xf numFmtId="0" fontId="39" fillId="6" borderId="0" xfId="24" applyFont="1" applyFill="1" applyAlignment="1">
      <alignment horizontal="right" vertical="center"/>
    </xf>
    <xf numFmtId="0" fontId="39" fillId="6" borderId="0" xfId="24" applyFont="1" applyFill="1" applyAlignment="1">
      <alignment horizontal="center" vertical="center"/>
    </xf>
    <xf numFmtId="0" fontId="22" fillId="6" borderId="0" xfId="3" applyFont="1" applyFill="1" applyAlignment="1">
      <alignment vertical="top"/>
    </xf>
    <xf numFmtId="0" fontId="29" fillId="6" borderId="0" xfId="3" applyFont="1" applyFill="1" applyAlignment="1">
      <alignment vertical="top"/>
    </xf>
    <xf numFmtId="0" fontId="10" fillId="7" borderId="0" xfId="3" applyFill="1" applyAlignment="1">
      <alignment vertical="top" wrapText="1"/>
    </xf>
    <xf numFmtId="0" fontId="22" fillId="7" borderId="0" xfId="3" applyFont="1" applyFill="1" applyAlignment="1">
      <alignment vertical="top"/>
    </xf>
    <xf numFmtId="0" fontId="10" fillId="7" borderId="0" xfId="3" applyFill="1" applyAlignment="1">
      <alignment vertical="center" wrapText="1"/>
    </xf>
    <xf numFmtId="0" fontId="9" fillId="7" borderId="0" xfId="3" applyFont="1" applyFill="1" applyAlignment="1">
      <alignment vertical="center" wrapText="1"/>
    </xf>
    <xf numFmtId="2" fontId="10" fillId="7" borderId="0" xfId="3" applyNumberFormat="1" applyFill="1" applyAlignment="1">
      <alignment vertical="center" wrapText="1"/>
    </xf>
    <xf numFmtId="0" fontId="22" fillId="7" borderId="0" xfId="3" applyFont="1" applyFill="1" applyAlignment="1">
      <alignment horizontal="left" vertical="top" wrapText="1"/>
    </xf>
    <xf numFmtId="0" fontId="10" fillId="7" borderId="0" xfId="3" applyFill="1" applyAlignment="1">
      <alignment wrapText="1"/>
    </xf>
    <xf numFmtId="0" fontId="30" fillId="7" borderId="0" xfId="3" applyFont="1" applyFill="1" applyAlignment="1">
      <alignment vertical="center" wrapText="1"/>
    </xf>
    <xf numFmtId="0" fontId="9" fillId="7" borderId="0" xfId="3" applyFont="1" applyFill="1" applyAlignment="1">
      <alignment vertical="center"/>
    </xf>
    <xf numFmtId="0" fontId="31" fillId="7" borderId="0" xfId="3" applyFont="1" applyFill="1" applyAlignment="1">
      <alignment vertical="top" wrapText="1"/>
    </xf>
    <xf numFmtId="0" fontId="31" fillId="7" borderId="0" xfId="3" applyFont="1" applyFill="1" applyAlignment="1">
      <alignment vertical="center" wrapText="1"/>
    </xf>
    <xf numFmtId="0" fontId="22" fillId="7" borderId="0" xfId="3" applyFont="1" applyFill="1" applyAlignment="1">
      <alignment vertical="top" wrapText="1"/>
    </xf>
    <xf numFmtId="0" fontId="32" fillId="7" borderId="0" xfId="3" applyFont="1" applyFill="1" applyAlignment="1">
      <alignment vertical="top" wrapText="1"/>
    </xf>
    <xf numFmtId="0" fontId="10" fillId="0" borderId="23" xfId="3" applyFont="1" applyFill="1" applyBorder="1" applyAlignment="1">
      <alignment horizontal="left" vertical="center"/>
    </xf>
    <xf numFmtId="0" fontId="10" fillId="7" borderId="0" xfId="3" applyFill="1" applyAlignment="1">
      <alignment horizontal="center" vertical="center"/>
    </xf>
    <xf numFmtId="0" fontId="20" fillId="4" borderId="150" xfId="2" applyFont="1" applyFill="1" applyBorder="1" applyAlignment="1">
      <alignment horizontal="center" vertical="center"/>
    </xf>
    <xf numFmtId="0" fontId="39" fillId="23" borderId="0" xfId="2" applyFont="1" applyFill="1" applyAlignment="1">
      <alignment vertical="center"/>
    </xf>
    <xf numFmtId="0" fontId="39" fillId="6" borderId="0" xfId="2" applyFont="1" applyFill="1" applyBorder="1" applyAlignment="1">
      <alignment horizontal="left" vertical="center"/>
    </xf>
    <xf numFmtId="167" fontId="10" fillId="6" borderId="0" xfId="3" applyNumberFormat="1" applyFont="1" applyFill="1" applyAlignment="1">
      <alignment horizontal="center" vertical="center"/>
    </xf>
    <xf numFmtId="0" fontId="10" fillId="23" borderId="0" xfId="0" applyFont="1" applyFill="1" applyAlignment="1">
      <alignment vertical="center"/>
    </xf>
    <xf numFmtId="0" fontId="20" fillId="23" borderId="0" xfId="2" applyFont="1" applyFill="1" applyAlignment="1">
      <alignment vertical="center"/>
    </xf>
    <xf numFmtId="167" fontId="39" fillId="6" borderId="151" xfId="2" applyNumberFormat="1" applyFont="1" applyFill="1" applyBorder="1" applyAlignment="1">
      <alignment horizontal="center" vertical="center"/>
    </xf>
    <xf numFmtId="167" fontId="39" fillId="6" borderId="26" xfId="2" applyNumberFormat="1" applyFont="1" applyFill="1" applyBorder="1" applyAlignment="1">
      <alignment horizontal="center" vertical="center"/>
    </xf>
    <xf numFmtId="0" fontId="20" fillId="4" borderId="109" xfId="2" applyFont="1" applyFill="1" applyBorder="1" applyAlignment="1">
      <alignment horizontal="center" vertical="center"/>
    </xf>
    <xf numFmtId="167" fontId="39" fillId="6" borderId="50" xfId="2" applyNumberFormat="1" applyFont="1" applyFill="1" applyBorder="1" applyAlignment="1">
      <alignment horizontal="center" vertical="center"/>
    </xf>
    <xf numFmtId="167" fontId="39" fillId="6" borderId="66" xfId="2" applyNumberFormat="1" applyFont="1" applyFill="1" applyBorder="1" applyAlignment="1">
      <alignment horizontal="center" vertical="center"/>
    </xf>
    <xf numFmtId="167" fontId="10" fillId="6" borderId="27" xfId="3" applyNumberFormat="1" applyFont="1" applyFill="1" applyBorder="1" applyAlignment="1">
      <alignment horizontal="center" vertical="center"/>
    </xf>
    <xf numFmtId="167" fontId="39" fillId="6" borderId="52" xfId="2" applyNumberFormat="1" applyFont="1" applyFill="1" applyBorder="1" applyAlignment="1">
      <alignment horizontal="center" vertical="center"/>
    </xf>
    <xf numFmtId="167" fontId="10" fillId="6" borderId="28" xfId="3" applyNumberFormat="1" applyFont="1" applyFill="1" applyBorder="1" applyAlignment="1">
      <alignment horizontal="center" vertical="center"/>
    </xf>
    <xf numFmtId="167" fontId="10" fillId="6" borderId="50" xfId="3" applyNumberFormat="1" applyFont="1" applyFill="1" applyBorder="1" applyAlignment="1">
      <alignment horizontal="center" vertical="center"/>
    </xf>
    <xf numFmtId="167" fontId="39" fillId="5" borderId="28" xfId="3" applyNumberFormat="1" applyFont="1" applyFill="1" applyBorder="1" applyAlignment="1">
      <alignment horizontal="center" vertical="center"/>
    </xf>
    <xf numFmtId="167" fontId="10" fillId="6" borderId="66" xfId="0" applyNumberFormat="1" applyFont="1" applyFill="1" applyBorder="1" applyAlignment="1">
      <alignment horizontal="center" vertical="center"/>
    </xf>
    <xf numFmtId="167" fontId="10" fillId="6" borderId="27" xfId="0" applyNumberFormat="1" applyFont="1" applyFill="1" applyBorder="1" applyAlignment="1">
      <alignment horizontal="center" vertical="center"/>
    </xf>
    <xf numFmtId="167" fontId="10" fillId="6" borderId="28" xfId="0" applyNumberFormat="1" applyFont="1" applyFill="1" applyBorder="1" applyAlignment="1">
      <alignment horizontal="center" vertical="center"/>
    </xf>
    <xf numFmtId="0" fontId="10" fillId="7" borderId="23" xfId="3" applyFill="1" applyBorder="1" applyAlignment="1">
      <alignment horizontal="center" vertical="center"/>
    </xf>
    <xf numFmtId="1" fontId="10" fillId="7" borderId="21" xfId="3" applyNumberFormat="1" applyFill="1" applyBorder="1" applyAlignment="1">
      <alignment horizontal="center" vertical="center"/>
    </xf>
    <xf numFmtId="0" fontId="10" fillId="7" borderId="105" xfId="3" applyFill="1" applyBorder="1" applyAlignment="1">
      <alignment horizontal="center" vertical="center"/>
    </xf>
    <xf numFmtId="2" fontId="10" fillId="7" borderId="12" xfId="3" applyNumberFormat="1" applyFill="1" applyBorder="1" applyAlignment="1">
      <alignment horizontal="center" vertical="center"/>
    </xf>
    <xf numFmtId="0" fontId="10" fillId="7" borderId="21" xfId="3" applyFill="1" applyBorder="1" applyAlignment="1">
      <alignment horizontal="center" vertical="center"/>
    </xf>
    <xf numFmtId="2" fontId="10" fillId="7" borderId="0" xfId="3" applyNumberFormat="1" applyFill="1" applyAlignment="1">
      <alignment vertical="center"/>
    </xf>
    <xf numFmtId="0" fontId="9" fillId="10" borderId="12" xfId="3" applyFont="1" applyFill="1" applyBorder="1" applyAlignment="1">
      <alignment horizontal="left" vertical="center"/>
    </xf>
    <xf numFmtId="2" fontId="10" fillId="6" borderId="2" xfId="3" applyNumberFormat="1" applyFill="1" applyBorder="1" applyAlignment="1" applyProtection="1">
      <alignment horizontal="center" vertical="center"/>
      <protection locked="0"/>
    </xf>
    <xf numFmtId="0" fontId="10" fillId="7" borderId="11" xfId="3" quotePrefix="1" applyFill="1" applyBorder="1" applyAlignment="1">
      <alignment horizontal="right" vertical="center"/>
    </xf>
    <xf numFmtId="0" fontId="10" fillId="7" borderId="29" xfId="3" quotePrefix="1" applyFill="1" applyBorder="1" applyAlignment="1">
      <alignment horizontal="right" vertical="center"/>
    </xf>
    <xf numFmtId="2" fontId="10" fillId="11" borderId="25" xfId="3" applyNumberFormat="1" applyFill="1" applyBorder="1" applyAlignment="1">
      <alignment horizontal="left" vertical="center"/>
    </xf>
    <xf numFmtId="0" fontId="10" fillId="11" borderId="10" xfId="3" applyFill="1" applyBorder="1" applyAlignment="1">
      <alignment horizontal="left" vertical="center"/>
    </xf>
    <xf numFmtId="2" fontId="10" fillId="11" borderId="10" xfId="3" applyNumberFormat="1" applyFill="1" applyBorder="1" applyAlignment="1">
      <alignment horizontal="left" vertical="center"/>
    </xf>
    <xf numFmtId="0" fontId="10" fillId="11" borderId="10" xfId="3" applyFill="1" applyBorder="1" applyAlignment="1">
      <alignment horizontal="right" vertical="center"/>
    </xf>
    <xf numFmtId="0" fontId="10" fillId="7" borderId="9" xfId="3" applyFill="1" applyBorder="1" applyAlignment="1">
      <alignment horizontal="right" vertical="center"/>
    </xf>
    <xf numFmtId="0" fontId="10" fillId="7" borderId="0" xfId="3" applyFill="1" applyAlignment="1">
      <alignment horizontal="left" vertical="center"/>
    </xf>
    <xf numFmtId="2" fontId="10" fillId="11" borderId="9" xfId="3" applyNumberFormat="1" applyFill="1" applyBorder="1" applyAlignment="1">
      <alignment horizontal="left" vertical="center"/>
    </xf>
    <xf numFmtId="2" fontId="10" fillId="11" borderId="0" xfId="3" applyNumberFormat="1" applyFill="1" applyAlignment="1">
      <alignment horizontal="left" vertical="center"/>
    </xf>
    <xf numFmtId="0" fontId="10" fillId="11" borderId="0" xfId="3" applyFill="1" applyAlignment="1">
      <alignment horizontal="left" vertical="center"/>
    </xf>
    <xf numFmtId="0" fontId="10" fillId="11" borderId="0" xfId="3" applyFill="1" applyAlignment="1">
      <alignment horizontal="right" vertical="center"/>
    </xf>
    <xf numFmtId="0" fontId="10" fillId="11" borderId="29" xfId="3" applyFill="1" applyBorder="1" applyAlignment="1">
      <alignment horizontal="left" vertical="center"/>
    </xf>
    <xf numFmtId="0" fontId="10" fillId="11" borderId="29" xfId="3" applyFill="1" applyBorder="1" applyAlignment="1">
      <alignment horizontal="right" vertical="center"/>
    </xf>
    <xf numFmtId="2" fontId="10" fillId="12" borderId="30" xfId="3" applyNumberFormat="1" applyFill="1" applyBorder="1" applyAlignment="1" applyProtection="1">
      <alignment horizontal="right" vertical="center"/>
      <protection hidden="1"/>
    </xf>
    <xf numFmtId="2" fontId="10" fillId="12" borderId="31" xfId="3" applyNumberFormat="1" applyFill="1" applyBorder="1" applyAlignment="1" applyProtection="1">
      <alignment horizontal="right" vertical="center"/>
      <protection hidden="1"/>
    </xf>
    <xf numFmtId="0" fontId="10" fillId="12" borderId="31" xfId="3" applyFill="1" applyBorder="1" applyAlignment="1" applyProtection="1">
      <alignment vertical="center"/>
      <protection hidden="1"/>
    </xf>
    <xf numFmtId="0" fontId="10" fillId="12" borderId="32" xfId="3" applyFill="1" applyBorder="1" applyAlignment="1" applyProtection="1">
      <alignment horizontal="right" vertical="center"/>
      <protection hidden="1"/>
    </xf>
    <xf numFmtId="0" fontId="10" fillId="6" borderId="33" xfId="3" applyFill="1" applyBorder="1" applyAlignment="1" applyProtection="1">
      <alignment horizontal="right" vertical="center"/>
      <protection locked="0"/>
    </xf>
    <xf numFmtId="0" fontId="10" fillId="12" borderId="34" xfId="3" applyFill="1" applyBorder="1" applyAlignment="1" applyProtection="1">
      <alignment horizontal="right" vertical="center"/>
      <protection hidden="1"/>
    </xf>
    <xf numFmtId="0" fontId="10" fillId="12" borderId="35" xfId="3" applyFill="1" applyBorder="1" applyAlignment="1" applyProtection="1">
      <alignment horizontal="right" vertical="center"/>
      <protection hidden="1"/>
    </xf>
    <xf numFmtId="0" fontId="10" fillId="12" borderId="35" xfId="3" applyFill="1" applyBorder="1" applyAlignment="1" applyProtection="1">
      <alignment vertical="center"/>
      <protection hidden="1"/>
    </xf>
    <xf numFmtId="0" fontId="10" fillId="12" borderId="36" xfId="3" applyFill="1" applyBorder="1" applyAlignment="1" applyProtection="1">
      <alignment horizontal="right" vertical="center"/>
      <protection hidden="1"/>
    </xf>
    <xf numFmtId="0" fontId="10" fillId="7" borderId="37" xfId="3" applyFill="1" applyBorder="1" applyAlignment="1" applyProtection="1">
      <alignment horizontal="right" vertical="center"/>
      <protection hidden="1"/>
    </xf>
    <xf numFmtId="2" fontId="10" fillId="7" borderId="9" xfId="3" applyNumberFormat="1" applyFill="1" applyBorder="1" applyAlignment="1">
      <alignment horizontal="right" vertical="center"/>
    </xf>
    <xf numFmtId="2" fontId="10" fillId="7" borderId="37" xfId="3" applyNumberFormat="1" applyFill="1" applyBorder="1" applyAlignment="1" applyProtection="1">
      <alignment horizontal="right" vertical="center"/>
      <protection hidden="1"/>
    </xf>
    <xf numFmtId="167" fontId="10" fillId="7" borderId="39" xfId="3" applyNumberFormat="1" applyFill="1" applyBorder="1" applyAlignment="1" applyProtection="1">
      <alignment horizontal="right" vertical="center"/>
      <protection hidden="1"/>
    </xf>
    <xf numFmtId="2" fontId="10" fillId="12" borderId="40" xfId="3" applyNumberFormat="1" applyFill="1" applyBorder="1" applyAlignment="1" applyProtection="1">
      <alignment horizontal="right" vertical="center"/>
      <protection hidden="1"/>
    </xf>
    <xf numFmtId="2" fontId="10" fillId="7" borderId="39" xfId="3" applyNumberFormat="1" applyFill="1" applyBorder="1" applyAlignment="1" applyProtection="1">
      <alignment horizontal="right" vertical="center"/>
      <protection hidden="1"/>
    </xf>
    <xf numFmtId="2" fontId="10" fillId="12" borderId="42" xfId="3" applyNumberFormat="1" applyFill="1" applyBorder="1" applyAlignment="1" applyProtection="1">
      <alignment horizontal="right" vertical="center"/>
      <protection hidden="1"/>
    </xf>
    <xf numFmtId="165" fontId="10" fillId="7" borderId="43" xfId="3" applyNumberFormat="1" applyFill="1" applyBorder="1" applyAlignment="1" applyProtection="1">
      <alignment horizontal="right" vertical="center"/>
      <protection hidden="1"/>
    </xf>
    <xf numFmtId="2" fontId="10" fillId="7" borderId="0" xfId="3" applyNumberFormat="1" applyFill="1" applyAlignment="1">
      <alignment horizontal="right" vertical="center"/>
    </xf>
    <xf numFmtId="165" fontId="10" fillId="7" borderId="39" xfId="3" applyNumberFormat="1" applyFill="1" applyBorder="1" applyAlignment="1" applyProtection="1">
      <alignment horizontal="right" vertical="center"/>
      <protection hidden="1"/>
    </xf>
    <xf numFmtId="2" fontId="10" fillId="7" borderId="44" xfId="3" applyNumberFormat="1" applyFill="1" applyBorder="1" applyAlignment="1" applyProtection="1">
      <alignment horizontal="right" vertical="center"/>
      <protection hidden="1"/>
    </xf>
    <xf numFmtId="1" fontId="10" fillId="7" borderId="39" xfId="3" applyNumberFormat="1" applyFill="1" applyBorder="1" applyAlignment="1" applyProtection="1">
      <alignment horizontal="right" vertical="center"/>
      <protection hidden="1"/>
    </xf>
    <xf numFmtId="0" fontId="10" fillId="7" borderId="39" xfId="3" applyFill="1" applyBorder="1" applyAlignment="1" applyProtection="1">
      <alignment horizontal="right" vertical="center"/>
      <protection hidden="1"/>
    </xf>
    <xf numFmtId="164" fontId="10" fillId="7" borderId="39" xfId="3" applyNumberFormat="1" applyFill="1" applyBorder="1" applyAlignment="1" applyProtection="1">
      <alignment horizontal="right" vertical="center"/>
      <protection hidden="1"/>
    </xf>
    <xf numFmtId="0" fontId="10" fillId="12" borderId="45" xfId="3" applyFill="1" applyBorder="1" applyAlignment="1" applyProtection="1">
      <alignment horizontal="right" vertical="center"/>
      <protection hidden="1"/>
    </xf>
    <xf numFmtId="0" fontId="10" fillId="12" borderId="46" xfId="3" applyFill="1" applyBorder="1" applyAlignment="1" applyProtection="1">
      <alignment horizontal="right" vertical="center"/>
      <protection hidden="1"/>
    </xf>
    <xf numFmtId="0" fontId="10" fillId="12" borderId="46" xfId="3" applyFill="1" applyBorder="1" applyAlignment="1" applyProtection="1">
      <alignment vertical="center"/>
      <protection hidden="1"/>
    </xf>
    <xf numFmtId="0" fontId="10" fillId="12" borderId="47" xfId="3" applyFill="1" applyBorder="1" applyAlignment="1" applyProtection="1">
      <alignment horizontal="right" vertical="center"/>
      <protection hidden="1"/>
    </xf>
    <xf numFmtId="0" fontId="10" fillId="6" borderId="48" xfId="3" applyFill="1" applyBorder="1" applyAlignment="1" applyProtection="1">
      <alignment horizontal="center" vertical="center"/>
      <protection locked="0"/>
    </xf>
    <xf numFmtId="164" fontId="10" fillId="7" borderId="0" xfId="3" applyNumberFormat="1" applyFill="1" applyAlignment="1">
      <alignment horizontal="right" vertical="center"/>
    </xf>
    <xf numFmtId="0" fontId="10" fillId="7" borderId="23" xfId="3" applyFill="1" applyBorder="1" applyAlignment="1">
      <alignment vertical="center"/>
    </xf>
    <xf numFmtId="0" fontId="10" fillId="7" borderId="21" xfId="3" applyFill="1" applyBorder="1" applyAlignment="1">
      <alignment vertical="center"/>
    </xf>
    <xf numFmtId="2" fontId="10" fillId="7" borderId="0" xfId="3" applyNumberFormat="1" applyFill="1" applyBorder="1" applyAlignment="1">
      <alignment horizontal="center" vertical="center"/>
    </xf>
    <xf numFmtId="0" fontId="39" fillId="6" borderId="0" xfId="24" applyFont="1" applyFill="1" applyAlignment="1">
      <alignment vertical="center"/>
    </xf>
    <xf numFmtId="0" fontId="39" fillId="6" borderId="0" xfId="24" applyFont="1" applyFill="1" applyAlignment="1">
      <alignment vertical="center"/>
    </xf>
    <xf numFmtId="0" fontId="31" fillId="6" borderId="0" xfId="3" applyFont="1" applyFill="1" applyAlignment="1" applyProtection="1">
      <alignment vertical="center"/>
      <protection locked="0"/>
    </xf>
    <xf numFmtId="2" fontId="10" fillId="6" borderId="0" xfId="0" applyNumberFormat="1" applyFont="1" applyFill="1" applyBorder="1" applyAlignment="1">
      <alignment horizontal="center" vertical="center"/>
    </xf>
    <xf numFmtId="0" fontId="10" fillId="6" borderId="53" xfId="0" applyFont="1" applyFill="1" applyBorder="1" applyAlignment="1">
      <alignment vertical="center"/>
    </xf>
    <xf numFmtId="0" fontId="39" fillId="6" borderId="53" xfId="24" applyFont="1" applyFill="1" applyBorder="1" applyAlignment="1">
      <alignment vertical="center"/>
    </xf>
    <xf numFmtId="0" fontId="10" fillId="8" borderId="53" xfId="0" applyFont="1" applyFill="1" applyBorder="1" applyAlignment="1">
      <alignment vertical="center"/>
    </xf>
    <xf numFmtId="0" fontId="10" fillId="7" borderId="53" xfId="0" applyFont="1" applyFill="1" applyBorder="1" applyAlignment="1">
      <alignment vertical="center"/>
    </xf>
    <xf numFmtId="0" fontId="39" fillId="8" borderId="53" xfId="24" applyFont="1" applyFill="1" applyBorder="1" applyAlignment="1">
      <alignment vertical="center"/>
    </xf>
    <xf numFmtId="0" fontId="39" fillId="7" borderId="53" xfId="24" applyFont="1" applyFill="1" applyBorder="1" applyAlignment="1">
      <alignment vertical="center"/>
    </xf>
    <xf numFmtId="0" fontId="10" fillId="6" borderId="26" xfId="0" applyFont="1" applyFill="1" applyBorder="1" applyAlignment="1">
      <alignment vertical="center"/>
    </xf>
    <xf numFmtId="0" fontId="39" fillId="6" borderId="26" xfId="24" applyFont="1" applyFill="1" applyBorder="1" applyAlignment="1">
      <alignment vertical="center"/>
    </xf>
    <xf numFmtId="0" fontId="10" fillId="7" borderId="26" xfId="0" applyFont="1" applyFill="1" applyBorder="1" applyAlignment="1">
      <alignment vertical="center"/>
    </xf>
    <xf numFmtId="0" fontId="39" fillId="7" borderId="26" xfId="24" applyFont="1" applyFill="1" applyBorder="1" applyAlignment="1">
      <alignment vertical="center"/>
    </xf>
    <xf numFmtId="0" fontId="39" fillId="7" borderId="51" xfId="24" applyFont="1" applyFill="1" applyBorder="1" applyAlignment="1">
      <alignment vertical="center"/>
    </xf>
    <xf numFmtId="0" fontId="39" fillId="7" borderId="19" xfId="24" applyFont="1" applyFill="1" applyBorder="1" applyAlignment="1">
      <alignment vertical="center"/>
    </xf>
    <xf numFmtId="0" fontId="39" fillId="7" borderId="50" xfId="24" applyFont="1" applyFill="1" applyBorder="1" applyAlignment="1">
      <alignment vertical="center"/>
    </xf>
    <xf numFmtId="0" fontId="20" fillId="4" borderId="81" xfId="24" applyFont="1" applyFill="1" applyBorder="1" applyAlignment="1">
      <alignment vertical="center"/>
    </xf>
    <xf numFmtId="0" fontId="9" fillId="4" borderId="21" xfId="0" applyFont="1" applyFill="1" applyBorder="1" applyAlignment="1">
      <alignment horizontal="center" vertical="center"/>
    </xf>
    <xf numFmtId="0" fontId="9" fillId="4" borderId="52" xfId="0" applyFont="1" applyFill="1" applyBorder="1" applyAlignment="1">
      <alignment horizontal="center" vertical="center"/>
    </xf>
    <xf numFmtId="0" fontId="9" fillId="22" borderId="23" xfId="3" applyFont="1" applyFill="1" applyBorder="1" applyAlignment="1">
      <alignment horizontal="left" vertical="center"/>
    </xf>
    <xf numFmtId="0" fontId="9" fillId="4" borderId="23" xfId="0" applyFont="1" applyFill="1" applyBorder="1" applyAlignment="1">
      <alignment horizontal="center" vertical="center"/>
    </xf>
    <xf numFmtId="0" fontId="10" fillId="6" borderId="58" xfId="0" applyFont="1" applyFill="1" applyBorder="1" applyAlignment="1">
      <alignment vertical="center"/>
    </xf>
    <xf numFmtId="0" fontId="10" fillId="6" borderId="20" xfId="0" applyFont="1" applyFill="1" applyBorder="1" applyAlignment="1">
      <alignment vertical="center"/>
    </xf>
    <xf numFmtId="0" fontId="10" fillId="6" borderId="21" xfId="0" applyFont="1" applyFill="1" applyBorder="1" applyAlignment="1">
      <alignment vertical="center"/>
    </xf>
    <xf numFmtId="0" fontId="9" fillId="6" borderId="23" xfId="0" applyFont="1" applyFill="1" applyBorder="1" applyAlignment="1">
      <alignment vertical="center"/>
    </xf>
    <xf numFmtId="0" fontId="10" fillId="4" borderId="23" xfId="0" applyFont="1" applyFill="1" applyBorder="1" applyAlignment="1">
      <alignment horizontal="center" vertical="center" wrapText="1"/>
    </xf>
    <xf numFmtId="0" fontId="9" fillId="4" borderId="61" xfId="0" applyFont="1" applyFill="1" applyBorder="1" applyAlignment="1">
      <alignment vertical="center"/>
    </xf>
    <xf numFmtId="0" fontId="10" fillId="4" borderId="153" xfId="0" applyFont="1" applyFill="1" applyBorder="1" applyAlignment="1">
      <alignment vertical="center"/>
    </xf>
    <xf numFmtId="0" fontId="10" fillId="4" borderId="105" xfId="0" applyFont="1" applyFill="1" applyBorder="1" applyAlignment="1">
      <alignment vertical="center"/>
    </xf>
    <xf numFmtId="0" fontId="10" fillId="4" borderId="152" xfId="0" applyFont="1" applyFill="1" applyBorder="1" applyAlignment="1">
      <alignment vertical="center"/>
    </xf>
    <xf numFmtId="0" fontId="10" fillId="6" borderId="77" xfId="0" applyFont="1" applyFill="1" applyBorder="1" applyAlignment="1">
      <alignment vertical="center"/>
    </xf>
    <xf numFmtId="0" fontId="10" fillId="6" borderId="24" xfId="0" applyFont="1" applyFill="1" applyBorder="1" applyAlignment="1">
      <alignment vertical="center"/>
    </xf>
    <xf numFmtId="0" fontId="9" fillId="6" borderId="60" xfId="0" applyFont="1" applyFill="1" applyBorder="1" applyAlignment="1">
      <alignment vertical="center"/>
    </xf>
    <xf numFmtId="0" fontId="9" fillId="6" borderId="0" xfId="0" applyFont="1" applyFill="1" applyAlignment="1">
      <alignment vertical="center"/>
    </xf>
    <xf numFmtId="0" fontId="10" fillId="6" borderId="67" xfId="0" applyFont="1" applyFill="1" applyBorder="1" applyAlignment="1">
      <alignment vertical="center"/>
    </xf>
    <xf numFmtId="0" fontId="10" fillId="4" borderId="69" xfId="0" applyFont="1" applyFill="1" applyBorder="1" applyAlignment="1">
      <alignment vertical="center"/>
    </xf>
    <xf numFmtId="0" fontId="10" fillId="4" borderId="56" xfId="0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6" borderId="0" xfId="0" applyFont="1" applyFill="1" applyBorder="1" applyAlignment="1">
      <alignment vertical="center"/>
    </xf>
    <xf numFmtId="0" fontId="9" fillId="4" borderId="23" xfId="0" applyFont="1" applyFill="1" applyBorder="1" applyAlignment="1">
      <alignment vertical="center"/>
    </xf>
    <xf numFmtId="0" fontId="10" fillId="0" borderId="23" xfId="0" applyFont="1" applyBorder="1" applyAlignment="1">
      <alignment vertical="center"/>
    </xf>
    <xf numFmtId="166" fontId="10" fillId="0" borderId="23" xfId="0" applyNumberFormat="1" applyFont="1" applyBorder="1" applyAlignment="1">
      <alignment vertical="center"/>
    </xf>
    <xf numFmtId="2" fontId="10" fillId="6" borderId="0" xfId="0" applyNumberFormat="1" applyFont="1" applyFill="1" applyAlignment="1">
      <alignment vertical="center"/>
    </xf>
    <xf numFmtId="2" fontId="10" fillId="6" borderId="23" xfId="0" applyNumberFormat="1" applyFont="1" applyFill="1" applyBorder="1" applyAlignment="1">
      <alignment vertical="center"/>
    </xf>
    <xf numFmtId="2" fontId="9" fillId="4" borderId="23" xfId="0" applyNumberFormat="1" applyFont="1" applyFill="1" applyBorder="1" applyAlignment="1">
      <alignment vertical="center"/>
    </xf>
    <xf numFmtId="0" fontId="10" fillId="4" borderId="23" xfId="0" applyFont="1" applyFill="1" applyBorder="1" applyAlignment="1">
      <alignment horizontal="center" vertical="center"/>
    </xf>
    <xf numFmtId="2" fontId="10" fillId="0" borderId="23" xfId="0" applyNumberFormat="1" applyFont="1" applyBorder="1" applyAlignment="1">
      <alignment vertical="center"/>
    </xf>
    <xf numFmtId="0" fontId="10" fillId="0" borderId="23" xfId="0" applyFont="1" applyBorder="1" applyAlignment="1">
      <alignment horizontal="center" vertical="center"/>
    </xf>
    <xf numFmtId="166" fontId="10" fillId="6" borderId="23" xfId="0" applyNumberFormat="1" applyFont="1" applyFill="1" applyBorder="1" applyAlignment="1">
      <alignment vertical="center"/>
    </xf>
    <xf numFmtId="0" fontId="10" fillId="6" borderId="19" xfId="0" applyFont="1" applyFill="1" applyBorder="1" applyAlignment="1">
      <alignment vertical="center"/>
    </xf>
    <xf numFmtId="2" fontId="10" fillId="6" borderId="0" xfId="0" applyNumberFormat="1" applyFont="1" applyFill="1" applyBorder="1" applyAlignment="1">
      <alignment vertical="center"/>
    </xf>
    <xf numFmtId="0" fontId="0" fillId="0" borderId="23" xfId="0" applyBorder="1" applyAlignment="1">
      <alignment vertical="center"/>
    </xf>
    <xf numFmtId="0" fontId="10" fillId="6" borderId="23" xfId="0" quotePrefix="1" applyFont="1" applyFill="1" applyBorder="1" applyAlignment="1">
      <alignment vertical="center"/>
    </xf>
    <xf numFmtId="0" fontId="10" fillId="6" borderId="23" xfId="3" applyFill="1" applyBorder="1" applyAlignment="1">
      <alignment horizontal="left" vertical="center"/>
    </xf>
    <xf numFmtId="0" fontId="10" fillId="6" borderId="23" xfId="0" applyFont="1" applyFill="1" applyBorder="1" applyAlignment="1">
      <alignment horizontal="left" vertical="center"/>
    </xf>
    <xf numFmtId="0" fontId="10" fillId="8" borderId="23" xfId="0" applyFont="1" applyFill="1" applyBorder="1" applyAlignment="1">
      <alignment horizontal="left" vertical="center"/>
    </xf>
    <xf numFmtId="0" fontId="10" fillId="5" borderId="0" xfId="0" applyFont="1" applyFill="1" applyAlignment="1">
      <alignment horizontal="center" vertical="center" wrapText="1"/>
    </xf>
    <xf numFmtId="0" fontId="10" fillId="5" borderId="72" xfId="0" applyFont="1" applyFill="1" applyBorder="1" applyAlignment="1">
      <alignment horizontal="center" vertical="center" wrapText="1"/>
    </xf>
    <xf numFmtId="0" fontId="10" fillId="5" borderId="27" xfId="0" quotePrefix="1" applyFont="1" applyFill="1" applyBorder="1" applyAlignment="1">
      <alignment horizontal="center" vertical="center" wrapText="1"/>
    </xf>
    <xf numFmtId="0" fontId="10" fillId="5" borderId="27" xfId="0" applyFont="1" applyFill="1" applyBorder="1" applyAlignment="1">
      <alignment horizontal="center" vertical="center" wrapText="1"/>
    </xf>
    <xf numFmtId="0" fontId="10" fillId="5" borderId="96" xfId="0" applyFont="1" applyFill="1" applyBorder="1" applyAlignment="1">
      <alignment horizontal="center" vertical="center" wrapText="1"/>
    </xf>
    <xf numFmtId="0" fontId="10" fillId="5" borderId="66" xfId="0" applyFont="1" applyFill="1" applyBorder="1" applyAlignment="1">
      <alignment horizontal="center" vertical="center" wrapText="1"/>
    </xf>
    <xf numFmtId="0" fontId="10" fillId="5" borderId="28" xfId="0" quotePrefix="1" applyFont="1" applyFill="1" applyBorder="1" applyAlignment="1">
      <alignment horizontal="center" vertical="center" wrapText="1"/>
    </xf>
    <xf numFmtId="0" fontId="10" fillId="5" borderId="96" xfId="0" quotePrefix="1" applyFont="1" applyFill="1" applyBorder="1" applyAlignment="1">
      <alignment horizontal="center" vertical="center" wrapText="1"/>
    </xf>
    <xf numFmtId="0" fontId="10" fillId="5" borderId="70" xfId="0" quotePrefix="1" applyFont="1" applyFill="1" applyBorder="1" applyAlignment="1">
      <alignment horizontal="center" vertical="center" wrapText="1"/>
    </xf>
    <xf numFmtId="0" fontId="10" fillId="5" borderId="53" xfId="0" quotePrefix="1" applyFont="1" applyFill="1" applyBorder="1" applyAlignment="1">
      <alignment horizontal="center" vertical="center" wrapText="1"/>
    </xf>
    <xf numFmtId="0" fontId="10" fillId="5" borderId="51" xfId="0" quotePrefix="1" applyFont="1" applyFill="1" applyBorder="1" applyAlignment="1">
      <alignment horizontal="center" vertical="center" wrapText="1"/>
    </xf>
    <xf numFmtId="0" fontId="10" fillId="5" borderId="75" xfId="0" quotePrefix="1" applyFont="1" applyFill="1" applyBorder="1" applyAlignment="1">
      <alignment horizontal="center" vertical="center" wrapText="1"/>
    </xf>
    <xf numFmtId="0" fontId="10" fillId="5" borderId="81" xfId="0" quotePrefix="1" applyFont="1" applyFill="1" applyBorder="1" applyAlignment="1">
      <alignment horizontal="center" vertical="center" wrapText="1"/>
    </xf>
    <xf numFmtId="0" fontId="10" fillId="5" borderId="51" xfId="0" applyFont="1" applyFill="1" applyBorder="1" applyAlignment="1">
      <alignment horizontal="center" vertical="center" wrapText="1"/>
    </xf>
    <xf numFmtId="0" fontId="10" fillId="5" borderId="75" xfId="0" applyFont="1" applyFill="1" applyBorder="1" applyAlignment="1">
      <alignment horizontal="center" vertical="center" wrapText="1"/>
    </xf>
    <xf numFmtId="0" fontId="10" fillId="5" borderId="70" xfId="0" applyFont="1" applyFill="1" applyBorder="1" applyAlignment="1">
      <alignment horizontal="center" vertical="center" wrapText="1"/>
    </xf>
    <xf numFmtId="0" fontId="10" fillId="5" borderId="81" xfId="0" applyFont="1" applyFill="1" applyBorder="1" applyAlignment="1">
      <alignment horizontal="center" vertical="center" wrapText="1"/>
    </xf>
    <xf numFmtId="0" fontId="10" fillId="6" borderId="23" xfId="3" applyNumberFormat="1" applyFill="1" applyBorder="1" applyAlignment="1" applyProtection="1">
      <alignment horizontal="center" vertical="center"/>
      <protection locked="0"/>
    </xf>
    <xf numFmtId="0" fontId="10" fillId="23" borderId="0" xfId="0" applyNumberFormat="1" applyFont="1" applyFill="1" applyAlignment="1">
      <alignment horizontal="center" vertical="center"/>
    </xf>
    <xf numFmtId="0" fontId="50" fillId="6" borderId="0" xfId="0" applyNumberFormat="1" applyFont="1" applyFill="1" applyAlignment="1">
      <alignment vertical="center"/>
    </xf>
    <xf numFmtId="0" fontId="50" fillId="6" borderId="0" xfId="0" applyNumberFormat="1" applyFont="1" applyFill="1" applyAlignment="1">
      <alignment horizontal="center" vertical="center"/>
    </xf>
    <xf numFmtId="0" fontId="10" fillId="6" borderId="0" xfId="0" applyNumberFormat="1" applyFont="1" applyFill="1" applyAlignment="1">
      <alignment horizontal="center" vertical="center"/>
    </xf>
    <xf numFmtId="0" fontId="10" fillId="23" borderId="0" xfId="0" applyNumberFormat="1" applyFont="1" applyFill="1" applyAlignment="1">
      <alignment horizontal="center" vertical="center" wrapText="1"/>
    </xf>
    <xf numFmtId="0" fontId="10" fillId="4" borderId="23" xfId="0" applyNumberFormat="1" applyFont="1" applyFill="1" applyBorder="1" applyAlignment="1">
      <alignment horizontal="center" vertical="center" wrapText="1"/>
    </xf>
    <xf numFmtId="0" fontId="10" fillId="6" borderId="0" xfId="0" applyNumberFormat="1" applyFont="1" applyFill="1" applyAlignment="1">
      <alignment horizontal="center" vertical="center" wrapText="1"/>
    </xf>
    <xf numFmtId="0" fontId="10" fillId="24" borderId="23" xfId="0" applyNumberFormat="1" applyFont="1" applyFill="1" applyBorder="1" applyAlignment="1">
      <alignment horizontal="left" vertical="center"/>
    </xf>
    <xf numFmtId="0" fontId="10" fillId="24" borderId="23" xfId="3" applyNumberFormat="1" applyFont="1" applyFill="1" applyBorder="1" applyAlignment="1" applyProtection="1">
      <alignment horizontal="center" vertical="center"/>
      <protection locked="0"/>
    </xf>
    <xf numFmtId="0" fontId="10" fillId="24" borderId="23" xfId="3" applyNumberFormat="1" applyFont="1" applyFill="1" applyBorder="1" applyAlignment="1" applyProtection="1">
      <alignment horizontal="left" vertical="center"/>
      <protection locked="0"/>
    </xf>
    <xf numFmtId="0" fontId="10" fillId="24" borderId="23" xfId="0" applyNumberFormat="1" applyFont="1" applyFill="1" applyBorder="1" applyAlignment="1">
      <alignment horizontal="center" vertical="center"/>
    </xf>
    <xf numFmtId="0" fontId="10" fillId="24" borderId="23" xfId="3" applyNumberFormat="1" applyFill="1" applyBorder="1" applyAlignment="1" applyProtection="1">
      <alignment horizontal="center" vertical="center"/>
      <protection locked="0"/>
    </xf>
    <xf numFmtId="0" fontId="10" fillId="24" borderId="23" xfId="0" applyNumberFormat="1" applyFont="1" applyFill="1" applyBorder="1" applyAlignment="1">
      <alignment vertical="center"/>
    </xf>
    <xf numFmtId="0" fontId="10" fillId="24" borderId="23" xfId="3" applyNumberFormat="1" applyFont="1" applyFill="1" applyBorder="1" applyAlignment="1" applyProtection="1">
      <alignment horizontal="center" vertical="center" wrapText="1"/>
      <protection locked="0"/>
    </xf>
    <xf numFmtId="0" fontId="10" fillId="24" borderId="23" xfId="3" applyNumberFormat="1" applyFont="1" applyFill="1" applyBorder="1" applyAlignment="1" applyProtection="1">
      <alignment vertical="center"/>
      <protection locked="0"/>
    </xf>
    <xf numFmtId="0" fontId="10" fillId="24" borderId="21" xfId="0" applyNumberFormat="1" applyFont="1" applyFill="1" applyBorder="1" applyAlignment="1">
      <alignment horizontal="left" vertical="center"/>
    </xf>
    <xf numFmtId="0" fontId="10" fillId="24" borderId="19" xfId="3" applyNumberFormat="1" applyFont="1" applyFill="1" applyBorder="1" applyAlignment="1" applyProtection="1">
      <alignment vertical="center"/>
      <protection locked="0"/>
    </xf>
    <xf numFmtId="0" fontId="10" fillId="25" borderId="23" xfId="0" applyNumberFormat="1" applyFont="1" applyFill="1" applyBorder="1" applyAlignment="1">
      <alignment horizontal="left" vertical="center"/>
    </xf>
    <xf numFmtId="0" fontId="10" fillId="25" borderId="23" xfId="0" applyNumberFormat="1" applyFont="1" applyFill="1" applyBorder="1" applyAlignment="1">
      <alignment horizontal="center" vertical="center"/>
    </xf>
    <xf numFmtId="0" fontId="10" fillId="25" borderId="23" xfId="3" applyNumberFormat="1" applyFont="1" applyFill="1" applyBorder="1" applyAlignment="1" applyProtection="1">
      <alignment vertical="center"/>
      <protection locked="0"/>
    </xf>
    <xf numFmtId="0" fontId="10" fillId="25" borderId="23" xfId="3" applyNumberFormat="1" applyFont="1" applyFill="1" applyBorder="1" applyAlignment="1" applyProtection="1">
      <alignment horizontal="center" vertical="center"/>
      <protection locked="0"/>
    </xf>
    <xf numFmtId="0" fontId="10" fillId="25" borderId="23" xfId="3" applyNumberFormat="1" applyFont="1" applyFill="1" applyBorder="1" applyAlignment="1" applyProtection="1">
      <alignment horizontal="center" vertical="center" wrapText="1"/>
      <protection locked="0"/>
    </xf>
    <xf numFmtId="0" fontId="10" fillId="25" borderId="23" xfId="3" applyNumberFormat="1" applyFont="1" applyFill="1" applyBorder="1" applyAlignment="1" applyProtection="1">
      <alignment horizontal="left" vertical="center"/>
      <protection locked="0"/>
    </xf>
    <xf numFmtId="0" fontId="10" fillId="25" borderId="21" xfId="0" applyNumberFormat="1" applyFont="1" applyFill="1" applyBorder="1" applyAlignment="1">
      <alignment vertical="center"/>
    </xf>
    <xf numFmtId="0" fontId="10" fillId="25" borderId="21" xfId="3" applyNumberFormat="1" applyFont="1" applyFill="1" applyBorder="1" applyAlignment="1" applyProtection="1">
      <alignment horizontal="left" vertical="center"/>
      <protection locked="0"/>
    </xf>
    <xf numFmtId="0" fontId="10" fillId="6" borderId="0" xfId="0" applyNumberFormat="1" applyFont="1" applyFill="1" applyAlignment="1">
      <alignment horizontal="left" vertical="center"/>
    </xf>
    <xf numFmtId="0" fontId="10" fillId="6" borderId="23" xfId="3" applyNumberFormat="1" applyFont="1" applyFill="1" applyBorder="1" applyAlignment="1" applyProtection="1">
      <alignment vertical="center"/>
      <protection locked="0"/>
    </xf>
    <xf numFmtId="0" fontId="10" fillId="6" borderId="23" xfId="3" applyNumberFormat="1" applyFont="1" applyFill="1" applyBorder="1" applyAlignment="1" applyProtection="1">
      <alignment horizontal="left" vertical="center"/>
      <protection locked="0"/>
    </xf>
    <xf numFmtId="0" fontId="10" fillId="6" borderId="23" xfId="3" applyNumberFormat="1" applyFill="1" applyBorder="1" applyAlignment="1" applyProtection="1">
      <alignment horizontal="left" vertical="center"/>
      <protection locked="0"/>
    </xf>
    <xf numFmtId="0" fontId="10" fillId="6" borderId="23" xfId="0" applyNumberFormat="1" applyFont="1" applyFill="1" applyBorder="1" applyAlignment="1">
      <alignment horizontal="center" vertical="center"/>
    </xf>
    <xf numFmtId="0" fontId="10" fillId="6" borderId="23" xfId="0" applyNumberFormat="1" applyFont="1" applyFill="1" applyBorder="1" applyAlignment="1">
      <alignment horizontal="left" vertical="center"/>
    </xf>
    <xf numFmtId="0" fontId="10" fillId="6" borderId="23" xfId="0" applyNumberFormat="1" applyFont="1" applyFill="1" applyBorder="1" applyAlignment="1">
      <alignment vertical="center"/>
    </xf>
    <xf numFmtId="0" fontId="10" fillId="4" borderId="23" xfId="3" applyNumberFormat="1" applyFont="1" applyFill="1" applyBorder="1" applyAlignment="1" applyProtection="1">
      <alignment horizontal="center" vertical="center"/>
      <protection locked="0"/>
    </xf>
    <xf numFmtId="0" fontId="10" fillId="25" borderId="21" xfId="0" applyNumberFormat="1" applyFont="1" applyFill="1" applyBorder="1" applyAlignment="1">
      <alignment horizontal="left" vertical="center"/>
    </xf>
    <xf numFmtId="2" fontId="10" fillId="6" borderId="23" xfId="3" applyNumberFormat="1" applyFill="1" applyBorder="1" applyAlignment="1" applyProtection="1">
      <alignment horizontal="center" vertical="center"/>
      <protection locked="0"/>
    </xf>
    <xf numFmtId="0" fontId="9" fillId="23" borderId="0" xfId="0" applyFont="1" applyFill="1" applyAlignment="1">
      <alignment vertical="center"/>
    </xf>
    <xf numFmtId="2" fontId="9" fillId="6" borderId="23" xfId="0" applyNumberFormat="1" applyFont="1" applyFill="1" applyBorder="1" applyAlignment="1">
      <alignment vertical="center"/>
    </xf>
    <xf numFmtId="0" fontId="10" fillId="6" borderId="23" xfId="0" applyFont="1" applyFill="1" applyBorder="1" applyAlignment="1">
      <alignment horizontal="center" vertical="center"/>
    </xf>
    <xf numFmtId="0" fontId="10" fillId="4" borderId="81" xfId="0" applyNumberFormat="1" applyFont="1" applyFill="1" applyBorder="1" applyAlignment="1">
      <alignment horizontal="center" vertical="center" wrapText="1"/>
    </xf>
    <xf numFmtId="0" fontId="10" fillId="4" borderId="52" xfId="0" applyNumberFormat="1" applyFont="1" applyFill="1" applyBorder="1" applyAlignment="1">
      <alignment horizontal="center" vertical="center" wrapText="1"/>
    </xf>
    <xf numFmtId="2" fontId="10" fillId="0" borderId="71" xfId="0" applyNumberFormat="1" applyFont="1" applyBorder="1" applyAlignment="1">
      <alignment horizontal="center" vertical="center"/>
    </xf>
    <xf numFmtId="2" fontId="10" fillId="0" borderId="26" xfId="0" applyNumberFormat="1" applyFont="1" applyBorder="1" applyAlignment="1">
      <alignment horizontal="center" vertical="center"/>
    </xf>
    <xf numFmtId="2" fontId="10" fillId="0" borderId="57" xfId="0" applyNumberFormat="1" applyFont="1" applyBorder="1" applyAlignment="1">
      <alignment horizontal="center" vertical="center"/>
    </xf>
    <xf numFmtId="2" fontId="10" fillId="0" borderId="52" xfId="0" applyNumberFormat="1" applyFont="1" applyBorder="1" applyAlignment="1">
      <alignment horizontal="center" vertical="center"/>
    </xf>
    <xf numFmtId="2" fontId="10" fillId="0" borderId="50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2" fontId="10" fillId="0" borderId="54" xfId="0" applyNumberFormat="1" applyFont="1" applyBorder="1" applyAlignment="1">
      <alignment horizontal="center" vertical="center"/>
    </xf>
    <xf numFmtId="0" fontId="10" fillId="0" borderId="63" xfId="0" applyFont="1" applyBorder="1" applyAlignment="1">
      <alignment horizontal="center" vertical="center"/>
    </xf>
    <xf numFmtId="0" fontId="10" fillId="0" borderId="62" xfId="0" applyFont="1" applyBorder="1" applyAlignment="1">
      <alignment horizontal="center" vertical="center"/>
    </xf>
    <xf numFmtId="0" fontId="10" fillId="0" borderId="106" xfId="0" applyFont="1" applyBorder="1" applyAlignment="1">
      <alignment horizontal="center" vertical="center"/>
    </xf>
    <xf numFmtId="0" fontId="10" fillId="0" borderId="74" xfId="0" applyFont="1" applyBorder="1" applyAlignment="1">
      <alignment horizontal="center" vertical="center"/>
    </xf>
    <xf numFmtId="0" fontId="10" fillId="0" borderId="73" xfId="0" applyFont="1" applyBorder="1" applyAlignment="1">
      <alignment horizontal="center" vertical="center"/>
    </xf>
    <xf numFmtId="0" fontId="9" fillId="4" borderId="103" xfId="0" applyFont="1" applyFill="1" applyBorder="1" applyAlignment="1">
      <alignment horizontal="center" vertical="center"/>
    </xf>
    <xf numFmtId="2" fontId="10" fillId="7" borderId="0" xfId="3" applyNumberFormat="1" applyFill="1" applyAlignment="1">
      <alignment horizontal="center" vertical="center"/>
    </xf>
    <xf numFmtId="0" fontId="10" fillId="22" borderId="23" xfId="3" applyFill="1" applyBorder="1" applyAlignment="1">
      <alignment horizontal="left" vertical="center"/>
    </xf>
    <xf numFmtId="1" fontId="10" fillId="7" borderId="0" xfId="3" applyNumberFormat="1" applyFill="1" applyAlignment="1">
      <alignment horizontal="center" vertical="center"/>
    </xf>
    <xf numFmtId="167" fontId="10" fillId="7" borderId="37" xfId="3" quotePrefix="1" applyNumberFormat="1" applyFill="1" applyBorder="1" applyAlignment="1" applyProtection="1">
      <alignment horizontal="right" vertical="center"/>
      <protection hidden="1"/>
    </xf>
    <xf numFmtId="2" fontId="10" fillId="7" borderId="154" xfId="3" applyNumberFormat="1" applyFill="1" applyBorder="1" applyAlignment="1" applyProtection="1">
      <alignment horizontal="right" vertical="center"/>
      <protection hidden="1"/>
    </xf>
    <xf numFmtId="164" fontId="10" fillId="7" borderId="39" xfId="3" quotePrefix="1" applyNumberFormat="1" applyFill="1" applyBorder="1" applyAlignment="1" applyProtection="1">
      <alignment horizontal="right" vertical="center"/>
      <protection hidden="1"/>
    </xf>
    <xf numFmtId="0" fontId="10" fillId="7" borderId="0" xfId="3" applyFill="1" applyBorder="1" applyAlignment="1">
      <alignment horizontal="center" vertical="center"/>
    </xf>
    <xf numFmtId="0" fontId="9" fillId="7" borderId="0" xfId="3" quotePrefix="1" applyFont="1" applyFill="1" applyAlignment="1">
      <alignment horizontal="center" vertical="center"/>
    </xf>
    <xf numFmtId="0" fontId="10" fillId="6" borderId="23" xfId="3" applyNumberFormat="1" applyFill="1" applyBorder="1" applyAlignment="1" applyProtection="1">
      <alignment vertical="center"/>
      <protection locked="0"/>
    </xf>
    <xf numFmtId="0" fontId="9" fillId="4" borderId="105" xfId="3" applyFont="1" applyFill="1" applyBorder="1" applyAlignment="1" applyProtection="1">
      <alignment horizontal="center" vertical="center"/>
      <protection locked="0"/>
    </xf>
    <xf numFmtId="0" fontId="10" fillId="6" borderId="21" xfId="3" applyFill="1" applyBorder="1" applyAlignment="1" applyProtection="1">
      <alignment horizontal="center" vertical="center"/>
      <protection locked="0"/>
    </xf>
    <xf numFmtId="0" fontId="9" fillId="4" borderId="105" xfId="3" applyFont="1" applyFill="1" applyBorder="1" applyAlignment="1" applyProtection="1">
      <alignment horizontal="center" vertical="center" wrapText="1"/>
      <protection locked="0"/>
    </xf>
    <xf numFmtId="0" fontId="9" fillId="6" borderId="21" xfId="3" applyFont="1" applyFill="1" applyBorder="1" applyAlignment="1">
      <alignment vertical="center"/>
    </xf>
    <xf numFmtId="0" fontId="9" fillId="6" borderId="23" xfId="3" applyFont="1" applyFill="1" applyBorder="1" applyAlignment="1">
      <alignment vertical="center"/>
    </xf>
    <xf numFmtId="0" fontId="9" fillId="6" borderId="26" xfId="3" applyFont="1" applyFill="1" applyBorder="1" applyAlignment="1">
      <alignment vertical="center"/>
    </xf>
    <xf numFmtId="0" fontId="10" fillId="6" borderId="21" xfId="3" applyFill="1" applyBorder="1" applyAlignment="1">
      <alignment horizontal="left" vertical="center"/>
    </xf>
    <xf numFmtId="0" fontId="9" fillId="6" borderId="52" xfId="3" applyFont="1" applyFill="1" applyBorder="1" applyAlignment="1">
      <alignment vertical="center"/>
    </xf>
    <xf numFmtId="0" fontId="9" fillId="0" borderId="52" xfId="3" applyFont="1" applyBorder="1" applyAlignment="1">
      <alignment vertical="center"/>
    </xf>
    <xf numFmtId="0" fontId="9" fillId="0" borderId="26" xfId="3" applyFont="1" applyBorder="1" applyAlignment="1">
      <alignment vertical="center"/>
    </xf>
    <xf numFmtId="0" fontId="9" fillId="0" borderId="23" xfId="3" applyFont="1" applyBorder="1" applyAlignment="1">
      <alignment vertical="center"/>
    </xf>
    <xf numFmtId="0" fontId="9" fillId="0" borderId="21" xfId="3" applyFont="1" applyBorder="1" applyAlignment="1">
      <alignment vertical="center"/>
    </xf>
    <xf numFmtId="49" fontId="10" fillId="6" borderId="21" xfId="3" applyNumberFormat="1" applyFill="1" applyBorder="1" applyAlignment="1" applyProtection="1">
      <alignment horizontal="left" vertical="center"/>
      <protection locked="0"/>
    </xf>
    <xf numFmtId="0" fontId="10" fillId="5" borderId="23" xfId="3" applyFill="1" applyBorder="1" applyAlignment="1" applyProtection="1">
      <alignment horizontal="left" vertical="center"/>
      <protection locked="0"/>
    </xf>
    <xf numFmtId="0" fontId="10" fillId="6" borderId="23" xfId="3" applyFill="1" applyBorder="1" applyAlignment="1" applyProtection="1">
      <alignment horizontal="left" vertical="center"/>
      <protection locked="0"/>
    </xf>
    <xf numFmtId="0" fontId="9" fillId="7" borderId="105" xfId="3" applyFont="1" applyFill="1" applyBorder="1" applyAlignment="1" applyProtection="1">
      <alignment horizontal="center" vertical="center"/>
      <protection locked="0"/>
    </xf>
    <xf numFmtId="0" fontId="20" fillId="4" borderId="23" xfId="0" applyFont="1" applyFill="1" applyBorder="1" applyAlignment="1">
      <alignment vertical="center" wrapText="1"/>
    </xf>
    <xf numFmtId="168" fontId="10" fillId="6" borderId="23" xfId="0" applyNumberFormat="1" applyFont="1" applyFill="1" applyBorder="1" applyAlignment="1">
      <alignment horizontal="center" vertical="center"/>
    </xf>
    <xf numFmtId="0" fontId="20" fillId="4" borderId="21" xfId="0" applyFont="1" applyFill="1" applyBorder="1" applyAlignment="1">
      <alignment vertical="center" wrapText="1"/>
    </xf>
    <xf numFmtId="0" fontId="10" fillId="6" borderId="21" xfId="0" applyFont="1" applyFill="1" applyBorder="1" applyAlignment="1">
      <alignment horizontal="center" vertical="center"/>
    </xf>
    <xf numFmtId="0" fontId="20" fillId="4" borderId="105" xfId="2" applyFont="1" applyFill="1" applyBorder="1" applyAlignment="1">
      <alignment horizontal="center" vertical="center"/>
    </xf>
    <xf numFmtId="0" fontId="20" fillId="4" borderId="157" xfId="2" applyFont="1" applyFill="1" applyBorder="1" applyAlignment="1">
      <alignment horizontal="center" vertical="center"/>
    </xf>
    <xf numFmtId="0" fontId="20" fillId="4" borderId="23" xfId="0" applyFont="1" applyFill="1" applyBorder="1" applyAlignment="1">
      <alignment horizontal="center" vertical="center"/>
    </xf>
    <xf numFmtId="0" fontId="20" fillId="4" borderId="23" xfId="0" applyFont="1" applyFill="1" applyBorder="1" applyAlignment="1">
      <alignment vertical="center"/>
    </xf>
    <xf numFmtId="0" fontId="20" fillId="4" borderId="21" xfId="0" applyFont="1" applyFill="1" applyBorder="1" applyAlignment="1">
      <alignment horizontal="center" vertical="center"/>
    </xf>
    <xf numFmtId="0" fontId="9" fillId="21" borderId="33" xfId="3" applyFont="1" applyFill="1" applyBorder="1" applyAlignment="1">
      <alignment horizontal="center" vertical="center"/>
    </xf>
    <xf numFmtId="0" fontId="9" fillId="21" borderId="158" xfId="3" applyFont="1" applyFill="1" applyBorder="1" applyAlignment="1">
      <alignment horizontal="center" vertical="center"/>
    </xf>
    <xf numFmtId="0" fontId="9" fillId="6" borderId="23" xfId="0" applyFont="1" applyFill="1" applyBorder="1" applyAlignment="1">
      <alignment horizontal="left" vertical="center"/>
    </xf>
    <xf numFmtId="0" fontId="10" fillId="6" borderId="53" xfId="3" applyFill="1" applyBorder="1" applyAlignment="1" applyProtection="1">
      <alignment horizontal="center" vertical="center"/>
      <protection locked="0"/>
    </xf>
    <xf numFmtId="166" fontId="9" fillId="6" borderId="23" xfId="3" applyNumberFormat="1" applyFont="1" applyFill="1" applyBorder="1" applyAlignment="1" applyProtection="1">
      <alignment horizontal="left" vertical="center"/>
      <protection locked="0"/>
    </xf>
    <xf numFmtId="0" fontId="9" fillId="6" borderId="21" xfId="0" applyFont="1" applyFill="1" applyBorder="1" applyAlignment="1">
      <alignment horizontal="left" vertical="center"/>
    </xf>
    <xf numFmtId="0" fontId="10" fillId="6" borderId="81" xfId="3" applyFill="1" applyBorder="1" applyAlignment="1" applyProtection="1">
      <alignment horizontal="center" vertical="center"/>
      <protection locked="0"/>
    </xf>
    <xf numFmtId="0" fontId="39" fillId="6" borderId="23" xfId="2" applyFont="1" applyFill="1" applyBorder="1" applyAlignment="1">
      <alignment vertical="center"/>
    </xf>
    <xf numFmtId="0" fontId="39" fillId="6" borderId="53" xfId="2" applyFont="1" applyFill="1" applyBorder="1" applyAlignment="1">
      <alignment horizontal="center" vertical="center"/>
    </xf>
    <xf numFmtId="1" fontId="10" fillId="5" borderId="27" xfId="1" applyNumberFormat="1" applyFont="1" applyFill="1" applyBorder="1" applyAlignment="1">
      <alignment horizontal="center" vertical="center"/>
    </xf>
    <xf numFmtId="0" fontId="39" fillId="6" borderId="55" xfId="2" applyFont="1" applyFill="1" applyBorder="1" applyAlignment="1">
      <alignment horizontal="center" vertical="center"/>
    </xf>
    <xf numFmtId="0" fontId="39" fillId="0" borderId="23" xfId="2" applyFont="1" applyBorder="1" applyAlignment="1">
      <alignment horizontal="center" vertical="center"/>
    </xf>
    <xf numFmtId="0" fontId="39" fillId="0" borderId="26" xfId="2" applyFont="1" applyBorder="1" applyAlignment="1">
      <alignment horizontal="center" vertical="center"/>
    </xf>
    <xf numFmtId="0" fontId="39" fillId="0" borderId="52" xfId="2" applyFont="1" applyBorder="1" applyAlignment="1">
      <alignment horizontal="center" vertical="center"/>
    </xf>
    <xf numFmtId="1" fontId="10" fillId="5" borderId="26" xfId="1" applyNumberFormat="1" applyFont="1" applyFill="1" applyBorder="1" applyAlignment="1">
      <alignment horizontal="right" vertical="center"/>
    </xf>
    <xf numFmtId="2" fontId="39" fillId="6" borderId="21" xfId="2" applyNumberFormat="1" applyFont="1" applyFill="1" applyBorder="1" applyAlignment="1">
      <alignment horizontal="center" vertical="center"/>
    </xf>
    <xf numFmtId="2" fontId="39" fillId="0" borderId="23" xfId="2" applyNumberFormat="1" applyFont="1" applyBorder="1" applyAlignment="1">
      <alignment horizontal="center" vertical="center"/>
    </xf>
    <xf numFmtId="0" fontId="20" fillId="4" borderId="155" xfId="2" applyFont="1" applyFill="1" applyBorder="1" applyAlignment="1">
      <alignment horizontal="center" vertical="center"/>
    </xf>
    <xf numFmtId="0" fontId="39" fillId="6" borderId="81" xfId="2" applyFont="1" applyFill="1" applyBorder="1" applyAlignment="1">
      <alignment horizontal="center" vertical="center"/>
    </xf>
    <xf numFmtId="0" fontId="39" fillId="0" borderId="53" xfId="2" applyFont="1" applyBorder="1" applyAlignment="1">
      <alignment horizontal="center" vertical="center"/>
    </xf>
    <xf numFmtId="0" fontId="39" fillId="6" borderId="52" xfId="2" applyFont="1" applyFill="1" applyBorder="1" applyAlignment="1">
      <alignment vertical="center"/>
    </xf>
    <xf numFmtId="0" fontId="39" fillId="0" borderId="52" xfId="2" applyFont="1" applyBorder="1" applyAlignment="1">
      <alignment vertical="center"/>
    </xf>
    <xf numFmtId="168" fontId="10" fillId="6" borderId="157" xfId="1" applyNumberFormat="1" applyFont="1" applyFill="1" applyBorder="1" applyAlignment="1">
      <alignment horizontal="right" vertical="center"/>
    </xf>
    <xf numFmtId="168" fontId="20" fillId="0" borderId="21" xfId="2" applyNumberFormat="1" applyFont="1" applyBorder="1" applyAlignment="1">
      <alignment horizontal="right" vertical="center"/>
    </xf>
    <xf numFmtId="0" fontId="39" fillId="5" borderId="21" xfId="2" applyFont="1" applyFill="1" applyBorder="1" applyAlignment="1">
      <alignment horizontal="center" vertical="center"/>
    </xf>
    <xf numFmtId="0" fontId="39" fillId="5" borderId="23" xfId="2" applyFont="1" applyFill="1" applyBorder="1" applyAlignment="1">
      <alignment horizontal="center" vertical="center"/>
    </xf>
    <xf numFmtId="0" fontId="39" fillId="22" borderId="21" xfId="2" applyFont="1" applyFill="1" applyBorder="1" applyAlignment="1">
      <alignment horizontal="center" vertical="center"/>
    </xf>
    <xf numFmtId="0" fontId="39" fillId="6" borderId="157" xfId="2" applyFont="1" applyFill="1" applyBorder="1" applyAlignment="1">
      <alignment horizontal="center" vertical="center"/>
    </xf>
    <xf numFmtId="167" fontId="39" fillId="5" borderId="50" xfId="3" applyNumberFormat="1" applyFont="1" applyFill="1" applyBorder="1" applyAlignment="1">
      <alignment horizontal="center" vertical="center"/>
    </xf>
    <xf numFmtId="0" fontId="20" fillId="4" borderId="105" xfId="2" applyFont="1" applyFill="1" applyBorder="1" applyAlignment="1">
      <alignment horizontal="center" vertical="center" wrapText="1"/>
    </xf>
    <xf numFmtId="167" fontId="39" fillId="6" borderId="21" xfId="2" applyNumberFormat="1" applyFont="1" applyFill="1" applyBorder="1" applyAlignment="1">
      <alignment horizontal="center" vertical="center"/>
    </xf>
    <xf numFmtId="167" fontId="39" fillId="6" borderId="23" xfId="2" applyNumberFormat="1" applyFont="1" applyFill="1" applyBorder="1" applyAlignment="1">
      <alignment horizontal="center" vertical="center"/>
    </xf>
    <xf numFmtId="0" fontId="39" fillId="4" borderId="105" xfId="2" applyFont="1" applyFill="1" applyBorder="1" applyAlignment="1">
      <alignment horizontal="center" vertical="center" wrapText="1"/>
    </xf>
    <xf numFmtId="168" fontId="10" fillId="5" borderId="23" xfId="1" applyNumberFormat="1" applyFont="1" applyFill="1" applyBorder="1" applyAlignment="1">
      <alignment horizontal="right" vertical="center"/>
    </xf>
    <xf numFmtId="2" fontId="10" fillId="5" borderId="23" xfId="1" applyNumberFormat="1" applyFont="1" applyFill="1" applyBorder="1" applyAlignment="1">
      <alignment horizontal="right" vertical="center"/>
    </xf>
    <xf numFmtId="165" fontId="10" fillId="0" borderId="23" xfId="24" applyNumberFormat="1" applyFont="1" applyBorder="1" applyAlignment="1">
      <alignment horizontal="right" vertical="center"/>
    </xf>
    <xf numFmtId="168" fontId="10" fillId="5" borderId="23" xfId="24" applyNumberFormat="1" applyFont="1" applyFill="1" applyBorder="1" applyAlignment="1">
      <alignment horizontal="right" vertical="center"/>
    </xf>
    <xf numFmtId="171" fontId="10" fillId="0" borderId="23" xfId="24" applyNumberFormat="1" applyFont="1" applyBorder="1" applyAlignment="1">
      <alignment horizontal="right" vertical="center"/>
    </xf>
    <xf numFmtId="2" fontId="39" fillId="0" borderId="23" xfId="24" applyNumberFormat="1" applyFont="1" applyBorder="1" applyAlignment="1">
      <alignment horizontal="right" vertical="center" wrapText="1"/>
    </xf>
    <xf numFmtId="2" fontId="10" fillId="6" borderId="23" xfId="24" applyNumberFormat="1" applyFont="1" applyFill="1" applyBorder="1" applyAlignment="1">
      <alignment horizontal="right" vertical="center"/>
    </xf>
    <xf numFmtId="168" fontId="10" fillId="6" borderId="23" xfId="24" applyNumberFormat="1" applyFont="1" applyFill="1" applyBorder="1" applyAlignment="1">
      <alignment horizontal="right" vertical="center"/>
    </xf>
    <xf numFmtId="2" fontId="10" fillId="0" borderId="23" xfId="1" applyNumberFormat="1" applyFont="1" applyFill="1" applyBorder="1" applyAlignment="1">
      <alignment horizontal="right" vertical="center"/>
    </xf>
    <xf numFmtId="2" fontId="10" fillId="6" borderId="23" xfId="24" applyNumberFormat="1" applyFont="1" applyFill="1" applyBorder="1" applyAlignment="1">
      <alignment horizontal="right" vertical="center" wrapText="1"/>
    </xf>
    <xf numFmtId="165" fontId="39" fillId="0" borderId="23" xfId="24" applyNumberFormat="1" applyFont="1" applyBorder="1" applyAlignment="1">
      <alignment horizontal="right" vertical="center"/>
    </xf>
    <xf numFmtId="168" fontId="39" fillId="5" borderId="23" xfId="24" applyNumberFormat="1" applyFont="1" applyFill="1" applyBorder="1" applyAlignment="1">
      <alignment horizontal="right" vertical="center"/>
    </xf>
    <xf numFmtId="2" fontId="39" fillId="6" borderId="23" xfId="24" applyNumberFormat="1" applyFont="1" applyFill="1" applyBorder="1" applyAlignment="1">
      <alignment horizontal="right" vertical="center" wrapText="1"/>
    </xf>
    <xf numFmtId="168" fontId="39" fillId="6" borderId="23" xfId="24" applyNumberFormat="1" applyFont="1" applyFill="1" applyBorder="1" applyAlignment="1">
      <alignment horizontal="right" vertical="center"/>
    </xf>
    <xf numFmtId="0" fontId="20" fillId="4" borderId="105" xfId="24" applyFont="1" applyFill="1" applyBorder="1" applyAlignment="1">
      <alignment horizontal="center" vertical="center"/>
    </xf>
    <xf numFmtId="168" fontId="10" fillId="5" borderId="69" xfId="1" applyNumberFormat="1" applyFont="1" applyFill="1" applyBorder="1" applyAlignment="1">
      <alignment horizontal="right" vertical="center"/>
    </xf>
    <xf numFmtId="2" fontId="10" fillId="0" borderId="67" xfId="24" applyNumberFormat="1" applyFont="1" applyBorder="1" applyAlignment="1">
      <alignment horizontal="right" vertical="center"/>
    </xf>
    <xf numFmtId="2" fontId="10" fillId="5" borderId="69" xfId="1" applyNumberFormat="1" applyFont="1" applyFill="1" applyBorder="1" applyAlignment="1">
      <alignment horizontal="right" vertical="center"/>
    </xf>
    <xf numFmtId="168" fontId="10" fillId="6" borderId="67" xfId="24" applyNumberFormat="1" applyFont="1" applyFill="1" applyBorder="1" applyAlignment="1">
      <alignment horizontal="right" vertical="center"/>
    </xf>
    <xf numFmtId="168" fontId="10" fillId="6" borderId="7" xfId="24" applyNumberFormat="1" applyFont="1" applyFill="1" applyBorder="1" applyAlignment="1">
      <alignment horizontal="right" vertical="center"/>
    </xf>
    <xf numFmtId="0" fontId="39" fillId="4" borderId="16" xfId="24" applyFont="1" applyFill="1" applyBorder="1" applyAlignment="1">
      <alignment horizontal="center" vertical="center"/>
    </xf>
    <xf numFmtId="0" fontId="20" fillId="4" borderId="161" xfId="24" applyFont="1" applyFill="1" applyBorder="1" applyAlignment="1">
      <alignment vertical="center"/>
    </xf>
    <xf numFmtId="0" fontId="39" fillId="7" borderId="58" xfId="24" applyFont="1" applyFill="1" applyBorder="1" applyAlignment="1">
      <alignment horizontal="center" vertical="center" wrapText="1"/>
    </xf>
    <xf numFmtId="49" fontId="10" fillId="5" borderId="58" xfId="1" applyNumberFormat="1" applyFont="1" applyFill="1" applyBorder="1" applyAlignment="1">
      <alignment horizontal="center" vertical="center"/>
    </xf>
    <xf numFmtId="0" fontId="39" fillId="7" borderId="4" xfId="24" applyFont="1" applyFill="1" applyBorder="1" applyAlignment="1">
      <alignment vertical="center"/>
    </xf>
    <xf numFmtId="0" fontId="39" fillId="7" borderId="49" xfId="24" applyFont="1" applyFill="1" applyBorder="1" applyAlignment="1">
      <alignment vertical="center"/>
    </xf>
    <xf numFmtId="0" fontId="20" fillId="7" borderId="61" xfId="24" applyFont="1" applyFill="1" applyBorder="1" applyAlignment="1">
      <alignment horizontal="center" vertical="center"/>
    </xf>
    <xf numFmtId="0" fontId="39" fillId="7" borderId="4" xfId="24" applyFont="1" applyFill="1" applyBorder="1" applyAlignment="1">
      <alignment horizontal="center" vertical="center"/>
    </xf>
    <xf numFmtId="0" fontId="20" fillId="7" borderId="61" xfId="0" applyFont="1" applyFill="1" applyBorder="1" applyAlignment="1">
      <alignment horizontal="center" vertical="center"/>
    </xf>
    <xf numFmtId="0" fontId="20" fillId="7" borderId="162" xfId="24" applyFont="1" applyFill="1" applyBorder="1" applyAlignment="1">
      <alignment horizontal="center" vertical="center"/>
    </xf>
    <xf numFmtId="0" fontId="39" fillId="7" borderId="4" xfId="24" applyFont="1" applyFill="1" applyBorder="1" applyAlignment="1">
      <alignment horizontal="center" vertical="center" wrapText="1"/>
    </xf>
    <xf numFmtId="49" fontId="10" fillId="5" borderId="58" xfId="1" quotePrefix="1" applyNumberFormat="1" applyFont="1" applyFill="1" applyBorder="1" applyAlignment="1">
      <alignment horizontal="center" vertical="center"/>
    </xf>
    <xf numFmtId="2" fontId="10" fillId="7" borderId="0" xfId="3" applyNumberFormat="1" applyFill="1" applyBorder="1" applyAlignment="1">
      <alignment horizontal="right" vertical="center"/>
    </xf>
    <xf numFmtId="0" fontId="10" fillId="7" borderId="0" xfId="3" applyFill="1" applyBorder="1" applyAlignment="1">
      <alignment horizontal="right" vertical="center"/>
    </xf>
    <xf numFmtId="2" fontId="9" fillId="4" borderId="23" xfId="0" applyNumberFormat="1" applyFont="1" applyFill="1" applyBorder="1" applyAlignment="1">
      <alignment horizontal="center" vertical="center"/>
    </xf>
    <xf numFmtId="0" fontId="9" fillId="4" borderId="23" xfId="0" applyFont="1" applyFill="1" applyBorder="1" applyAlignment="1">
      <alignment horizontal="center" vertical="center" wrapText="1"/>
    </xf>
    <xf numFmtId="0" fontId="53" fillId="23" borderId="0" xfId="0" applyNumberFormat="1" applyFont="1" applyFill="1" applyAlignment="1">
      <alignment horizontal="center" vertical="center"/>
    </xf>
    <xf numFmtId="0" fontId="10" fillId="23" borderId="0" xfId="0" applyNumberFormat="1" applyFont="1" applyFill="1" applyBorder="1" applyAlignment="1">
      <alignment horizontal="center" vertical="center"/>
    </xf>
    <xf numFmtId="0" fontId="10" fillId="23" borderId="0" xfId="0" applyNumberFormat="1" applyFont="1" applyFill="1" applyBorder="1" applyAlignment="1">
      <alignment horizontal="center" vertical="center" wrapText="1"/>
    </xf>
    <xf numFmtId="0" fontId="10" fillId="23" borderId="0" xfId="0" applyNumberFormat="1" applyFont="1" applyFill="1" applyAlignment="1">
      <alignment horizontal="left" vertical="center"/>
    </xf>
    <xf numFmtId="2" fontId="9" fillId="4" borderId="23" xfId="0" applyNumberFormat="1" applyFont="1" applyFill="1" applyBorder="1" applyAlignment="1">
      <alignment horizontal="left" vertical="center"/>
    </xf>
    <xf numFmtId="0" fontId="10" fillId="4" borderId="23" xfId="0" applyNumberFormat="1" applyFont="1" applyFill="1" applyBorder="1" applyAlignment="1">
      <alignment horizontal="center" vertical="center"/>
    </xf>
    <xf numFmtId="0" fontId="10" fillId="6" borderId="21" xfId="3" applyFill="1" applyBorder="1" applyAlignment="1" applyProtection="1">
      <alignment horizontal="center" vertical="center" wrapText="1"/>
      <protection locked="0"/>
    </xf>
    <xf numFmtId="0" fontId="10" fillId="4" borderId="23" xfId="0" applyNumberFormat="1" applyFont="1" applyFill="1" applyBorder="1" applyAlignment="1">
      <alignment horizontal="center" vertical="center"/>
    </xf>
    <xf numFmtId="168" fontId="10" fillId="5" borderId="157" xfId="3" applyNumberFormat="1" applyFill="1" applyBorder="1" applyAlignment="1">
      <alignment horizontal="left" vertical="center"/>
    </xf>
    <xf numFmtId="168" fontId="10" fillId="5" borderId="23" xfId="3" applyNumberFormat="1" applyFill="1" applyBorder="1" applyAlignment="1">
      <alignment horizontal="left" vertical="center"/>
    </xf>
    <xf numFmtId="0" fontId="9" fillId="23" borderId="0" xfId="3" applyFont="1" applyFill="1" applyAlignment="1">
      <alignment vertical="center"/>
    </xf>
    <xf numFmtId="0" fontId="10" fillId="23" borderId="0" xfId="0" applyFont="1" applyFill="1" applyBorder="1" applyAlignment="1">
      <alignment vertical="center"/>
    </xf>
    <xf numFmtId="0" fontId="10" fillId="6" borderId="21" xfId="0" applyNumberFormat="1" applyFont="1" applyFill="1" applyBorder="1" applyAlignment="1">
      <alignment horizontal="left" vertical="center"/>
    </xf>
    <xf numFmtId="0" fontId="10" fillId="6" borderId="69" xfId="0" applyNumberFormat="1" applyFont="1" applyFill="1" applyBorder="1" applyAlignment="1">
      <alignment horizontal="center" vertical="center"/>
    </xf>
    <xf numFmtId="0" fontId="10" fillId="27" borderId="19" xfId="0" applyFont="1" applyFill="1" applyBorder="1" applyAlignment="1">
      <alignment horizontal="center" vertical="center"/>
    </xf>
    <xf numFmtId="0" fontId="10" fillId="24" borderId="21" xfId="0" applyNumberFormat="1" applyFont="1" applyFill="1" applyBorder="1" applyAlignment="1">
      <alignment horizontal="center" vertical="center"/>
    </xf>
    <xf numFmtId="0" fontId="10" fillId="4" borderId="67" xfId="0" applyNumberFormat="1" applyFont="1" applyFill="1" applyBorder="1" applyAlignment="1">
      <alignment horizontal="center" vertical="center"/>
    </xf>
    <xf numFmtId="0" fontId="10" fillId="4" borderId="19" xfId="0" applyNumberFormat="1" applyFont="1" applyFill="1" applyBorder="1" applyAlignment="1">
      <alignment horizontal="center" vertical="center"/>
    </xf>
    <xf numFmtId="0" fontId="10" fillId="4" borderId="21" xfId="0" applyNumberFormat="1" applyFont="1" applyFill="1" applyBorder="1" applyAlignment="1">
      <alignment horizontal="center" vertical="center"/>
    </xf>
    <xf numFmtId="0" fontId="10" fillId="27" borderId="67" xfId="0" applyFont="1" applyFill="1" applyBorder="1" applyAlignment="1">
      <alignment horizontal="center" vertical="center"/>
    </xf>
    <xf numFmtId="0" fontId="10" fillId="24" borderId="19" xfId="0" applyNumberFormat="1" applyFont="1" applyFill="1" applyBorder="1" applyAlignment="1">
      <alignment horizontal="center" vertical="center"/>
    </xf>
    <xf numFmtId="0" fontId="10" fillId="27" borderId="8" xfId="0" applyFont="1" applyFill="1" applyBorder="1" applyAlignment="1">
      <alignment horizontal="center" vertical="center"/>
    </xf>
    <xf numFmtId="0" fontId="10" fillId="24" borderId="69" xfId="0" applyNumberFormat="1" applyFont="1" applyFill="1" applyBorder="1" applyAlignment="1">
      <alignment horizontal="center" vertical="center"/>
    </xf>
    <xf numFmtId="0" fontId="10" fillId="0" borderId="21" xfId="0" applyFont="1" applyBorder="1" applyAlignment="1">
      <alignment vertical="center"/>
    </xf>
    <xf numFmtId="0" fontId="10" fillId="0" borderId="77" xfId="0" applyFont="1" applyBorder="1" applyAlignment="1">
      <alignment vertical="center"/>
    </xf>
    <xf numFmtId="0" fontId="10" fillId="4" borderId="105" xfId="0" applyNumberFormat="1" applyFont="1" applyFill="1" applyBorder="1" applyAlignment="1">
      <alignment horizontal="center" vertical="center"/>
    </xf>
    <xf numFmtId="0" fontId="10" fillId="21" borderId="105" xfId="0" applyFont="1" applyFill="1" applyBorder="1" applyAlignment="1">
      <alignment horizontal="center" vertical="center" wrapText="1"/>
    </xf>
    <xf numFmtId="0" fontId="10" fillId="4" borderId="21" xfId="0" applyNumberFormat="1" applyFont="1" applyFill="1" applyBorder="1" applyAlignment="1">
      <alignment horizontal="left" vertical="center"/>
    </xf>
    <xf numFmtId="0" fontId="10" fillId="4" borderId="23" xfId="0" applyNumberFormat="1" applyFont="1" applyFill="1" applyBorder="1" applyAlignment="1">
      <alignment horizontal="left" vertical="center"/>
    </xf>
    <xf numFmtId="0" fontId="10" fillId="4" borderId="19" xfId="0" applyNumberFormat="1" applyFont="1" applyFill="1" applyBorder="1" applyAlignment="1">
      <alignment horizontal="left" vertical="center"/>
    </xf>
    <xf numFmtId="0" fontId="10" fillId="6" borderId="69" xfId="0" applyNumberFormat="1" applyFont="1" applyFill="1" applyBorder="1" applyAlignment="1">
      <alignment horizontal="left" vertical="center"/>
    </xf>
    <xf numFmtId="0" fontId="10" fillId="27" borderId="21" xfId="0" applyFont="1" applyFill="1" applyBorder="1" applyAlignment="1">
      <alignment horizontal="center" vertical="center"/>
    </xf>
    <xf numFmtId="0" fontId="20" fillId="4" borderId="155" xfId="2" applyFont="1" applyFill="1" applyBorder="1" applyAlignment="1">
      <alignment horizontal="center" vertical="center"/>
    </xf>
    <xf numFmtId="2" fontId="10" fillId="24" borderId="23" xfId="3" applyNumberFormat="1" applyFont="1" applyFill="1" applyBorder="1" applyAlignment="1" applyProtection="1">
      <alignment horizontal="center" vertical="center"/>
      <protection locked="0"/>
    </xf>
    <xf numFmtId="0" fontId="10" fillId="6" borderId="0" xfId="3" applyFill="1" applyBorder="1" applyAlignment="1" applyProtection="1">
      <alignment vertical="center" wrapText="1"/>
      <protection locked="0"/>
    </xf>
    <xf numFmtId="0" fontId="10" fillId="4" borderId="23" xfId="3" applyFont="1" applyFill="1" applyBorder="1" applyAlignment="1" applyProtection="1">
      <alignment horizontal="center" vertical="center" wrapText="1"/>
      <protection locked="0"/>
    </xf>
    <xf numFmtId="0" fontId="10" fillId="6" borderId="3" xfId="0" applyNumberFormat="1" applyFont="1" applyFill="1" applyBorder="1" applyAlignment="1">
      <alignment horizontal="left" vertical="center"/>
    </xf>
    <xf numFmtId="0" fontId="0" fillId="23" borderId="0" xfId="0" applyFill="1"/>
    <xf numFmtId="0" fontId="39" fillId="6" borderId="0" xfId="24" applyFont="1" applyFill="1" applyAlignment="1">
      <alignment vertical="center"/>
    </xf>
    <xf numFmtId="1" fontId="10" fillId="6" borderId="21" xfId="3" applyNumberFormat="1" applyFill="1" applyBorder="1" applyAlignment="1" applyProtection="1">
      <alignment horizontal="centerContinuous" vertical="center"/>
      <protection locked="0"/>
    </xf>
    <xf numFmtId="167" fontId="10" fillId="24" borderId="23" xfId="3" quotePrefix="1" applyNumberFormat="1" applyFont="1" applyFill="1" applyBorder="1" applyAlignment="1" applyProtection="1">
      <alignment horizontal="center" vertical="center"/>
      <protection locked="0"/>
    </xf>
    <xf numFmtId="167" fontId="10" fillId="24" borderId="23" xfId="3" applyNumberFormat="1" applyFont="1" applyFill="1" applyBorder="1" applyAlignment="1" applyProtection="1">
      <alignment horizontal="center" vertical="center"/>
      <protection locked="0"/>
    </xf>
    <xf numFmtId="167" fontId="10" fillId="29" borderId="23" xfId="0" applyNumberFormat="1" applyFont="1" applyFill="1" applyBorder="1" applyAlignment="1">
      <alignment horizontal="center" vertical="center"/>
    </xf>
    <xf numFmtId="0" fontId="10" fillId="29" borderId="23" xfId="0" applyFont="1" applyFill="1" applyBorder="1" applyAlignment="1">
      <alignment vertical="center"/>
    </xf>
    <xf numFmtId="0" fontId="15" fillId="6" borderId="0" xfId="3" applyFont="1" applyFill="1" applyBorder="1" applyAlignment="1">
      <alignment vertical="center"/>
    </xf>
    <xf numFmtId="0" fontId="10" fillId="6" borderId="0" xfId="3" applyFont="1" applyFill="1" applyAlignment="1">
      <alignment vertical="center"/>
    </xf>
    <xf numFmtId="0" fontId="10" fillId="6" borderId="0" xfId="3" applyFont="1" applyFill="1" applyAlignment="1">
      <alignment horizontal="center" vertical="center"/>
    </xf>
    <xf numFmtId="0" fontId="10" fillId="9" borderId="23" xfId="3" applyFont="1" applyFill="1" applyBorder="1" applyAlignment="1">
      <alignment horizontal="left" vertical="center"/>
    </xf>
    <xf numFmtId="0" fontId="10" fillId="0" borderId="23" xfId="3" applyFont="1" applyBorder="1" applyAlignment="1">
      <alignment horizontal="left" vertical="center"/>
    </xf>
    <xf numFmtId="2" fontId="10" fillId="0" borderId="23" xfId="3" applyNumberFormat="1" applyFont="1" applyBorder="1" applyAlignment="1">
      <alignment horizontal="left" vertical="center"/>
    </xf>
    <xf numFmtId="0" fontId="10" fillId="6" borderId="157" xfId="3" applyFont="1" applyFill="1" applyBorder="1" applyAlignment="1" applyProtection="1">
      <alignment horizontal="left" vertical="center"/>
      <protection locked="0"/>
    </xf>
    <xf numFmtId="0" fontId="10" fillId="6" borderId="23" xfId="3" applyFont="1" applyFill="1" applyBorder="1" applyAlignment="1">
      <alignment horizontal="left" vertical="center"/>
    </xf>
    <xf numFmtId="2" fontId="10" fillId="6" borderId="23" xfId="3" applyNumberFormat="1" applyFont="1" applyFill="1" applyBorder="1" applyAlignment="1">
      <alignment horizontal="left" vertical="center"/>
    </xf>
    <xf numFmtId="0" fontId="10" fillId="6" borderId="23" xfId="3" applyFont="1" applyFill="1" applyBorder="1" applyAlignment="1">
      <alignment vertical="center"/>
    </xf>
    <xf numFmtId="0" fontId="10" fillId="6" borderId="0" xfId="3" applyFont="1" applyFill="1" applyBorder="1" applyAlignment="1">
      <alignment vertical="center"/>
    </xf>
    <xf numFmtId="0" fontId="10" fillId="6" borderId="19" xfId="3" applyFont="1" applyFill="1" applyBorder="1" applyAlignment="1">
      <alignment vertical="center"/>
    </xf>
    <xf numFmtId="0" fontId="10" fillId="6" borderId="0" xfId="3" applyFont="1" applyFill="1" applyBorder="1" applyAlignment="1">
      <alignment horizontal="center" vertical="center"/>
    </xf>
    <xf numFmtId="0" fontId="10" fillId="6" borderId="23" xfId="3" applyFont="1" applyFill="1" applyBorder="1" applyAlignment="1">
      <alignment horizontal="center" vertical="center"/>
    </xf>
    <xf numFmtId="0" fontId="10" fillId="6" borderId="0" xfId="3" applyFont="1" applyFill="1" applyAlignment="1">
      <alignment horizontal="left" vertical="center"/>
    </xf>
    <xf numFmtId="0" fontId="9" fillId="2" borderId="23" xfId="3" applyFont="1" applyFill="1" applyBorder="1" applyAlignment="1">
      <alignment horizontal="center" vertical="center"/>
    </xf>
    <xf numFmtId="0" fontId="9" fillId="2" borderId="23" xfId="3" applyFont="1" applyFill="1" applyBorder="1" applyAlignment="1">
      <alignment vertical="center"/>
    </xf>
    <xf numFmtId="0" fontId="0" fillId="30" borderId="0" xfId="0" applyFill="1"/>
    <xf numFmtId="0" fontId="31" fillId="6" borderId="0" xfId="0" applyFont="1" applyFill="1" applyAlignment="1">
      <alignment vertical="center"/>
    </xf>
    <xf numFmtId="0" fontId="31" fillId="0" borderId="0" xfId="0" applyFont="1" applyAlignment="1">
      <alignment vertical="center"/>
    </xf>
    <xf numFmtId="0" fontId="49" fillId="0" borderId="23" xfId="0" applyFont="1" applyBorder="1" applyAlignment="1">
      <alignment horizontal="center" vertical="center" wrapText="1"/>
    </xf>
    <xf numFmtId="0" fontId="49" fillId="6" borderId="23" xfId="0" applyFont="1" applyFill="1" applyBorder="1" applyAlignment="1">
      <alignment horizontal="center" vertical="center"/>
    </xf>
    <xf numFmtId="0" fontId="49" fillId="6" borderId="23" xfId="0" applyFont="1" applyFill="1" applyBorder="1" applyAlignment="1">
      <alignment horizontal="center" vertical="center" wrapText="1"/>
    </xf>
    <xf numFmtId="0" fontId="31" fillId="0" borderId="23" xfId="0" applyFont="1" applyBorder="1" applyAlignment="1" applyProtection="1">
      <alignment horizontal="center" vertical="center"/>
      <protection locked="0"/>
    </xf>
    <xf numFmtId="169" fontId="31" fillId="0" borderId="21" xfId="0" applyNumberFormat="1" applyFont="1" applyBorder="1" applyAlignment="1" applyProtection="1">
      <alignment vertical="center" shrinkToFit="1"/>
      <protection locked="0"/>
    </xf>
    <xf numFmtId="0" fontId="31" fillId="0" borderId="21" xfId="56" applyFont="1" applyFill="1" applyBorder="1" applyAlignment="1" applyProtection="1">
      <alignment horizontal="center" vertical="center"/>
      <protection locked="0"/>
    </xf>
    <xf numFmtId="170" fontId="31" fillId="0" borderId="21" xfId="0" applyNumberFormat="1" applyFont="1" applyBorder="1" applyAlignment="1" applyProtection="1">
      <alignment horizontal="center" vertical="center"/>
      <protection locked="0"/>
    </xf>
    <xf numFmtId="0" fontId="31" fillId="0" borderId="21" xfId="0" applyFont="1" applyBorder="1" applyAlignment="1" applyProtection="1">
      <alignment horizontal="center" vertical="center" wrapText="1"/>
      <protection locked="0"/>
    </xf>
    <xf numFmtId="14" fontId="31" fillId="0" borderId="23" xfId="0" applyNumberFormat="1" applyFont="1" applyBorder="1" applyAlignment="1" applyProtection="1">
      <alignment horizontal="center" vertical="center"/>
      <protection locked="0"/>
    </xf>
    <xf numFmtId="0" fontId="31" fillId="0" borderId="23" xfId="0" applyFont="1" applyBorder="1" applyAlignment="1">
      <alignment horizontal="center" vertical="center"/>
    </xf>
    <xf numFmtId="14" fontId="31" fillId="0" borderId="23" xfId="0" applyNumberFormat="1" applyFont="1" applyBorder="1" applyAlignment="1">
      <alignment horizontal="center" vertical="center"/>
    </xf>
    <xf numFmtId="0" fontId="31" fillId="6" borderId="0" xfId="0" applyFont="1" applyFill="1" applyBorder="1" applyAlignment="1">
      <alignment horizontal="center" vertical="center"/>
    </xf>
    <xf numFmtId="14" fontId="31" fillId="6" borderId="0" xfId="0" applyNumberFormat="1" applyFont="1" applyFill="1" applyBorder="1" applyAlignment="1">
      <alignment horizontal="center" vertical="center"/>
    </xf>
    <xf numFmtId="0" fontId="31" fillId="6" borderId="26" xfId="0" applyFont="1" applyFill="1" applyBorder="1" applyAlignment="1">
      <alignment vertical="center"/>
    </xf>
    <xf numFmtId="0" fontId="49" fillId="6" borderId="27" xfId="0" applyFont="1" applyFill="1" applyBorder="1" applyAlignment="1">
      <alignment vertical="center"/>
    </xf>
    <xf numFmtId="0" fontId="49" fillId="6" borderId="53" xfId="0" applyFont="1" applyFill="1" applyBorder="1" applyAlignment="1">
      <alignment vertical="center"/>
    </xf>
    <xf numFmtId="0" fontId="31" fillId="6" borderId="0" xfId="0" applyFont="1" applyFill="1" applyBorder="1" applyAlignment="1">
      <alignment vertical="center"/>
    </xf>
    <xf numFmtId="0" fontId="31" fillId="6" borderId="27" xfId="0" applyFont="1" applyFill="1" applyBorder="1" applyAlignment="1">
      <alignment vertical="center"/>
    </xf>
    <xf numFmtId="0" fontId="31" fillId="6" borderId="53" xfId="0" applyFont="1" applyFill="1" applyBorder="1" applyAlignment="1">
      <alignment vertical="center"/>
    </xf>
    <xf numFmtId="0" fontId="31" fillId="6" borderId="0" xfId="3" applyFont="1" applyFill="1" applyAlignment="1">
      <alignment vertical="center"/>
    </xf>
    <xf numFmtId="0" fontId="31" fillId="0" borderId="0" xfId="3" applyFont="1" applyAlignment="1">
      <alignment vertical="center"/>
    </xf>
    <xf numFmtId="0" fontId="9" fillId="25" borderId="23" xfId="0" applyNumberFormat="1" applyFont="1" applyFill="1" applyBorder="1" applyAlignment="1">
      <alignment horizontal="left" vertical="center"/>
    </xf>
    <xf numFmtId="0" fontId="9" fillId="25" borderId="23" xfId="3" applyNumberFormat="1" applyFont="1" applyFill="1" applyBorder="1" applyAlignment="1" applyProtection="1">
      <alignment horizontal="left" vertical="center"/>
      <protection locked="0"/>
    </xf>
    <xf numFmtId="0" fontId="9" fillId="25" borderId="19" xfId="3" applyNumberFormat="1" applyFont="1" applyFill="1" applyBorder="1" applyAlignment="1" applyProtection="1">
      <alignment horizontal="left" vertical="center"/>
      <protection locked="0"/>
    </xf>
    <xf numFmtId="0" fontId="9" fillId="25" borderId="21" xfId="3" applyNumberFormat="1" applyFont="1" applyFill="1" applyBorder="1" applyAlignment="1" applyProtection="1">
      <alignment horizontal="left" vertical="center"/>
      <protection locked="0"/>
    </xf>
    <xf numFmtId="0" fontId="9" fillId="25" borderId="23" xfId="3" applyNumberFormat="1" applyFont="1" applyFill="1" applyBorder="1" applyAlignment="1" applyProtection="1">
      <alignment vertical="center"/>
      <protection locked="0"/>
    </xf>
    <xf numFmtId="0" fontId="9" fillId="8" borderId="23" xfId="3" applyNumberFormat="1" applyFont="1" applyFill="1" applyBorder="1" applyAlignment="1" applyProtection="1">
      <alignment vertical="center"/>
      <protection locked="0"/>
    </xf>
    <xf numFmtId="0" fontId="9" fillId="24" borderId="23" xfId="0" applyNumberFormat="1" applyFont="1" applyFill="1" applyBorder="1" applyAlignment="1">
      <alignment horizontal="left" vertical="center"/>
    </xf>
    <xf numFmtId="0" fontId="9" fillId="4" borderId="23" xfId="0" applyFont="1" applyFill="1" applyBorder="1" applyAlignment="1">
      <alignment horizontal="center" vertical="center"/>
    </xf>
    <xf numFmtId="0" fontId="9" fillId="4" borderId="23" xfId="0" applyFont="1" applyFill="1" applyBorder="1" applyAlignment="1">
      <alignment horizontal="center" vertical="center" wrapText="1"/>
    </xf>
    <xf numFmtId="2" fontId="9" fillId="4" borderId="23" xfId="0" applyNumberFormat="1" applyFont="1" applyFill="1" applyBorder="1" applyAlignment="1">
      <alignment horizontal="center" vertical="center" wrapText="1"/>
    </xf>
    <xf numFmtId="0" fontId="9" fillId="4" borderId="73" xfId="0" applyFont="1" applyFill="1" applyBorder="1" applyAlignment="1">
      <alignment horizontal="center" vertical="center"/>
    </xf>
    <xf numFmtId="167" fontId="39" fillId="5" borderId="0" xfId="3" applyNumberFormat="1" applyFont="1" applyFill="1" applyBorder="1" applyAlignment="1">
      <alignment horizontal="center" vertical="center"/>
    </xf>
    <xf numFmtId="167" fontId="39" fillId="5" borderId="54" xfId="3" applyNumberFormat="1" applyFont="1" applyFill="1" applyBorder="1" applyAlignment="1">
      <alignment horizontal="center" vertical="center"/>
    </xf>
    <xf numFmtId="0" fontId="20" fillId="4" borderId="109" xfId="0" applyFont="1" applyFill="1" applyBorder="1" applyAlignment="1">
      <alignment horizontal="center" vertical="center" wrapText="1"/>
    </xf>
    <xf numFmtId="0" fontId="20" fillId="4" borderId="150" xfId="2" applyNumberFormat="1" applyFont="1" applyFill="1" applyBorder="1" applyAlignment="1">
      <alignment horizontal="center" vertical="center" wrapText="1"/>
    </xf>
    <xf numFmtId="0" fontId="39" fillId="6" borderId="160" xfId="24" applyFont="1" applyFill="1" applyBorder="1" applyAlignment="1">
      <alignment horizontal="center" vertical="center"/>
    </xf>
    <xf numFmtId="0" fontId="39" fillId="0" borderId="53" xfId="24" applyFont="1" applyBorder="1" applyAlignment="1">
      <alignment horizontal="center" vertical="center"/>
    </xf>
    <xf numFmtId="0" fontId="15" fillId="0" borderId="53" xfId="24" applyFont="1" applyBorder="1" applyAlignment="1">
      <alignment horizontal="center" vertical="center" wrapText="1"/>
    </xf>
    <xf numFmtId="0" fontId="39" fillId="0" borderId="75" xfId="24" applyFont="1" applyBorder="1" applyAlignment="1">
      <alignment horizontal="center" vertical="center"/>
    </xf>
    <xf numFmtId="0" fontId="39" fillId="0" borderId="70" xfId="24" applyFont="1" applyBorder="1" applyAlignment="1">
      <alignment horizontal="center" vertical="center"/>
    </xf>
    <xf numFmtId="165" fontId="10" fillId="0" borderId="53" xfId="1" applyNumberFormat="1" applyFont="1" applyFill="1" applyBorder="1" applyAlignment="1">
      <alignment horizontal="center" vertical="center"/>
    </xf>
    <xf numFmtId="166" fontId="39" fillId="0" borderId="70" xfId="24" applyNumberFormat="1" applyFont="1" applyBorder="1" applyAlignment="1">
      <alignment horizontal="center" vertical="center"/>
    </xf>
    <xf numFmtId="166" fontId="39" fillId="0" borderId="53" xfId="24" applyNumberFormat="1" applyFont="1" applyBorder="1" applyAlignment="1">
      <alignment horizontal="center" vertical="center"/>
    </xf>
    <xf numFmtId="165" fontId="39" fillId="0" borderId="53" xfId="24" applyNumberFormat="1" applyFont="1" applyBorder="1" applyAlignment="1">
      <alignment horizontal="center" vertical="center"/>
    </xf>
    <xf numFmtId="164" fontId="39" fillId="0" borderId="53" xfId="24" applyNumberFormat="1" applyFont="1" applyBorder="1" applyAlignment="1">
      <alignment horizontal="center" vertical="center"/>
    </xf>
    <xf numFmtId="166" fontId="39" fillId="0" borderId="75" xfId="24" applyNumberFormat="1" applyFont="1" applyBorder="1" applyAlignment="1">
      <alignment horizontal="center" vertical="center"/>
    </xf>
    <xf numFmtId="0" fontId="39" fillId="0" borderId="72" xfId="24" applyFont="1" applyBorder="1" applyAlignment="1">
      <alignment vertical="center"/>
    </xf>
    <xf numFmtId="0" fontId="39" fillId="0" borderId="27" xfId="24" applyFont="1" applyBorder="1" applyAlignment="1">
      <alignment vertical="center" wrapText="1"/>
    </xf>
    <xf numFmtId="0" fontId="39" fillId="0" borderId="29" xfId="24" applyFont="1" applyBorder="1" applyAlignment="1">
      <alignment vertical="center"/>
    </xf>
    <xf numFmtId="0" fontId="20" fillId="4" borderId="99" xfId="2" applyNumberFormat="1" applyFont="1" applyFill="1" applyBorder="1" applyAlignment="1">
      <alignment horizontal="center" vertical="center" wrapText="1"/>
    </xf>
    <xf numFmtId="0" fontId="10" fillId="22" borderId="157" xfId="3" applyFill="1" applyBorder="1" applyAlignment="1">
      <alignment horizontal="left" vertical="center"/>
    </xf>
    <xf numFmtId="49" fontId="10" fillId="5" borderId="23" xfId="3" applyNumberFormat="1" applyFill="1" applyBorder="1" applyAlignment="1" applyProtection="1">
      <alignment horizontal="left" vertical="center"/>
      <protection locked="0"/>
    </xf>
    <xf numFmtId="49" fontId="10" fillId="5" borderId="21" xfId="3" applyNumberFormat="1" applyFill="1" applyBorder="1" applyAlignment="1" applyProtection="1">
      <alignment horizontal="left" vertical="center"/>
      <protection locked="0"/>
    </xf>
    <xf numFmtId="0" fontId="9" fillId="6" borderId="12" xfId="3" applyFont="1" applyFill="1" applyBorder="1" applyAlignment="1" applyProtection="1">
      <alignment horizontal="center" vertical="center"/>
      <protection locked="0"/>
    </xf>
    <xf numFmtId="0" fontId="10" fillId="0" borderId="23" xfId="0" applyFont="1" applyFill="1" applyBorder="1" applyAlignment="1">
      <alignment vertical="center"/>
    </xf>
    <xf numFmtId="0" fontId="10" fillId="0" borderId="67" xfId="0" applyFont="1" applyFill="1" applyBorder="1" applyAlignment="1">
      <alignment vertical="center"/>
    </xf>
    <xf numFmtId="0" fontId="9" fillId="8" borderId="23" xfId="0" applyFont="1" applyFill="1" applyBorder="1" applyAlignment="1">
      <alignment vertical="center"/>
    </xf>
    <xf numFmtId="0" fontId="9" fillId="8" borderId="21" xfId="0" applyFont="1" applyFill="1" applyBorder="1" applyAlignment="1">
      <alignment vertical="center"/>
    </xf>
    <xf numFmtId="49" fontId="10" fillId="6" borderId="0" xfId="3" applyNumberFormat="1" applyFill="1" applyBorder="1" applyAlignment="1" applyProtection="1">
      <alignment horizontal="left" vertical="center"/>
      <protection locked="0"/>
    </xf>
    <xf numFmtId="0" fontId="10" fillId="6" borderId="0" xfId="3" applyNumberFormat="1" applyFill="1" applyBorder="1" applyAlignment="1" applyProtection="1">
      <alignment horizontal="left" vertical="center"/>
      <protection locked="0"/>
    </xf>
    <xf numFmtId="0" fontId="10" fillId="6" borderId="0" xfId="3" applyFill="1" applyBorder="1" applyAlignment="1" applyProtection="1">
      <alignment horizontal="left" vertical="center"/>
      <protection locked="0"/>
    </xf>
    <xf numFmtId="0" fontId="10" fillId="6" borderId="0" xfId="3" applyFill="1" applyBorder="1" applyAlignment="1">
      <alignment horizontal="left" vertical="center"/>
    </xf>
    <xf numFmtId="0" fontId="10" fillId="6" borderId="0" xfId="3" applyFill="1" applyBorder="1" applyAlignment="1" applyProtection="1">
      <alignment horizontal="center" vertical="center"/>
      <protection locked="0"/>
    </xf>
    <xf numFmtId="0" fontId="20" fillId="6" borderId="0" xfId="2" applyFont="1" applyFill="1" applyBorder="1" applyAlignment="1">
      <alignment horizontal="center" vertical="center"/>
    </xf>
    <xf numFmtId="17" fontId="10" fillId="6" borderId="0" xfId="3" applyNumberFormat="1" applyFill="1" applyBorder="1" applyAlignment="1">
      <alignment horizontal="left" vertical="center"/>
    </xf>
    <xf numFmtId="168" fontId="10" fillId="6" borderId="0" xfId="3" applyNumberFormat="1" applyFill="1" applyBorder="1" applyAlignment="1">
      <alignment horizontal="left" vertical="center"/>
    </xf>
    <xf numFmtId="0" fontId="9" fillId="31" borderId="0" xfId="3" applyFont="1" applyFill="1" applyBorder="1" applyAlignment="1">
      <alignment horizontal="center" vertical="center"/>
    </xf>
    <xf numFmtId="0" fontId="9" fillId="4" borderId="98" xfId="3" applyFont="1" applyFill="1" applyBorder="1" applyAlignment="1">
      <alignment vertical="center"/>
    </xf>
    <xf numFmtId="0" fontId="54" fillId="4" borderId="0" xfId="3" applyFont="1" applyFill="1" applyAlignment="1">
      <alignment vertical="center"/>
    </xf>
    <xf numFmtId="0" fontId="10" fillId="6" borderId="3" xfId="3" applyFill="1" applyBorder="1" applyAlignment="1">
      <alignment vertical="center"/>
    </xf>
    <xf numFmtId="0" fontId="10" fillId="4" borderId="0" xfId="3" applyFill="1" applyAlignment="1">
      <alignment vertical="center"/>
    </xf>
    <xf numFmtId="0" fontId="10" fillId="8" borderId="0" xfId="3" applyFill="1" applyAlignment="1">
      <alignment vertical="center"/>
    </xf>
    <xf numFmtId="0" fontId="10" fillId="6" borderId="74" xfId="3" applyFill="1" applyBorder="1" applyAlignment="1">
      <alignment vertical="center"/>
    </xf>
    <xf numFmtId="0" fontId="10" fillId="6" borderId="63" xfId="3" applyFill="1" applyBorder="1" applyAlignment="1">
      <alignment vertical="center"/>
    </xf>
    <xf numFmtId="1" fontId="10" fillId="6" borderId="62" xfId="3" applyNumberFormat="1" applyFill="1" applyBorder="1" applyAlignment="1">
      <alignment vertical="center"/>
    </xf>
    <xf numFmtId="0" fontId="42" fillId="4" borderId="0" xfId="3" applyFont="1" applyFill="1" applyAlignment="1">
      <alignment vertical="center"/>
    </xf>
    <xf numFmtId="0" fontId="39" fillId="4" borderId="0" xfId="3" applyFont="1" applyFill="1" applyAlignment="1">
      <alignment vertical="center"/>
    </xf>
    <xf numFmtId="1" fontId="9" fillId="4" borderId="98" xfId="3" applyNumberFormat="1" applyFont="1" applyFill="1" applyBorder="1" applyAlignment="1">
      <alignment vertical="center"/>
    </xf>
    <xf numFmtId="0" fontId="10" fillId="6" borderId="3" xfId="3" applyNumberFormat="1" applyFill="1" applyBorder="1" applyAlignment="1">
      <alignment horizontal="left" vertical="center"/>
    </xf>
    <xf numFmtId="2" fontId="10" fillId="6" borderId="62" xfId="3" applyNumberFormat="1" applyFill="1" applyBorder="1" applyAlignment="1">
      <alignment vertical="center"/>
    </xf>
    <xf numFmtId="0" fontId="10" fillId="4" borderId="12" xfId="0" applyFont="1" applyFill="1" applyBorder="1" applyAlignment="1">
      <alignment horizontal="right" vertical="center"/>
    </xf>
    <xf numFmtId="0" fontId="10" fillId="6" borderId="17" xfId="0" applyFont="1" applyFill="1" applyBorder="1" applyAlignment="1">
      <alignment horizontal="right" vertical="center"/>
    </xf>
    <xf numFmtId="0" fontId="0" fillId="6" borderId="17" xfId="0" applyFill="1" applyBorder="1" applyAlignment="1">
      <alignment horizontal="right" vertical="center"/>
    </xf>
    <xf numFmtId="0" fontId="10" fillId="24" borderId="23" xfId="3" applyFill="1" applyBorder="1" applyAlignment="1" applyProtection="1">
      <alignment horizontal="left" vertical="center"/>
      <protection locked="0"/>
    </xf>
    <xf numFmtId="0" fontId="10" fillId="24" borderId="23" xfId="0" applyFont="1" applyFill="1" applyBorder="1" applyAlignment="1">
      <alignment horizontal="left" vertical="center"/>
    </xf>
    <xf numFmtId="0" fontId="10" fillId="24" borderId="23" xfId="0" applyFont="1" applyFill="1" applyBorder="1" applyAlignment="1">
      <alignment horizontal="center" vertical="center"/>
    </xf>
    <xf numFmtId="2" fontId="10" fillId="24" borderId="23" xfId="0" applyNumberFormat="1" applyFont="1" applyFill="1" applyBorder="1" applyAlignment="1">
      <alignment horizontal="center" vertical="center"/>
    </xf>
    <xf numFmtId="0" fontId="39" fillId="22" borderId="23" xfId="2" applyFont="1" applyFill="1" applyBorder="1" applyAlignment="1">
      <alignment horizontal="center" vertical="center"/>
    </xf>
    <xf numFmtId="0" fontId="49" fillId="22" borderId="0" xfId="0" applyFont="1" applyFill="1" applyAlignment="1">
      <alignment horizontal="center" vertical="center"/>
    </xf>
    <xf numFmtId="0" fontId="39" fillId="22" borderId="81" xfId="24" applyFont="1" applyFill="1" applyBorder="1" applyAlignment="1">
      <alignment horizontal="center" vertical="center"/>
    </xf>
    <xf numFmtId="0" fontId="39" fillId="22" borderId="53" xfId="24" applyFont="1" applyFill="1" applyBorder="1" applyAlignment="1">
      <alignment horizontal="center" vertical="center"/>
    </xf>
    <xf numFmtId="0" fontId="39" fillId="22" borderId="75" xfId="24" applyFont="1" applyFill="1" applyBorder="1" applyAlignment="1">
      <alignment horizontal="center" vertical="center"/>
    </xf>
    <xf numFmtId="0" fontId="39" fillId="22" borderId="70" xfId="24" applyFont="1" applyFill="1" applyBorder="1" applyAlignment="1">
      <alignment horizontal="center" vertical="center"/>
    </xf>
    <xf numFmtId="0" fontId="39" fillId="22" borderId="27" xfId="24" applyFont="1" applyFill="1" applyBorder="1" applyAlignment="1">
      <alignment horizontal="center" vertical="center"/>
    </xf>
    <xf numFmtId="0" fontId="39" fillId="22" borderId="0" xfId="24" applyFont="1" applyFill="1" applyBorder="1" applyAlignment="1">
      <alignment horizontal="center" vertical="center"/>
    </xf>
    <xf numFmtId="0" fontId="39" fillId="22" borderId="72" xfId="24" applyFont="1" applyFill="1" applyBorder="1" applyAlignment="1">
      <alignment horizontal="center" vertical="center"/>
    </xf>
    <xf numFmtId="0" fontId="39" fillId="22" borderId="96" xfId="24" applyFont="1" applyFill="1" applyBorder="1" applyAlignment="1">
      <alignment horizontal="center" vertical="center"/>
    </xf>
    <xf numFmtId="0" fontId="10" fillId="0" borderId="0" xfId="3" applyAlignment="1">
      <alignment horizontal="center" vertical="center" wrapText="1"/>
    </xf>
    <xf numFmtId="0" fontId="10" fillId="6" borderId="0" xfId="3" applyFill="1" applyAlignment="1">
      <alignment horizontal="center" wrapText="1"/>
    </xf>
    <xf numFmtId="0" fontId="10" fillId="6" borderId="0" xfId="3" applyFill="1" applyAlignment="1">
      <alignment horizontal="center" vertical="center"/>
    </xf>
    <xf numFmtId="0" fontId="10" fillId="6" borderId="28" xfId="3" applyFill="1" applyBorder="1" applyAlignment="1">
      <alignment horizontal="center" vertical="center" wrapText="1"/>
    </xf>
    <xf numFmtId="0" fontId="10" fillId="6" borderId="0" xfId="3" applyFill="1" applyAlignment="1">
      <alignment horizontal="left" vertical="top"/>
    </xf>
    <xf numFmtId="0" fontId="10" fillId="6" borderId="0" xfId="3" applyFill="1" applyAlignment="1">
      <alignment horizontal="center" vertical="center" wrapText="1"/>
    </xf>
    <xf numFmtId="0" fontId="10" fillId="4" borderId="13" xfId="3" applyFill="1" applyBorder="1" applyAlignment="1">
      <alignment horizontal="center" vertical="center" wrapText="1"/>
    </xf>
    <xf numFmtId="0" fontId="10" fillId="4" borderId="0" xfId="3" applyFill="1" applyAlignment="1">
      <alignment horizontal="center" vertical="center" wrapText="1"/>
    </xf>
    <xf numFmtId="0" fontId="10" fillId="6" borderId="0" xfId="3" applyFill="1" applyAlignment="1">
      <alignment horizontal="left" vertical="top" wrapText="1"/>
    </xf>
    <xf numFmtId="0" fontId="10" fillId="6" borderId="27" xfId="3" applyFill="1" applyBorder="1" applyAlignment="1">
      <alignment horizontal="center" vertical="center" wrapText="1"/>
    </xf>
    <xf numFmtId="0" fontId="10" fillId="6" borderId="0" xfId="3" applyFill="1" applyAlignment="1">
      <alignment horizontal="left" vertical="center" wrapText="1"/>
    </xf>
    <xf numFmtId="0" fontId="10" fillId="4" borderId="23" xfId="3" applyFill="1" applyBorder="1" applyAlignment="1">
      <alignment horizontal="center" vertical="center" wrapText="1"/>
    </xf>
    <xf numFmtId="0" fontId="10" fillId="0" borderId="23" xfId="3" applyBorder="1" applyAlignment="1">
      <alignment horizontal="center" vertical="center" wrapText="1"/>
    </xf>
    <xf numFmtId="0" fontId="9" fillId="0" borderId="23" xfId="3" applyFont="1" applyBorder="1" applyAlignment="1">
      <alignment horizontal="center" vertical="center" wrapText="1"/>
    </xf>
    <xf numFmtId="168" fontId="10" fillId="5" borderId="21" xfId="3" applyNumberFormat="1" applyFill="1" applyBorder="1" applyAlignment="1">
      <alignment horizontal="left" vertical="center"/>
    </xf>
    <xf numFmtId="0" fontId="9" fillId="8" borderId="52" xfId="3" applyFont="1" applyFill="1" applyBorder="1" applyAlignment="1">
      <alignment vertical="center"/>
    </xf>
    <xf numFmtId="0" fontId="23" fillId="6" borderId="0" xfId="3" applyFont="1" applyFill="1" applyAlignment="1">
      <alignment vertical="center"/>
    </xf>
    <xf numFmtId="0" fontId="9" fillId="0" borderId="53" xfId="3" applyFont="1" applyBorder="1" applyAlignment="1">
      <alignment horizontal="center"/>
    </xf>
    <xf numFmtId="0" fontId="9" fillId="0" borderId="75" xfId="3" applyFont="1" applyBorder="1" applyAlignment="1">
      <alignment horizontal="center"/>
    </xf>
    <xf numFmtId="0" fontId="9" fillId="6" borderId="0" xfId="3" applyFont="1" applyFill="1"/>
    <xf numFmtId="0" fontId="10" fillId="4" borderId="0" xfId="3" applyFill="1" applyAlignment="1">
      <alignment horizontal="center" vertical="center"/>
    </xf>
    <xf numFmtId="0" fontId="31" fillId="6" borderId="0" xfId="3" applyFont="1" applyFill="1" applyAlignment="1">
      <alignment vertical="center" wrapText="1"/>
    </xf>
    <xf numFmtId="0" fontId="32" fillId="6" borderId="0" xfId="3" applyFont="1" applyFill="1" applyAlignment="1">
      <alignment vertical="top" wrapText="1"/>
    </xf>
    <xf numFmtId="0" fontId="31" fillId="6" borderId="0" xfId="3" applyFont="1" applyFill="1" applyAlignment="1">
      <alignment vertical="top" wrapText="1"/>
    </xf>
    <xf numFmtId="0" fontId="30" fillId="6" borderId="0" xfId="3" applyFont="1" applyFill="1" applyAlignment="1">
      <alignment vertical="center" wrapText="1"/>
    </xf>
    <xf numFmtId="2" fontId="10" fillId="0" borderId="0" xfId="3" applyNumberFormat="1" applyAlignment="1">
      <alignment vertical="center" wrapText="1"/>
    </xf>
    <xf numFmtId="0" fontId="22" fillId="0" borderId="0" xfId="3" applyFont="1" applyAlignment="1">
      <alignment horizontal="left" vertical="top" wrapText="1"/>
    </xf>
    <xf numFmtId="0" fontId="10" fillId="0" borderId="0" xfId="3" applyAlignment="1">
      <alignment wrapText="1"/>
    </xf>
    <xf numFmtId="0" fontId="30" fillId="0" borderId="0" xfId="3" applyFont="1" applyAlignment="1">
      <alignment vertical="center" wrapText="1"/>
    </xf>
    <xf numFmtId="0" fontId="31" fillId="0" borderId="0" xfId="3" applyFont="1" applyAlignment="1">
      <alignment vertical="top" wrapText="1"/>
    </xf>
    <xf numFmtId="0" fontId="31" fillId="0" borderId="0" xfId="3" applyFont="1" applyAlignment="1">
      <alignment vertical="center" wrapText="1"/>
    </xf>
    <xf numFmtId="0" fontId="22" fillId="0" borderId="0" xfId="3" applyFont="1" applyAlignment="1">
      <alignment vertical="top" wrapText="1"/>
    </xf>
    <xf numFmtId="0" fontId="9" fillId="6" borderId="0" xfId="3" applyFont="1" applyFill="1" applyAlignment="1">
      <alignment horizontal="left"/>
    </xf>
    <xf numFmtId="0" fontId="10" fillId="6" borderId="0" xfId="3" applyFill="1" applyAlignment="1">
      <alignment horizontal="center"/>
    </xf>
    <xf numFmtId="0" fontId="10" fillId="6" borderId="23" xfId="3" applyFont="1" applyFill="1" applyBorder="1" applyAlignment="1">
      <alignment horizontal="center" vertical="center"/>
    </xf>
    <xf numFmtId="2" fontId="10" fillId="6" borderId="11" xfId="3" applyNumberFormat="1" applyFill="1" applyBorder="1" applyAlignment="1">
      <alignment vertical="center" wrapText="1"/>
    </xf>
    <xf numFmtId="0" fontId="10" fillId="6" borderId="29" xfId="3" applyFill="1" applyBorder="1" applyAlignment="1">
      <alignment vertical="center" wrapText="1"/>
    </xf>
    <xf numFmtId="2" fontId="10" fillId="6" borderId="29" xfId="3" applyNumberFormat="1" applyFill="1" applyBorder="1" applyAlignment="1">
      <alignment vertical="center" wrapText="1"/>
    </xf>
    <xf numFmtId="0" fontId="10" fillId="6" borderId="59" xfId="3" applyFill="1" applyBorder="1" applyAlignment="1">
      <alignment vertical="center" wrapText="1"/>
    </xf>
    <xf numFmtId="0" fontId="10" fillId="0" borderId="21" xfId="0" applyFont="1" applyBorder="1" applyAlignment="1">
      <alignment horizontal="center" vertical="center"/>
    </xf>
    <xf numFmtId="0" fontId="9" fillId="4" borderId="28" xfId="0" applyFont="1" applyFill="1" applyBorder="1" applyAlignment="1">
      <alignment horizontal="center" vertical="center"/>
    </xf>
    <xf numFmtId="0" fontId="9" fillId="4" borderId="19" xfId="0" applyFont="1" applyFill="1" applyBorder="1" applyAlignment="1">
      <alignment horizontal="center" vertical="center"/>
    </xf>
    <xf numFmtId="0" fontId="10" fillId="0" borderId="66" xfId="0" applyFont="1" applyBorder="1" applyAlignment="1">
      <alignment horizontal="center" vertical="center"/>
    </xf>
    <xf numFmtId="0" fontId="10" fillId="0" borderId="52" xfId="0" applyFont="1" applyBorder="1" applyAlignment="1">
      <alignment vertical="center"/>
    </xf>
    <xf numFmtId="0" fontId="9" fillId="4" borderId="109" xfId="0" applyFont="1" applyFill="1" applyBorder="1" applyAlignment="1">
      <alignment horizontal="center" vertical="center"/>
    </xf>
    <xf numFmtId="0" fontId="57" fillId="0" borderId="23" xfId="0" applyFont="1" applyBorder="1" applyAlignment="1">
      <alignment horizontal="left" vertical="center"/>
    </xf>
    <xf numFmtId="0" fontId="57" fillId="0" borderId="23" xfId="3" applyFont="1" applyBorder="1" applyAlignment="1">
      <alignment horizontal="left" vertical="center"/>
    </xf>
    <xf numFmtId="0" fontId="10" fillId="4" borderId="23" xfId="3" applyFont="1" applyFill="1" applyBorder="1" applyAlignment="1">
      <alignment horizontal="left" vertical="center"/>
    </xf>
    <xf numFmtId="0" fontId="10" fillId="0" borderId="0" xfId="3" applyFont="1" applyAlignment="1">
      <alignment horizontal="left"/>
    </xf>
    <xf numFmtId="1" fontId="10" fillId="6" borderId="23" xfId="3" applyNumberFormat="1" applyFont="1" applyFill="1" applyBorder="1" applyAlignment="1">
      <alignment horizontal="center" vertical="center"/>
    </xf>
    <xf numFmtId="0" fontId="10" fillId="6" borderId="19" xfId="3" applyFont="1" applyFill="1" applyBorder="1" applyAlignment="1">
      <alignment horizontal="center" vertical="center"/>
    </xf>
    <xf numFmtId="1" fontId="10" fillId="6" borderId="26" xfId="3" applyNumberFormat="1" applyFont="1" applyFill="1" applyBorder="1" applyAlignment="1">
      <alignment horizontal="center" vertical="center"/>
    </xf>
    <xf numFmtId="1" fontId="10" fillId="6" borderId="27" xfId="3" applyNumberFormat="1" applyFont="1" applyFill="1" applyBorder="1" applyAlignment="1">
      <alignment horizontal="center" vertical="center"/>
    </xf>
    <xf numFmtId="1" fontId="10" fillId="6" borderId="53" xfId="3" applyNumberFormat="1" applyFont="1" applyFill="1" applyBorder="1" applyAlignment="1">
      <alignment horizontal="center" vertical="center"/>
    </xf>
    <xf numFmtId="1" fontId="10" fillId="0" borderId="23" xfId="3" applyNumberFormat="1" applyFont="1" applyBorder="1" applyAlignment="1">
      <alignment horizontal="center" vertical="center"/>
    </xf>
    <xf numFmtId="0" fontId="10" fillId="0" borderId="23" xfId="3" applyFont="1" applyBorder="1" applyAlignment="1">
      <alignment vertical="center"/>
    </xf>
    <xf numFmtId="0" fontId="20" fillId="4" borderId="155" xfId="2" applyFont="1" applyFill="1" applyBorder="1" applyAlignment="1">
      <alignment horizontal="center" vertical="center"/>
    </xf>
    <xf numFmtId="0" fontId="20" fillId="4" borderId="105" xfId="2" applyFont="1" applyFill="1" applyBorder="1" applyAlignment="1">
      <alignment horizontal="center" vertical="center"/>
    </xf>
    <xf numFmtId="0" fontId="58" fillId="7" borderId="163" xfId="24" applyFont="1" applyFill="1" applyBorder="1" applyAlignment="1">
      <alignment horizontal="center"/>
    </xf>
    <xf numFmtId="0" fontId="59" fillId="0" borderId="10" xfId="24" applyFont="1" applyBorder="1"/>
    <xf numFmtId="168" fontId="60" fillId="5" borderId="1" xfId="1" applyNumberFormat="1" applyFont="1" applyFill="1" applyBorder="1" applyAlignment="1">
      <alignment horizontal="right"/>
    </xf>
    <xf numFmtId="0" fontId="59" fillId="7" borderId="24" xfId="24" applyFont="1" applyFill="1" applyBorder="1" applyAlignment="1">
      <alignment horizontal="center" wrapText="1"/>
    </xf>
    <xf numFmtId="0" fontId="59" fillId="0" borderId="0" xfId="24" applyFont="1"/>
    <xf numFmtId="2" fontId="60" fillId="5" borderId="17" xfId="1" applyNumberFormat="1" applyFont="1" applyFill="1" applyBorder="1" applyAlignment="1">
      <alignment horizontal="right"/>
    </xf>
    <xf numFmtId="49" fontId="60" fillId="5" borderId="63" xfId="1" applyNumberFormat="1" applyFont="1" applyFill="1" applyBorder="1" applyAlignment="1">
      <alignment horizontal="center"/>
    </xf>
    <xf numFmtId="0" fontId="59" fillId="0" borderId="9" xfId="24" applyFont="1" applyBorder="1"/>
    <xf numFmtId="0" fontId="59" fillId="7" borderId="6" xfId="24" applyFont="1" applyFill="1" applyBorder="1" applyAlignment="1">
      <alignment horizontal="center" wrapText="1"/>
    </xf>
    <xf numFmtId="0" fontId="59" fillId="7" borderId="6" xfId="24" applyFont="1" applyFill="1" applyBorder="1" applyAlignment="1">
      <alignment horizontal="center"/>
    </xf>
    <xf numFmtId="165" fontId="60" fillId="0" borderId="17" xfId="1" applyNumberFormat="1" applyFont="1" applyFill="1" applyBorder="1" applyAlignment="1">
      <alignment horizontal="right"/>
    </xf>
    <xf numFmtId="0" fontId="59" fillId="7" borderId="9" xfId="24" applyFont="1" applyFill="1" applyBorder="1"/>
    <xf numFmtId="165" fontId="60" fillId="0" borderId="17" xfId="24" applyNumberFormat="1" applyFont="1" applyBorder="1" applyAlignment="1">
      <alignment horizontal="right"/>
    </xf>
    <xf numFmtId="0" fontId="59" fillId="0" borderId="17" xfId="24" applyFont="1" applyBorder="1" applyAlignment="1">
      <alignment vertical="center"/>
    </xf>
    <xf numFmtId="2" fontId="59" fillId="5" borderId="17" xfId="0" applyNumberFormat="1" applyFont="1" applyFill="1" applyBorder="1" applyAlignment="1">
      <alignment horizontal="right"/>
    </xf>
    <xf numFmtId="168" fontId="60" fillId="5" borderId="17" xfId="24" applyNumberFormat="1" applyFont="1" applyFill="1" applyBorder="1" applyAlignment="1">
      <alignment horizontal="right"/>
    </xf>
    <xf numFmtId="0" fontId="59" fillId="0" borderId="9" xfId="24" applyFont="1" applyBorder="1" applyAlignment="1">
      <alignment horizontal="left"/>
    </xf>
    <xf numFmtId="171" fontId="60" fillId="5" borderId="17" xfId="24" applyNumberFormat="1" applyFont="1" applyFill="1" applyBorder="1" applyAlignment="1">
      <alignment horizontal="right"/>
    </xf>
    <xf numFmtId="0" fontId="59" fillId="0" borderId="3" xfId="24" applyFont="1" applyBorder="1" applyAlignment="1">
      <alignment vertical="center"/>
    </xf>
    <xf numFmtId="168" fontId="60" fillId="5" borderId="17" xfId="1" applyNumberFormat="1" applyFont="1" applyFill="1" applyBorder="1" applyAlignment="1">
      <alignment horizontal="right"/>
    </xf>
    <xf numFmtId="171" fontId="60" fillId="0" borderId="17" xfId="24" applyNumberFormat="1" applyFont="1" applyBorder="1" applyAlignment="1">
      <alignment horizontal="right"/>
    </xf>
    <xf numFmtId="0" fontId="10" fillId="32" borderId="23" xfId="3" applyFill="1" applyBorder="1" applyAlignment="1">
      <alignment horizontal="center" vertical="center"/>
    </xf>
    <xf numFmtId="0" fontId="39" fillId="6" borderId="27" xfId="24" applyFont="1" applyFill="1" applyBorder="1" applyAlignment="1">
      <alignment vertical="center"/>
    </xf>
    <xf numFmtId="166" fontId="60" fillId="5" borderId="17" xfId="1" applyNumberFormat="1" applyFont="1" applyFill="1" applyBorder="1" applyAlignment="1">
      <alignment horizontal="right"/>
    </xf>
    <xf numFmtId="2" fontId="60" fillId="5" borderId="1" xfId="1" applyNumberFormat="1" applyFont="1" applyFill="1" applyBorder="1" applyAlignment="1">
      <alignment horizontal="right"/>
    </xf>
    <xf numFmtId="0" fontId="59" fillId="7" borderId="0" xfId="24" applyFont="1" applyFill="1"/>
    <xf numFmtId="0" fontId="59" fillId="0" borderId="17" xfId="24" applyFont="1" applyBorder="1"/>
    <xf numFmtId="165" fontId="60" fillId="5" borderId="68" xfId="1" applyNumberFormat="1" applyFont="1" applyFill="1" applyBorder="1" applyAlignment="1">
      <alignment horizontal="center"/>
    </xf>
    <xf numFmtId="1" fontId="60" fillId="5" borderId="63" xfId="1" applyNumberFormat="1" applyFont="1" applyFill="1" applyBorder="1" applyAlignment="1">
      <alignment horizontal="center"/>
    </xf>
    <xf numFmtId="165" fontId="60" fillId="5" borderId="164" xfId="1" applyNumberFormat="1" applyFont="1" applyFill="1" applyBorder="1" applyAlignment="1">
      <alignment horizontal="center"/>
    </xf>
    <xf numFmtId="1" fontId="60" fillId="5" borderId="9" xfId="1" applyNumberFormat="1" applyFont="1" applyFill="1" applyBorder="1" applyAlignment="1">
      <alignment horizontal="center"/>
    </xf>
    <xf numFmtId="165" fontId="60" fillId="5" borderId="63" xfId="1" quotePrefix="1" applyNumberFormat="1" applyFont="1" applyFill="1" applyBorder="1" applyAlignment="1">
      <alignment horizontal="center"/>
    </xf>
    <xf numFmtId="1" fontId="60" fillId="5" borderId="63" xfId="1" applyNumberFormat="1" applyFont="1" applyFill="1" applyBorder="1" applyAlignment="1">
      <alignment horizontal="center" vertical="center"/>
    </xf>
    <xf numFmtId="1" fontId="60" fillId="5" borderId="62" xfId="1" applyNumberFormat="1" applyFont="1" applyFill="1" applyBorder="1" applyAlignment="1">
      <alignment horizontal="center" vertical="center"/>
    </xf>
    <xf numFmtId="168" fontId="60" fillId="5" borderId="24" xfId="1" applyNumberFormat="1" applyFont="1" applyFill="1" applyBorder="1" applyAlignment="1">
      <alignment horizontal="right"/>
    </xf>
    <xf numFmtId="1" fontId="60" fillId="5" borderId="58" xfId="1" applyNumberFormat="1" applyFont="1" applyFill="1" applyBorder="1" applyAlignment="1">
      <alignment horizontal="center"/>
    </xf>
    <xf numFmtId="1" fontId="60" fillId="5" borderId="23" xfId="1" applyNumberFormat="1" applyFont="1" applyFill="1" applyBorder="1" applyAlignment="1">
      <alignment horizontal="center" vertical="center"/>
    </xf>
    <xf numFmtId="1" fontId="60" fillId="5" borderId="60" xfId="1" applyNumberFormat="1" applyFont="1" applyFill="1" applyBorder="1" applyAlignment="1">
      <alignment horizontal="center"/>
    </xf>
    <xf numFmtId="1" fontId="60" fillId="5" borderId="67" xfId="1" applyNumberFormat="1" applyFont="1" applyFill="1" applyBorder="1" applyAlignment="1">
      <alignment horizontal="center" vertical="center"/>
    </xf>
    <xf numFmtId="167" fontId="23" fillId="5" borderId="23" xfId="3" applyNumberFormat="1" applyFont="1" applyFill="1" applyBorder="1" applyAlignment="1">
      <alignment horizontal="center" vertical="center"/>
    </xf>
    <xf numFmtId="1" fontId="23" fillId="5" borderId="23" xfId="3" applyNumberFormat="1" applyFont="1" applyFill="1" applyBorder="1" applyAlignment="1">
      <alignment horizontal="center" vertical="center"/>
    </xf>
    <xf numFmtId="167" fontId="23" fillId="0" borderId="23" xfId="3" applyNumberFormat="1" applyFont="1" applyBorder="1" applyAlignment="1">
      <alignment horizontal="center" vertical="center"/>
    </xf>
    <xf numFmtId="17" fontId="10" fillId="5" borderId="24" xfId="3" applyNumberFormat="1" applyFill="1" applyBorder="1" applyAlignment="1">
      <alignment horizontal="left" vertical="center"/>
    </xf>
    <xf numFmtId="0" fontId="10" fillId="5" borderId="77" xfId="3" applyFill="1" applyBorder="1" applyAlignment="1" applyProtection="1">
      <alignment horizontal="left" vertical="center"/>
      <protection locked="0"/>
    </xf>
    <xf numFmtId="0" fontId="10" fillId="5" borderId="24" xfId="3" applyFill="1" applyBorder="1" applyAlignment="1" applyProtection="1">
      <alignment horizontal="left" vertical="center"/>
      <protection locked="0"/>
    </xf>
    <xf numFmtId="0" fontId="10" fillId="5" borderId="48" xfId="3" applyFill="1" applyBorder="1" applyAlignment="1" applyProtection="1">
      <alignment horizontal="left" vertical="center"/>
      <protection locked="0"/>
    </xf>
    <xf numFmtId="0" fontId="31" fillId="6" borderId="26" xfId="0" applyFont="1" applyFill="1" applyBorder="1" applyAlignment="1">
      <alignment horizontal="center" vertical="center"/>
    </xf>
    <xf numFmtId="0" fontId="31" fillId="6" borderId="27" xfId="0" applyFont="1" applyFill="1" applyBorder="1" applyAlignment="1">
      <alignment horizontal="center" vertical="center"/>
    </xf>
    <xf numFmtId="0" fontId="31" fillId="6" borderId="53" xfId="0" applyFont="1" applyFill="1" applyBorder="1" applyAlignment="1">
      <alignment horizontal="center" vertical="center"/>
    </xf>
    <xf numFmtId="0" fontId="49" fillId="4" borderId="23" xfId="0" applyFont="1" applyFill="1" applyBorder="1" applyAlignment="1">
      <alignment horizontal="center" vertical="center"/>
    </xf>
    <xf numFmtId="0" fontId="49" fillId="6" borderId="27" xfId="0" applyFont="1" applyFill="1" applyBorder="1" applyAlignment="1">
      <alignment horizontal="center" vertical="center"/>
    </xf>
    <xf numFmtId="0" fontId="49" fillId="6" borderId="53" xfId="0" applyFont="1" applyFill="1" applyBorder="1" applyAlignment="1">
      <alignment horizontal="center" vertical="center"/>
    </xf>
    <xf numFmtId="0" fontId="31" fillId="6" borderId="23" xfId="0" applyFont="1" applyFill="1" applyBorder="1" applyAlignment="1">
      <alignment horizontal="center" vertical="center"/>
    </xf>
    <xf numFmtId="0" fontId="31" fillId="0" borderId="23" xfId="0" applyFont="1" applyBorder="1" applyAlignment="1">
      <alignment horizontal="center" vertical="center"/>
    </xf>
    <xf numFmtId="0" fontId="31" fillId="0" borderId="26" xfId="3" applyFont="1" applyBorder="1" applyAlignment="1">
      <alignment horizontal="center" vertical="center"/>
    </xf>
    <xf numFmtId="0" fontId="31" fillId="0" borderId="27" xfId="3" applyFont="1" applyBorder="1" applyAlignment="1">
      <alignment horizontal="center" vertical="center"/>
    </xf>
    <xf numFmtId="0" fontId="31" fillId="0" borderId="53" xfId="3" applyFont="1" applyBorder="1" applyAlignment="1">
      <alignment horizontal="center" vertical="center"/>
    </xf>
    <xf numFmtId="0" fontId="31" fillId="0" borderId="26" xfId="3" applyFont="1" applyBorder="1" applyAlignment="1">
      <alignment horizontal="center" vertical="center" wrapText="1"/>
    </xf>
    <xf numFmtId="0" fontId="31" fillId="0" borderId="27" xfId="3" applyFont="1" applyBorder="1" applyAlignment="1">
      <alignment horizontal="center" vertical="center" wrapText="1"/>
    </xf>
    <xf numFmtId="0" fontId="31" fillId="0" borderId="53" xfId="3" applyFont="1" applyBorder="1" applyAlignment="1">
      <alignment horizontal="center" vertical="center" wrapText="1"/>
    </xf>
    <xf numFmtId="0" fontId="31" fillId="0" borderId="26" xfId="0" applyFont="1" applyBorder="1" applyAlignment="1">
      <alignment horizontal="center" vertical="center"/>
    </xf>
    <xf numFmtId="0" fontId="31" fillId="0" borderId="27" xfId="0" applyFont="1" applyBorder="1" applyAlignment="1">
      <alignment horizontal="center" vertical="center"/>
    </xf>
    <xf numFmtId="0" fontId="31" fillId="0" borderId="53" xfId="0" applyFont="1" applyBorder="1" applyAlignment="1">
      <alignment horizontal="center" vertical="center"/>
    </xf>
    <xf numFmtId="0" fontId="39" fillId="6" borderId="0" xfId="24" applyFont="1" applyFill="1" applyAlignment="1">
      <alignment vertical="center"/>
    </xf>
    <xf numFmtId="0" fontId="20" fillId="4" borderId="15" xfId="24" applyFont="1" applyFill="1" applyBorder="1" applyAlignment="1">
      <alignment horizontal="center" vertical="center"/>
    </xf>
    <xf numFmtId="0" fontId="20" fillId="4" borderId="16" xfId="24" applyFont="1" applyFill="1" applyBorder="1" applyAlignment="1">
      <alignment horizontal="center" vertical="center"/>
    </xf>
    <xf numFmtId="0" fontId="20" fillId="4" borderId="161" xfId="24" applyFont="1" applyFill="1" applyBorder="1" applyAlignment="1">
      <alignment horizontal="center" vertical="center"/>
    </xf>
    <xf numFmtId="0" fontId="40" fillId="4" borderId="23" xfId="24" applyFont="1" applyFill="1" applyBorder="1" applyAlignment="1">
      <alignment horizontal="center" vertical="center"/>
    </xf>
    <xf numFmtId="0" fontId="20" fillId="4" borderId="105" xfId="24" applyFont="1" applyFill="1" applyBorder="1" applyAlignment="1">
      <alignment horizontal="center" vertical="center"/>
    </xf>
    <xf numFmtId="0" fontId="39" fillId="0" borderId="19" xfId="2" applyFont="1" applyBorder="1" applyAlignment="1">
      <alignment horizontal="center" vertical="center"/>
    </xf>
    <xf numFmtId="0" fontId="39" fillId="0" borderId="5" xfId="2" applyFont="1" applyBorder="1" applyAlignment="1">
      <alignment horizontal="center" vertical="center"/>
    </xf>
    <xf numFmtId="0" fontId="39" fillId="0" borderId="21" xfId="2" applyFont="1" applyBorder="1" applyAlignment="1">
      <alignment horizontal="center" vertical="center"/>
    </xf>
    <xf numFmtId="0" fontId="20" fillId="4" borderId="155" xfId="2" applyFont="1" applyFill="1" applyBorder="1" applyAlignment="1">
      <alignment horizontal="center" vertical="center"/>
    </xf>
    <xf numFmtId="0" fontId="20" fillId="4" borderId="159" xfId="2" applyFont="1" applyFill="1" applyBorder="1" applyAlignment="1">
      <alignment horizontal="center" vertical="center"/>
    </xf>
    <xf numFmtId="0" fontId="20" fillId="4" borderId="156" xfId="2" applyFont="1" applyFill="1" applyBorder="1" applyAlignment="1">
      <alignment horizontal="center" vertical="center"/>
    </xf>
    <xf numFmtId="0" fontId="39" fillId="6" borderId="158" xfId="2" applyFont="1" applyFill="1" applyBorder="1" applyAlignment="1">
      <alignment horizontal="center" vertical="center"/>
    </xf>
    <xf numFmtId="0" fontId="39" fillId="6" borderId="5" xfId="2" applyFont="1" applyFill="1" applyBorder="1" applyAlignment="1">
      <alignment horizontal="center" vertical="center"/>
    </xf>
    <xf numFmtId="0" fontId="39" fillId="6" borderId="21" xfId="2" applyFont="1" applyFill="1" applyBorder="1" applyAlignment="1">
      <alignment horizontal="center" vertical="center"/>
    </xf>
    <xf numFmtId="0" fontId="39" fillId="6" borderId="0" xfId="2" applyFont="1" applyFill="1" applyBorder="1" applyAlignment="1">
      <alignment horizontal="center" vertical="center"/>
    </xf>
    <xf numFmtId="0" fontId="39" fillId="6" borderId="26" xfId="2" applyFont="1" applyFill="1" applyBorder="1" applyAlignment="1">
      <alignment horizontal="left" vertical="center"/>
    </xf>
    <xf numFmtId="0" fontId="39" fillId="6" borderId="53" xfId="2" applyFont="1" applyFill="1" applyBorder="1" applyAlignment="1">
      <alignment horizontal="left" vertical="center"/>
    </xf>
    <xf numFmtId="0" fontId="39" fillId="6" borderId="151" xfId="2" applyFont="1" applyFill="1" applyBorder="1" applyAlignment="1">
      <alignment horizontal="center" vertical="center"/>
    </xf>
    <xf numFmtId="0" fontId="39" fillId="6" borderId="160" xfId="2" applyFont="1" applyFill="1" applyBorder="1" applyAlignment="1">
      <alignment horizontal="center" vertical="center"/>
    </xf>
    <xf numFmtId="0" fontId="20" fillId="4" borderId="0" xfId="2" applyFont="1" applyFill="1" applyAlignment="1">
      <alignment horizontal="center" vertical="center" wrapText="1"/>
    </xf>
    <xf numFmtId="0" fontId="39" fillId="4" borderId="155" xfId="2" applyFont="1" applyFill="1" applyBorder="1" applyAlignment="1">
      <alignment horizontal="center" vertical="center"/>
    </xf>
    <xf numFmtId="0" fontId="39" fillId="4" borderId="159" xfId="2" applyFont="1" applyFill="1" applyBorder="1" applyAlignment="1">
      <alignment horizontal="center" vertical="center"/>
    </xf>
    <xf numFmtId="0" fontId="39" fillId="4" borderId="156" xfId="2" applyFont="1" applyFill="1" applyBorder="1" applyAlignment="1">
      <alignment horizontal="center" vertical="center"/>
    </xf>
    <xf numFmtId="0" fontId="39" fillId="6" borderId="23" xfId="2" applyFont="1" applyFill="1" applyBorder="1" applyAlignment="1">
      <alignment horizontal="left" vertical="center"/>
    </xf>
    <xf numFmtId="0" fontId="20" fillId="6" borderId="0" xfId="2" applyFont="1" applyFill="1" applyAlignment="1">
      <alignment horizontal="center" vertical="center"/>
    </xf>
    <xf numFmtId="0" fontId="39" fillId="6" borderId="21" xfId="2" applyFont="1" applyFill="1" applyBorder="1" applyAlignment="1">
      <alignment horizontal="left" vertical="center"/>
    </xf>
    <xf numFmtId="0" fontId="10" fillId="6" borderId="23" xfId="3" applyFont="1" applyFill="1" applyBorder="1" applyAlignment="1">
      <alignment horizontal="center" vertical="center"/>
    </xf>
    <xf numFmtId="1" fontId="10" fillId="6" borderId="26" xfId="3" applyNumberFormat="1" applyFont="1" applyFill="1" applyBorder="1" applyAlignment="1">
      <alignment horizontal="center" vertical="center"/>
    </xf>
    <xf numFmtId="1" fontId="10" fillId="6" borderId="27" xfId="3" applyNumberFormat="1" applyFont="1" applyFill="1" applyBorder="1" applyAlignment="1">
      <alignment horizontal="center" vertical="center"/>
    </xf>
    <xf numFmtId="1" fontId="10" fillId="6" borderId="53" xfId="3" applyNumberFormat="1" applyFont="1" applyFill="1" applyBorder="1" applyAlignment="1">
      <alignment horizontal="center" vertical="center"/>
    </xf>
    <xf numFmtId="0" fontId="9" fillId="4" borderId="23" xfId="0" applyFont="1" applyFill="1" applyBorder="1" applyAlignment="1">
      <alignment horizontal="center" vertical="center"/>
    </xf>
    <xf numFmtId="0" fontId="9" fillId="4" borderId="23" xfId="0" applyFont="1" applyFill="1" applyBorder="1" applyAlignment="1">
      <alignment horizontal="center" vertical="center" wrapText="1"/>
    </xf>
    <xf numFmtId="2" fontId="9" fillId="4" borderId="23" xfId="0" applyNumberFormat="1" applyFont="1" applyFill="1" applyBorder="1" applyAlignment="1">
      <alignment horizontal="center" vertical="center" wrapText="1"/>
    </xf>
    <xf numFmtId="0" fontId="18" fillId="4" borderId="1" xfId="0" applyFont="1" applyFill="1" applyBorder="1" applyAlignment="1">
      <alignment horizontal="center" vertical="center"/>
    </xf>
    <xf numFmtId="0" fontId="18" fillId="4" borderId="3" xfId="0" applyFont="1" applyFill="1" applyBorder="1" applyAlignment="1">
      <alignment horizontal="center" vertical="center"/>
    </xf>
    <xf numFmtId="0" fontId="10" fillId="4" borderId="26" xfId="0" applyNumberFormat="1" applyFont="1" applyFill="1" applyBorder="1" applyAlignment="1">
      <alignment horizontal="center" vertical="center"/>
    </xf>
    <xf numFmtId="0" fontId="10" fillId="4" borderId="53" xfId="0" applyNumberFormat="1" applyFont="1" applyFill="1" applyBorder="1" applyAlignment="1">
      <alignment horizontal="center" vertical="center"/>
    </xf>
    <xf numFmtId="0" fontId="10" fillId="24" borderId="19" xfId="0" applyNumberFormat="1" applyFont="1" applyFill="1" applyBorder="1" applyAlignment="1">
      <alignment horizontal="center" vertical="center" textRotation="90"/>
    </xf>
    <xf numFmtId="0" fontId="10" fillId="24" borderId="5" xfId="0" applyNumberFormat="1" applyFont="1" applyFill="1" applyBorder="1" applyAlignment="1">
      <alignment horizontal="center" vertical="center" textRotation="90"/>
    </xf>
    <xf numFmtId="0" fontId="10" fillId="24" borderId="21" xfId="0" applyNumberFormat="1" applyFont="1" applyFill="1" applyBorder="1" applyAlignment="1">
      <alignment horizontal="center" vertical="center" textRotation="90"/>
    </xf>
    <xf numFmtId="0" fontId="10" fillId="4" borderId="23" xfId="0" applyNumberFormat="1" applyFont="1" applyFill="1" applyBorder="1" applyAlignment="1">
      <alignment horizontal="center" vertical="center"/>
    </xf>
    <xf numFmtId="0" fontId="10" fillId="4" borderId="27" xfId="0" applyNumberFormat="1" applyFont="1" applyFill="1" applyBorder="1" applyAlignment="1">
      <alignment horizontal="center" vertical="center"/>
    </xf>
    <xf numFmtId="0" fontId="10" fillId="25" borderId="23" xfId="0" applyNumberFormat="1" applyFont="1" applyFill="1" applyBorder="1" applyAlignment="1">
      <alignment horizontal="center" vertical="center" textRotation="90"/>
    </xf>
    <xf numFmtId="0" fontId="10" fillId="25" borderId="5" xfId="0" applyNumberFormat="1" applyFont="1" applyFill="1" applyBorder="1" applyAlignment="1">
      <alignment horizontal="center" vertical="center" textRotation="90"/>
    </xf>
    <xf numFmtId="0" fontId="10" fillId="25" borderId="21" xfId="0" applyNumberFormat="1" applyFont="1" applyFill="1" applyBorder="1" applyAlignment="1">
      <alignment horizontal="center" vertical="center" textRotation="90"/>
    </xf>
    <xf numFmtId="0" fontId="10" fillId="6" borderId="158" xfId="3" applyFill="1" applyBorder="1" applyAlignment="1" applyProtection="1">
      <alignment horizontal="center" vertical="center" wrapText="1"/>
      <protection locked="0"/>
    </xf>
    <xf numFmtId="0" fontId="10" fillId="6" borderId="5" xfId="3" applyFill="1" applyBorder="1" applyAlignment="1" applyProtection="1">
      <alignment horizontal="center" vertical="center" wrapText="1"/>
      <protection locked="0"/>
    </xf>
    <xf numFmtId="0" fontId="10" fillId="6" borderId="21" xfId="3" applyFill="1" applyBorder="1" applyAlignment="1" applyProtection="1">
      <alignment horizontal="center" vertical="center" wrapText="1"/>
      <protection locked="0"/>
    </xf>
    <xf numFmtId="0" fontId="20" fillId="4" borderId="105" xfId="2" applyFont="1" applyFill="1" applyBorder="1" applyAlignment="1">
      <alignment horizontal="center" vertical="center"/>
    </xf>
    <xf numFmtId="0" fontId="20" fillId="4" borderId="21" xfId="0" applyFont="1" applyFill="1" applyBorder="1" applyAlignment="1">
      <alignment horizontal="center" vertical="center"/>
    </xf>
    <xf numFmtId="0" fontId="20" fillId="4" borderId="23" xfId="0" applyFont="1" applyFill="1" applyBorder="1" applyAlignment="1">
      <alignment horizontal="center" vertical="center"/>
    </xf>
    <xf numFmtId="0" fontId="10" fillId="6" borderId="28" xfId="3" applyFill="1" applyBorder="1" applyAlignment="1" applyProtection="1">
      <alignment horizontal="center" vertical="center" wrapText="1"/>
      <protection locked="0"/>
    </xf>
    <xf numFmtId="0" fontId="10" fillId="6" borderId="0" xfId="3" applyFill="1" applyBorder="1" applyAlignment="1" applyProtection="1">
      <alignment horizontal="center" vertical="center" wrapText="1"/>
      <protection locked="0"/>
    </xf>
    <xf numFmtId="0" fontId="9" fillId="4" borderId="101" xfId="0" applyFont="1" applyFill="1" applyBorder="1" applyAlignment="1">
      <alignment horizontal="center" vertical="center" wrapText="1"/>
    </xf>
    <xf numFmtId="0" fontId="9" fillId="4" borderId="102" xfId="0" applyFont="1" applyFill="1" applyBorder="1" applyAlignment="1">
      <alignment horizontal="center" vertical="center" wrapText="1"/>
    </xf>
    <xf numFmtId="0" fontId="9" fillId="4" borderId="103" xfId="0" applyFont="1" applyFill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9" fillId="4" borderId="15" xfId="0" applyFont="1" applyFill="1" applyBorder="1" applyAlignment="1">
      <alignment horizontal="center" vertical="center"/>
    </xf>
    <xf numFmtId="0" fontId="9" fillId="4" borderId="16" xfId="0" applyFont="1" applyFill="1" applyBorder="1" applyAlignment="1">
      <alignment horizontal="center" vertical="center"/>
    </xf>
    <xf numFmtId="0" fontId="9" fillId="4" borderId="14" xfId="0" applyFont="1" applyFill="1" applyBorder="1" applyAlignment="1">
      <alignment horizontal="center" vertical="center"/>
    </xf>
    <xf numFmtId="0" fontId="10" fillId="0" borderId="60" xfId="0" applyFont="1" applyBorder="1" applyAlignment="1">
      <alignment horizontal="center" vertical="center" wrapText="1"/>
    </xf>
    <xf numFmtId="0" fontId="10" fillId="0" borderId="48" xfId="0" applyFont="1" applyBorder="1" applyAlignment="1">
      <alignment horizontal="center" vertical="center" wrapText="1"/>
    </xf>
    <xf numFmtId="0" fontId="10" fillId="0" borderId="61" xfId="0" applyFont="1" applyBorder="1" applyAlignment="1">
      <alignment horizontal="center" vertical="center" wrapText="1"/>
    </xf>
    <xf numFmtId="0" fontId="10" fillId="0" borderId="65" xfId="0" applyFont="1" applyBorder="1" applyAlignment="1">
      <alignment horizontal="center" vertical="center" wrapText="1"/>
    </xf>
    <xf numFmtId="0" fontId="10" fillId="0" borderId="58" xfId="0" applyFont="1" applyBorder="1" applyAlignment="1">
      <alignment horizontal="center" vertical="center" wrapText="1"/>
    </xf>
    <xf numFmtId="0" fontId="10" fillId="0" borderId="64" xfId="0" applyFont="1" applyBorder="1" applyAlignment="1">
      <alignment horizontal="center" vertical="center" wrapText="1"/>
    </xf>
    <xf numFmtId="0" fontId="10" fillId="0" borderId="76" xfId="0" applyFont="1" applyBorder="1" applyAlignment="1">
      <alignment horizontal="center" vertical="center" wrapText="1"/>
    </xf>
    <xf numFmtId="0" fontId="10" fillId="0" borderId="73" xfId="0" applyFont="1" applyBorder="1" applyAlignment="1">
      <alignment horizontal="center" vertical="center" wrapText="1"/>
    </xf>
    <xf numFmtId="0" fontId="10" fillId="0" borderId="63" xfId="0" applyFont="1" applyBorder="1" applyAlignment="1">
      <alignment horizontal="center" vertical="center" wrapText="1"/>
    </xf>
    <xf numFmtId="0" fontId="10" fillId="0" borderId="62" xfId="0" applyFont="1" applyBorder="1" applyAlignment="1">
      <alignment horizontal="center" vertical="center" wrapText="1"/>
    </xf>
    <xf numFmtId="0" fontId="10" fillId="0" borderId="74" xfId="0" applyFont="1" applyBorder="1" applyAlignment="1">
      <alignment horizontal="center" vertical="center" wrapText="1"/>
    </xf>
    <xf numFmtId="0" fontId="10" fillId="0" borderId="20" xfId="0" applyFont="1" applyBorder="1" applyAlignment="1">
      <alignment horizontal="center" vertical="center" wrapText="1"/>
    </xf>
    <xf numFmtId="0" fontId="10" fillId="0" borderId="77" xfId="0" applyFont="1" applyBorder="1" applyAlignment="1">
      <alignment horizontal="center" vertical="center" wrapText="1"/>
    </xf>
    <xf numFmtId="0" fontId="10" fillId="0" borderId="56" xfId="0" applyFont="1" applyBorder="1" applyAlignment="1">
      <alignment horizontal="center" vertical="center" wrapText="1"/>
    </xf>
    <xf numFmtId="0" fontId="10" fillId="0" borderId="24" xfId="0" applyFont="1" applyBorder="1" applyAlignment="1">
      <alignment horizontal="center" vertical="center" wrapText="1"/>
    </xf>
    <xf numFmtId="0" fontId="10" fillId="0" borderId="106" xfId="0" applyFont="1" applyBorder="1" applyAlignment="1">
      <alignment horizontal="center" vertical="center" wrapText="1"/>
    </xf>
    <xf numFmtId="0" fontId="10" fillId="0" borderId="93" xfId="0" applyFont="1" applyBorder="1" applyAlignment="1">
      <alignment horizontal="center" vertical="center" wrapText="1"/>
    </xf>
    <xf numFmtId="0" fontId="10" fillId="0" borderId="94" xfId="0" applyFont="1" applyBorder="1" applyAlignment="1">
      <alignment horizontal="center" vertical="center" wrapText="1"/>
    </xf>
    <xf numFmtId="0" fontId="10" fillId="0" borderId="18" xfId="0" applyFont="1" applyBorder="1" applyAlignment="1">
      <alignment horizontal="center" vertical="center" wrapText="1"/>
    </xf>
    <xf numFmtId="0" fontId="10" fillId="0" borderId="80" xfId="0" applyFont="1" applyBorder="1" applyAlignment="1">
      <alignment horizontal="center" vertical="center" wrapText="1"/>
    </xf>
    <xf numFmtId="0" fontId="10" fillId="26" borderId="73" xfId="0" applyFont="1" applyFill="1" applyBorder="1" applyAlignment="1">
      <alignment horizontal="center" vertical="center" wrapText="1"/>
    </xf>
    <xf numFmtId="0" fontId="10" fillId="26" borderId="63" xfId="0" applyFont="1" applyFill="1" applyBorder="1" applyAlignment="1">
      <alignment horizontal="center" vertical="center" wrapText="1"/>
    </xf>
    <xf numFmtId="0" fontId="10" fillId="26" borderId="62" xfId="0" applyFont="1" applyFill="1" applyBorder="1" applyAlignment="1">
      <alignment horizontal="center" vertical="center" wrapText="1"/>
    </xf>
    <xf numFmtId="0" fontId="10" fillId="26" borderId="61" xfId="0" applyFont="1" applyFill="1" applyBorder="1" applyAlignment="1">
      <alignment horizontal="center" vertical="center" wrapText="1"/>
    </xf>
    <xf numFmtId="0" fontId="10" fillId="26" borderId="56" xfId="0" applyFont="1" applyFill="1" applyBorder="1" applyAlignment="1">
      <alignment horizontal="center" vertical="center" wrapText="1"/>
    </xf>
    <xf numFmtId="0" fontId="10" fillId="26" borderId="58" xfId="0" applyFont="1" applyFill="1" applyBorder="1" applyAlignment="1">
      <alignment horizontal="center" vertical="center" wrapText="1"/>
    </xf>
    <xf numFmtId="0" fontId="10" fillId="26" borderId="24" xfId="0" applyFont="1" applyFill="1" applyBorder="1" applyAlignment="1">
      <alignment horizontal="center" vertical="center" wrapText="1"/>
    </xf>
    <xf numFmtId="0" fontId="10" fillId="26" borderId="60" xfId="0" applyFont="1" applyFill="1" applyBorder="1" applyAlignment="1">
      <alignment horizontal="center" vertical="center" wrapText="1"/>
    </xf>
    <xf numFmtId="0" fontId="10" fillId="26" borderId="48" xfId="0" applyFont="1" applyFill="1" applyBorder="1" applyAlignment="1">
      <alignment horizontal="center" vertical="center" wrapText="1"/>
    </xf>
    <xf numFmtId="0" fontId="9" fillId="4" borderId="26" xfId="0" applyFont="1" applyFill="1" applyBorder="1" applyAlignment="1">
      <alignment horizontal="center" vertical="center"/>
    </xf>
    <xf numFmtId="0" fontId="9" fillId="4" borderId="155" xfId="0" applyFont="1" applyFill="1" applyBorder="1" applyAlignment="1">
      <alignment horizontal="center" vertical="center"/>
    </xf>
    <xf numFmtId="0" fontId="10" fillId="26" borderId="93" xfId="0" applyFont="1" applyFill="1" applyBorder="1" applyAlignment="1">
      <alignment horizontal="center" vertical="center" wrapText="1"/>
    </xf>
    <xf numFmtId="0" fontId="10" fillId="26" borderId="64" xfId="0" applyFont="1" applyFill="1" applyBorder="1" applyAlignment="1">
      <alignment horizontal="center" vertical="center" wrapText="1"/>
    </xf>
    <xf numFmtId="0" fontId="10" fillId="26" borderId="76" xfId="0" applyFont="1" applyFill="1" applyBorder="1" applyAlignment="1">
      <alignment horizontal="center" vertical="center" wrapText="1"/>
    </xf>
    <xf numFmtId="0" fontId="10" fillId="26" borderId="20" xfId="0" applyFont="1" applyFill="1" applyBorder="1" applyAlignment="1">
      <alignment horizontal="center" vertical="center" wrapText="1"/>
    </xf>
    <xf numFmtId="0" fontId="10" fillId="26" borderId="77" xfId="0" applyFont="1" applyFill="1" applyBorder="1" applyAlignment="1">
      <alignment horizontal="center" vertical="center" wrapText="1"/>
    </xf>
    <xf numFmtId="0" fontId="9" fillId="15" borderId="142" xfId="0" applyFont="1" applyFill="1" applyBorder="1" applyAlignment="1">
      <alignment horizontal="center" vertical="center" wrapText="1"/>
    </xf>
    <xf numFmtId="0" fontId="9" fillId="15" borderId="140" xfId="0" applyFont="1" applyFill="1" applyBorder="1" applyAlignment="1">
      <alignment horizontal="center" vertical="center" wrapText="1"/>
    </xf>
    <xf numFmtId="0" fontId="9" fillId="15" borderId="141" xfId="0" applyFont="1" applyFill="1" applyBorder="1" applyAlignment="1">
      <alignment horizontal="center" vertical="center" wrapText="1"/>
    </xf>
    <xf numFmtId="2" fontId="33" fillId="15" borderId="130" xfId="0" applyNumberFormat="1" applyFont="1" applyFill="1" applyBorder="1" applyAlignment="1">
      <alignment horizontal="center" vertical="center" wrapText="1"/>
    </xf>
    <xf numFmtId="0" fontId="33" fillId="15" borderId="129" xfId="0" applyFont="1" applyFill="1" applyBorder="1" applyAlignment="1">
      <alignment horizontal="center" vertical="center" wrapText="1"/>
    </xf>
    <xf numFmtId="0" fontId="33" fillId="15" borderId="113" xfId="0" applyFont="1" applyFill="1" applyBorder="1" applyAlignment="1">
      <alignment horizontal="center" vertical="center" wrapText="1"/>
    </xf>
    <xf numFmtId="2" fontId="33" fillId="15" borderId="112" xfId="0" applyNumberFormat="1" applyFont="1" applyFill="1" applyBorder="1" applyAlignment="1">
      <alignment horizontal="center" vertical="center" wrapText="1"/>
    </xf>
    <xf numFmtId="0" fontId="9" fillId="15" borderId="139" xfId="0" applyFont="1" applyFill="1" applyBorder="1" applyAlignment="1">
      <alignment horizontal="center" vertical="center" wrapText="1"/>
    </xf>
    <xf numFmtId="0" fontId="21" fillId="14" borderId="139" xfId="0" applyFont="1" applyFill="1" applyBorder="1" applyAlignment="1">
      <alignment horizontal="center" vertical="center" wrapText="1"/>
    </xf>
    <xf numFmtId="0" fontId="21" fillId="14" borderId="141" xfId="0" applyFont="1" applyFill="1" applyBorder="1" applyAlignment="1">
      <alignment horizontal="center" vertical="center" wrapText="1"/>
    </xf>
    <xf numFmtId="0" fontId="21" fillId="14" borderId="112" xfId="0" applyFont="1" applyFill="1" applyBorder="1" applyAlignment="1">
      <alignment horizontal="center" vertical="center" wrapText="1"/>
    </xf>
    <xf numFmtId="0" fontId="21" fillId="14" borderId="113" xfId="0" applyFont="1" applyFill="1" applyBorder="1" applyAlignment="1">
      <alignment horizontal="center" vertical="center" wrapText="1"/>
    </xf>
    <xf numFmtId="0" fontId="21" fillId="14" borderId="143" xfId="0" applyFont="1" applyFill="1" applyBorder="1" applyAlignment="1">
      <alignment horizontal="center" vertical="center" wrapText="1"/>
    </xf>
    <xf numFmtId="0" fontId="21" fillId="14" borderId="145" xfId="0" applyFont="1" applyFill="1" applyBorder="1" applyAlignment="1">
      <alignment horizontal="center" vertical="center" wrapText="1"/>
    </xf>
    <xf numFmtId="2" fontId="33" fillId="15" borderId="142" xfId="0" applyNumberFormat="1" applyFont="1" applyFill="1" applyBorder="1" applyAlignment="1">
      <alignment horizontal="center" vertical="center" wrapText="1"/>
    </xf>
    <xf numFmtId="0" fontId="33" fillId="15" borderId="140" xfId="0" applyFont="1" applyFill="1" applyBorder="1" applyAlignment="1">
      <alignment horizontal="center" vertical="center" wrapText="1"/>
    </xf>
    <xf numFmtId="0" fontId="33" fillId="15" borderId="141" xfId="0" applyFont="1" applyFill="1" applyBorder="1" applyAlignment="1">
      <alignment horizontal="center" vertical="center" wrapText="1"/>
    </xf>
    <xf numFmtId="2" fontId="9" fillId="15" borderId="142" xfId="0" applyNumberFormat="1" applyFont="1" applyFill="1" applyBorder="1" applyAlignment="1">
      <alignment horizontal="center" vertical="center" wrapText="1"/>
    </xf>
    <xf numFmtId="0" fontId="9" fillId="15" borderId="146" xfId="0" applyFont="1" applyFill="1" applyBorder="1" applyAlignment="1">
      <alignment horizontal="center" vertical="center" wrapText="1"/>
    </xf>
    <xf numFmtId="0" fontId="9" fillId="15" borderId="144" xfId="0" applyFont="1" applyFill="1" applyBorder="1" applyAlignment="1">
      <alignment horizontal="center" vertical="center" wrapText="1"/>
    </xf>
    <xf numFmtId="0" fontId="9" fillId="15" borderId="145" xfId="0" applyFont="1" applyFill="1" applyBorder="1" applyAlignment="1">
      <alignment horizontal="center" vertical="center" wrapText="1"/>
    </xf>
    <xf numFmtId="0" fontId="9" fillId="15" borderId="143" xfId="0" applyFont="1" applyFill="1" applyBorder="1" applyAlignment="1">
      <alignment horizontal="center" vertical="center" wrapText="1"/>
    </xf>
    <xf numFmtId="0" fontId="21" fillId="14" borderId="129" xfId="0" applyFont="1" applyFill="1" applyBorder="1" applyAlignment="1">
      <alignment horizontal="center" vertical="center" wrapText="1"/>
    </xf>
    <xf numFmtId="2" fontId="33" fillId="15" borderId="121" xfId="0" applyNumberFormat="1" applyFont="1" applyFill="1" applyBorder="1" applyAlignment="1">
      <alignment horizontal="center" vertical="center" wrapText="1"/>
    </xf>
    <xf numFmtId="0" fontId="33" fillId="15" borderId="124" xfId="0" applyFont="1" applyFill="1" applyBorder="1" applyAlignment="1">
      <alignment horizontal="center" vertical="center" wrapText="1"/>
    </xf>
    <xf numFmtId="0" fontId="33" fillId="15" borderId="122" xfId="0" applyFont="1" applyFill="1" applyBorder="1" applyAlignment="1">
      <alignment horizontal="center" vertical="center" wrapText="1"/>
    </xf>
    <xf numFmtId="2" fontId="9" fillId="15" borderId="139" xfId="0" applyNumberFormat="1" applyFont="1" applyFill="1" applyBorder="1" applyAlignment="1">
      <alignment horizontal="center" vertical="center" wrapText="1"/>
    </xf>
    <xf numFmtId="2" fontId="9" fillId="15" borderId="146" xfId="0" applyNumberFormat="1" applyFont="1" applyFill="1" applyBorder="1" applyAlignment="1">
      <alignment horizontal="center" vertical="center" wrapText="1"/>
    </xf>
    <xf numFmtId="2" fontId="33" fillId="15" borderId="139" xfId="0" applyNumberFormat="1" applyFont="1" applyFill="1" applyBorder="1" applyAlignment="1">
      <alignment horizontal="center" vertical="center" wrapText="1"/>
    </xf>
    <xf numFmtId="0" fontId="21" fillId="13" borderId="112" xfId="0" applyFont="1" applyFill="1" applyBorder="1" applyAlignment="1">
      <alignment horizontal="center" vertical="center" wrapText="1"/>
    </xf>
    <xf numFmtId="0" fontId="21" fillId="13" borderId="113" xfId="0" applyFont="1" applyFill="1" applyBorder="1" applyAlignment="1">
      <alignment horizontal="center" vertical="center" wrapText="1"/>
    </xf>
    <xf numFmtId="0" fontId="21" fillId="14" borderId="130" xfId="0" applyFont="1" applyFill="1" applyBorder="1" applyAlignment="1">
      <alignment horizontal="center" vertical="center" wrapText="1"/>
    </xf>
    <xf numFmtId="2" fontId="33" fillId="15" borderId="123" xfId="0" applyNumberFormat="1" applyFont="1" applyFill="1" applyBorder="1" applyAlignment="1">
      <alignment horizontal="center" vertical="center" wrapText="1"/>
    </xf>
    <xf numFmtId="2" fontId="9" fillId="15" borderId="143" xfId="0" applyNumberFormat="1" applyFont="1" applyFill="1" applyBorder="1" applyAlignment="1">
      <alignment horizontal="center" vertical="center" wrapText="1"/>
    </xf>
    <xf numFmtId="0" fontId="21" fillId="13" borderId="128" xfId="0" applyFont="1" applyFill="1" applyBorder="1" applyAlignment="1">
      <alignment horizontal="center" vertical="center"/>
    </xf>
    <xf numFmtId="0" fontId="21" fillId="13" borderId="114" xfId="0" applyFont="1" applyFill="1" applyBorder="1" applyAlignment="1">
      <alignment horizontal="center" vertical="center"/>
    </xf>
    <xf numFmtId="0" fontId="21" fillId="13" borderId="136" xfId="0" applyFont="1" applyFill="1" applyBorder="1" applyAlignment="1">
      <alignment horizontal="center" vertical="center"/>
    </xf>
    <xf numFmtId="0" fontId="21" fillId="14" borderId="140" xfId="0" applyFont="1" applyFill="1" applyBorder="1" applyAlignment="1">
      <alignment horizontal="center" vertical="center" wrapText="1"/>
    </xf>
    <xf numFmtId="0" fontId="21" fillId="14" borderId="147" xfId="0" applyFont="1" applyFill="1" applyBorder="1" applyAlignment="1">
      <alignment horizontal="center" vertical="center" wrapText="1"/>
    </xf>
    <xf numFmtId="0" fontId="21" fillId="14" borderId="148" xfId="0" applyFont="1" applyFill="1" applyBorder="1" applyAlignment="1">
      <alignment horizontal="center" vertical="center" wrapText="1"/>
    </xf>
    <xf numFmtId="0" fontId="21" fillId="14" borderId="144" xfId="0" applyFont="1" applyFill="1" applyBorder="1" applyAlignment="1">
      <alignment horizontal="center" vertical="center" wrapText="1"/>
    </xf>
    <xf numFmtId="0" fontId="21" fillId="14" borderId="149" xfId="0" applyFont="1" applyFill="1" applyBorder="1" applyAlignment="1">
      <alignment horizontal="center" vertical="center" wrapText="1"/>
    </xf>
    <xf numFmtId="0" fontId="21" fillId="13" borderId="132" xfId="0" applyFont="1" applyFill="1" applyBorder="1" applyAlignment="1">
      <alignment horizontal="center" vertical="center"/>
    </xf>
    <xf numFmtId="0" fontId="21" fillId="13" borderId="133" xfId="0" applyFont="1" applyFill="1" applyBorder="1" applyAlignment="1">
      <alignment horizontal="center" vertical="center"/>
    </xf>
    <xf numFmtId="0" fontId="21" fillId="13" borderId="135" xfId="0" applyFont="1" applyFill="1" applyBorder="1" applyAlignment="1">
      <alignment horizontal="center" vertical="center"/>
    </xf>
    <xf numFmtId="0" fontId="21" fillId="14" borderId="120" xfId="0" applyFont="1" applyFill="1" applyBorder="1" applyAlignment="1">
      <alignment horizontal="center" vertical="center" wrapText="1"/>
    </xf>
    <xf numFmtId="0" fontId="21" fillId="14" borderId="115" xfId="0" applyFont="1" applyFill="1" applyBorder="1" applyAlignment="1">
      <alignment horizontal="center" vertical="center" wrapText="1"/>
    </xf>
    <xf numFmtId="0" fontId="21" fillId="14" borderId="116" xfId="0" applyFont="1" applyFill="1" applyBorder="1" applyAlignment="1">
      <alignment horizontal="center" vertical="center" wrapText="1"/>
    </xf>
    <xf numFmtId="0" fontId="21" fillId="14" borderId="127" xfId="0" applyFont="1" applyFill="1" applyBorder="1" applyAlignment="1">
      <alignment horizontal="center" vertical="center" wrapText="1"/>
    </xf>
    <xf numFmtId="0" fontId="21" fillId="14" borderId="118" xfId="0" applyFont="1" applyFill="1" applyBorder="1" applyAlignment="1">
      <alignment horizontal="center" vertical="center" wrapText="1"/>
    </xf>
    <xf numFmtId="0" fontId="21" fillId="14" borderId="119" xfId="0" applyFont="1" applyFill="1" applyBorder="1" applyAlignment="1">
      <alignment horizontal="center" vertical="center" wrapText="1"/>
    </xf>
    <xf numFmtId="0" fontId="21" fillId="14" borderId="132" xfId="0" applyFont="1" applyFill="1" applyBorder="1" applyAlignment="1">
      <alignment horizontal="center" vertical="center" wrapText="1"/>
    </xf>
    <xf numFmtId="0" fontId="21" fillId="14" borderId="133" xfId="0" applyFont="1" applyFill="1" applyBorder="1" applyAlignment="1">
      <alignment horizontal="center" vertical="center" wrapText="1"/>
    </xf>
    <xf numFmtId="0" fontId="21" fillId="14" borderId="135" xfId="0" applyFont="1" applyFill="1" applyBorder="1" applyAlignment="1">
      <alignment horizontal="center" vertical="center" wrapText="1"/>
    </xf>
    <xf numFmtId="0" fontId="21" fillId="14" borderId="134" xfId="0" applyFont="1" applyFill="1" applyBorder="1" applyAlignment="1">
      <alignment horizontal="center" vertical="center" wrapText="1"/>
    </xf>
    <xf numFmtId="0" fontId="21" fillId="14" borderId="125" xfId="0" applyFont="1" applyFill="1" applyBorder="1" applyAlignment="1">
      <alignment horizontal="center" vertical="center" wrapText="1"/>
    </xf>
    <xf numFmtId="0" fontId="21" fillId="14" borderId="126" xfId="0" applyFont="1" applyFill="1" applyBorder="1" applyAlignment="1">
      <alignment horizontal="center" vertical="center" wrapText="1"/>
    </xf>
    <xf numFmtId="0" fontId="21" fillId="14" borderId="82" xfId="0" applyFont="1" applyFill="1" applyBorder="1" applyAlignment="1">
      <alignment horizontal="center" vertical="center" wrapText="1"/>
    </xf>
    <xf numFmtId="0" fontId="21" fillId="14" borderId="117" xfId="0" applyFont="1" applyFill="1" applyBorder="1" applyAlignment="1">
      <alignment horizontal="center" vertical="center" wrapText="1"/>
    </xf>
    <xf numFmtId="0" fontId="21" fillId="13" borderId="134" xfId="0" applyFont="1" applyFill="1" applyBorder="1" applyAlignment="1">
      <alignment horizontal="center" vertical="center"/>
    </xf>
    <xf numFmtId="0" fontId="21" fillId="14" borderId="137" xfId="0" applyFont="1" applyFill="1" applyBorder="1" applyAlignment="1">
      <alignment horizontal="center" vertical="center" wrapText="1"/>
    </xf>
    <xf numFmtId="0" fontId="21" fillId="14" borderId="131" xfId="0" applyFont="1" applyFill="1" applyBorder="1" applyAlignment="1">
      <alignment horizontal="center" vertical="center" wrapText="1"/>
    </xf>
    <xf numFmtId="0" fontId="21" fillId="14" borderId="138" xfId="0" applyFont="1" applyFill="1" applyBorder="1" applyAlignment="1">
      <alignment horizontal="center" vertical="center" wrapText="1"/>
    </xf>
    <xf numFmtId="0" fontId="37" fillId="6" borderId="0" xfId="0" quotePrefix="1" applyFont="1" applyFill="1" applyAlignment="1">
      <alignment horizontal="left" vertical="center"/>
    </xf>
    <xf numFmtId="0" fontId="37" fillId="6" borderId="0" xfId="0" applyFont="1" applyFill="1" applyAlignment="1">
      <alignment horizontal="left" vertical="center"/>
    </xf>
    <xf numFmtId="0" fontId="22" fillId="6" borderId="0" xfId="0" quotePrefix="1" applyFont="1" applyFill="1" applyAlignment="1">
      <alignment horizontal="left" vertical="center"/>
    </xf>
    <xf numFmtId="0" fontId="22" fillId="6" borderId="0" xfId="0" applyFont="1" applyFill="1" applyAlignment="1">
      <alignment horizontal="left" vertical="center"/>
    </xf>
    <xf numFmtId="0" fontId="21" fillId="14" borderId="1" xfId="0" applyFont="1" applyFill="1" applyBorder="1" applyAlignment="1">
      <alignment horizontal="center" vertical="center" wrapText="1"/>
    </xf>
    <xf numFmtId="0" fontId="21" fillId="14" borderId="3" xfId="0" applyFont="1" applyFill="1" applyBorder="1" applyAlignment="1">
      <alignment horizontal="center" vertical="center" wrapText="1"/>
    </xf>
    <xf numFmtId="0" fontId="34" fillId="6" borderId="0" xfId="0" applyFont="1" applyFill="1" applyAlignment="1">
      <alignment horizontal="left" vertical="center"/>
    </xf>
    <xf numFmtId="0" fontId="35" fillId="6" borderId="0" xfId="0" quotePrefix="1" applyFont="1" applyFill="1" applyAlignment="1">
      <alignment horizontal="left" vertical="center"/>
    </xf>
    <xf numFmtId="0" fontId="35" fillId="6" borderId="0" xfId="0" applyFont="1" applyFill="1" applyAlignment="1">
      <alignment horizontal="left" vertical="center"/>
    </xf>
    <xf numFmtId="0" fontId="29" fillId="6" borderId="0" xfId="0" quotePrefix="1" applyFont="1" applyFill="1" applyAlignment="1">
      <alignment horizontal="left" vertical="center"/>
    </xf>
    <xf numFmtId="0" fontId="29" fillId="6" borderId="0" xfId="0" applyFont="1" applyFill="1" applyAlignment="1">
      <alignment horizontal="left" vertical="center"/>
    </xf>
    <xf numFmtId="0" fontId="56" fillId="17" borderId="50" xfId="3" applyFont="1" applyFill="1" applyBorder="1" applyAlignment="1">
      <alignment horizontal="center" vertical="center" wrapText="1"/>
    </xf>
    <xf numFmtId="0" fontId="56" fillId="17" borderId="28" xfId="3" applyFont="1" applyFill="1" applyBorder="1" applyAlignment="1">
      <alignment horizontal="center" vertical="center" wrapText="1"/>
    </xf>
    <xf numFmtId="0" fontId="56" fillId="17" borderId="51" xfId="3" applyFont="1" applyFill="1" applyBorder="1" applyAlignment="1">
      <alignment horizontal="center" vertical="center" wrapText="1"/>
    </xf>
    <xf numFmtId="0" fontId="56" fillId="17" borderId="52" xfId="3" applyFont="1" applyFill="1" applyBorder="1" applyAlignment="1">
      <alignment horizontal="center" vertical="center" wrapText="1"/>
    </xf>
    <xf numFmtId="0" fontId="56" fillId="17" borderId="66" xfId="3" applyFont="1" applyFill="1" applyBorder="1" applyAlignment="1">
      <alignment horizontal="center" vertical="center" wrapText="1"/>
    </xf>
    <xf numFmtId="0" fontId="56" fillId="17" borderId="81" xfId="3" applyFont="1" applyFill="1" applyBorder="1" applyAlignment="1">
      <alignment horizontal="center" vertical="center" wrapText="1"/>
    </xf>
    <xf numFmtId="0" fontId="10" fillId="6" borderId="50" xfId="3" applyFill="1" applyBorder="1" applyAlignment="1">
      <alignment horizontal="left" vertical="top" wrapText="1"/>
    </xf>
    <xf numFmtId="0" fontId="10" fillId="6" borderId="28" xfId="3" applyFill="1" applyBorder="1" applyAlignment="1">
      <alignment horizontal="left" vertical="top" wrapText="1"/>
    </xf>
    <xf numFmtId="0" fontId="10" fillId="6" borderId="51" xfId="3" applyFill="1" applyBorder="1" applyAlignment="1">
      <alignment horizontal="left" vertical="top" wrapText="1"/>
    </xf>
    <xf numFmtId="0" fontId="10" fillId="6" borderId="54" xfId="3" applyFill="1" applyBorder="1" applyAlignment="1">
      <alignment horizontal="left" vertical="top" wrapText="1"/>
    </xf>
    <xf numFmtId="0" fontId="10" fillId="6" borderId="0" xfId="3" applyFill="1" applyAlignment="1">
      <alignment horizontal="left" vertical="top" wrapText="1"/>
    </xf>
    <xf numFmtId="0" fontId="10" fillId="6" borderId="55" xfId="3" applyFill="1" applyBorder="1" applyAlignment="1">
      <alignment horizontal="left" vertical="top" wrapText="1"/>
    </xf>
    <xf numFmtId="0" fontId="10" fillId="6" borderId="52" xfId="3" applyFill="1" applyBorder="1" applyAlignment="1">
      <alignment horizontal="left" vertical="top" wrapText="1"/>
    </xf>
    <xf numFmtId="0" fontId="10" fillId="6" borderId="66" xfId="3" applyFill="1" applyBorder="1" applyAlignment="1">
      <alignment horizontal="left" vertical="top" wrapText="1"/>
    </xf>
    <xf numFmtId="0" fontId="10" fillId="6" borderId="81" xfId="3" applyFill="1" applyBorder="1" applyAlignment="1">
      <alignment horizontal="left" vertical="top" wrapText="1"/>
    </xf>
    <xf numFmtId="0" fontId="10" fillId="0" borderId="23" xfId="3" applyBorder="1" applyAlignment="1">
      <alignment horizontal="center" vertical="center" wrapText="1"/>
    </xf>
    <xf numFmtId="0" fontId="10" fillId="6" borderId="23" xfId="3" applyFill="1" applyBorder="1" applyAlignment="1">
      <alignment horizontal="center" vertical="center" wrapText="1"/>
    </xf>
    <xf numFmtId="0" fontId="10" fillId="16" borderId="23" xfId="3" applyFill="1" applyBorder="1" applyAlignment="1">
      <alignment horizontal="center" vertical="center" wrapText="1"/>
    </xf>
    <xf numFmtId="0" fontId="10" fillId="4" borderId="23" xfId="3" applyFill="1" applyBorder="1" applyAlignment="1">
      <alignment horizontal="center" vertical="center" wrapText="1"/>
    </xf>
    <xf numFmtId="0" fontId="56" fillId="17" borderId="0" xfId="3" applyFont="1" applyFill="1" applyAlignment="1">
      <alignment horizontal="center" vertical="center" wrapText="1"/>
    </xf>
    <xf numFmtId="0" fontId="39" fillId="18" borderId="81" xfId="3" applyFont="1" applyFill="1" applyBorder="1" applyAlignment="1">
      <alignment horizontal="center" vertical="center" wrapText="1"/>
    </xf>
    <xf numFmtId="0" fontId="39" fillId="18" borderId="21" xfId="3" applyFont="1" applyFill="1" applyBorder="1" applyAlignment="1">
      <alignment horizontal="center" vertical="center" wrapText="1"/>
    </xf>
    <xf numFmtId="0" fontId="39" fillId="18" borderId="52" xfId="3" applyFont="1" applyFill="1" applyBorder="1" applyAlignment="1">
      <alignment horizontal="center" vertical="center" wrapText="1"/>
    </xf>
    <xf numFmtId="0" fontId="10" fillId="4" borderId="26" xfId="3" applyFill="1" applyBorder="1" applyAlignment="1">
      <alignment horizontal="center" vertical="center" wrapText="1"/>
    </xf>
    <xf numFmtId="0" fontId="10" fillId="4" borderId="27" xfId="3" applyFill="1" applyBorder="1" applyAlignment="1">
      <alignment horizontal="center" vertical="center" wrapText="1"/>
    </xf>
    <xf numFmtId="0" fontId="10" fillId="4" borderId="53" xfId="3" applyFill="1" applyBorder="1" applyAlignment="1">
      <alignment horizontal="center" vertical="center" wrapText="1"/>
    </xf>
    <xf numFmtId="0" fontId="10" fillId="0" borderId="50" xfId="3" applyBorder="1" applyAlignment="1">
      <alignment horizontal="center" vertical="center" wrapText="1"/>
    </xf>
    <xf numFmtId="0" fontId="10" fillId="0" borderId="28" xfId="3" applyBorder="1" applyAlignment="1">
      <alignment horizontal="center" vertical="center" wrapText="1"/>
    </xf>
    <xf numFmtId="0" fontId="10" fillId="0" borderId="51" xfId="3" applyBorder="1" applyAlignment="1">
      <alignment horizontal="center" vertical="center" wrapText="1"/>
    </xf>
    <xf numFmtId="0" fontId="10" fillId="0" borderId="52" xfId="3" applyBorder="1" applyAlignment="1">
      <alignment horizontal="center" vertical="center" wrapText="1"/>
    </xf>
    <xf numFmtId="0" fontId="10" fillId="0" borderId="66" xfId="3" applyBorder="1" applyAlignment="1">
      <alignment horizontal="center" vertical="center" wrapText="1"/>
    </xf>
    <xf numFmtId="0" fontId="10" fillId="0" borderId="81" xfId="3" applyBorder="1" applyAlignment="1">
      <alignment horizontal="center" vertical="center" wrapText="1"/>
    </xf>
    <xf numFmtId="2" fontId="10" fillId="0" borderId="23" xfId="3" applyNumberFormat="1" applyBorder="1" applyAlignment="1">
      <alignment horizontal="center" vertical="center" wrapText="1"/>
    </xf>
    <xf numFmtId="0" fontId="9" fillId="18" borderId="81" xfId="3" applyFont="1" applyFill="1" applyBorder="1" applyAlignment="1">
      <alignment horizontal="center" vertical="center" wrapText="1"/>
    </xf>
    <xf numFmtId="0" fontId="9" fillId="18" borderId="21" xfId="3" applyFont="1" applyFill="1" applyBorder="1" applyAlignment="1">
      <alignment horizontal="center" vertical="center" wrapText="1"/>
    </xf>
    <xf numFmtId="0" fontId="9" fillId="18" borderId="52" xfId="3" applyFont="1" applyFill="1" applyBorder="1" applyAlignment="1">
      <alignment horizontal="center" vertical="center" wrapText="1"/>
    </xf>
    <xf numFmtId="2" fontId="10" fillId="4" borderId="23" xfId="3" applyNumberFormat="1" applyFill="1" applyBorder="1" applyAlignment="1">
      <alignment horizontal="center" vertical="center" wrapText="1"/>
    </xf>
    <xf numFmtId="2" fontId="10" fillId="0" borderId="50" xfId="3" applyNumberFormat="1" applyBorder="1" applyAlignment="1">
      <alignment horizontal="center" vertical="center" wrapText="1"/>
    </xf>
    <xf numFmtId="2" fontId="10" fillId="0" borderId="28" xfId="3" applyNumberFormat="1" applyBorder="1" applyAlignment="1">
      <alignment horizontal="center" vertical="center" wrapText="1"/>
    </xf>
    <xf numFmtId="2" fontId="10" fillId="0" borderId="51" xfId="3" applyNumberFormat="1" applyBorder="1" applyAlignment="1">
      <alignment horizontal="center" vertical="center" wrapText="1"/>
    </xf>
    <xf numFmtId="2" fontId="10" fillId="0" borderId="52" xfId="3" applyNumberFormat="1" applyBorder="1" applyAlignment="1">
      <alignment horizontal="center" vertical="center" wrapText="1"/>
    </xf>
    <xf numFmtId="2" fontId="10" fillId="0" borderId="66" xfId="3" applyNumberFormat="1" applyBorder="1" applyAlignment="1">
      <alignment horizontal="center" vertical="center" wrapText="1"/>
    </xf>
    <xf numFmtId="2" fontId="10" fillId="0" borderId="81" xfId="3" applyNumberFormat="1" applyBorder="1" applyAlignment="1">
      <alignment horizontal="center" vertical="center" wrapText="1"/>
    </xf>
    <xf numFmtId="0" fontId="10" fillId="28" borderId="23" xfId="3" applyFill="1" applyBorder="1" applyAlignment="1">
      <alignment horizontal="center" vertical="center" wrapText="1"/>
    </xf>
    <xf numFmtId="2" fontId="10" fillId="16" borderId="23" xfId="3" applyNumberFormat="1" applyFill="1" applyBorder="1" applyAlignment="1">
      <alignment horizontal="center" vertical="center" wrapText="1"/>
    </xf>
    <xf numFmtId="0" fontId="10" fillId="0" borderId="23" xfId="3" applyBorder="1" applyAlignment="1">
      <alignment horizontal="left" vertical="top" wrapText="1"/>
    </xf>
    <xf numFmtId="0" fontId="10" fillId="0" borderId="23" xfId="3" applyBorder="1" applyAlignment="1">
      <alignment horizontal="left" vertical="center" wrapText="1"/>
    </xf>
    <xf numFmtId="0" fontId="10" fillId="0" borderId="19" xfId="3" applyBorder="1" applyAlignment="1">
      <alignment horizontal="center" vertical="center" wrapText="1"/>
    </xf>
    <xf numFmtId="0" fontId="10" fillId="0" borderId="21" xfId="3" applyBorder="1" applyAlignment="1">
      <alignment horizontal="center" vertical="center" wrapText="1"/>
    </xf>
    <xf numFmtId="0" fontId="10" fillId="0" borderId="50" xfId="3" applyBorder="1" applyAlignment="1">
      <alignment horizontal="left" vertical="center" wrapText="1"/>
    </xf>
    <xf numFmtId="0" fontId="10" fillId="0" borderId="28" xfId="3" applyBorder="1" applyAlignment="1">
      <alignment horizontal="left" vertical="center" wrapText="1"/>
    </xf>
    <xf numFmtId="0" fontId="10" fillId="0" borderId="51" xfId="3" applyBorder="1" applyAlignment="1">
      <alignment horizontal="left" vertical="center" wrapText="1"/>
    </xf>
    <xf numFmtId="0" fontId="10" fillId="0" borderId="52" xfId="3" applyBorder="1" applyAlignment="1">
      <alignment horizontal="left" vertical="center" wrapText="1"/>
    </xf>
    <xf numFmtId="0" fontId="10" fillId="0" borderId="66" xfId="3" applyBorder="1" applyAlignment="1">
      <alignment horizontal="left" vertical="center" wrapText="1"/>
    </xf>
    <xf numFmtId="0" fontId="10" fillId="0" borderId="81" xfId="3" applyBorder="1" applyAlignment="1">
      <alignment horizontal="left" vertical="center" wrapText="1"/>
    </xf>
    <xf numFmtId="0" fontId="10" fillId="0" borderId="23" xfId="3" applyFont="1" applyBorder="1" applyAlignment="1">
      <alignment horizontal="center" vertical="center" wrapText="1"/>
    </xf>
    <xf numFmtId="0" fontId="10" fillId="0" borderId="23" xfId="3" applyFont="1" applyBorder="1" applyAlignment="1">
      <alignment horizontal="left" vertical="center" wrapText="1"/>
    </xf>
    <xf numFmtId="0" fontId="10" fillId="4" borderId="23" xfId="3" applyFill="1" applyBorder="1" applyAlignment="1">
      <alignment horizontal="center" wrapText="1"/>
    </xf>
    <xf numFmtId="0" fontId="9" fillId="0" borderId="26" xfId="3" applyFont="1" applyBorder="1" applyAlignment="1">
      <alignment horizontal="left"/>
    </xf>
    <xf numFmtId="0" fontId="9" fillId="0" borderId="53" xfId="3" applyFont="1" applyBorder="1" applyAlignment="1">
      <alignment horizontal="left"/>
    </xf>
    <xf numFmtId="0" fontId="10" fillId="0" borderId="26" xfId="3" applyBorder="1" applyAlignment="1">
      <alignment horizontal="center" wrapText="1"/>
    </xf>
    <xf numFmtId="0" fontId="10" fillId="0" borderId="27" xfId="3" applyBorder="1" applyAlignment="1">
      <alignment horizontal="center" wrapText="1"/>
    </xf>
    <xf numFmtId="0" fontId="10" fillId="0" borderId="53" xfId="3" applyBorder="1" applyAlignment="1">
      <alignment horizontal="center" wrapText="1"/>
    </xf>
    <xf numFmtId="0" fontId="9" fillId="0" borderId="23" xfId="3" applyFont="1" applyBorder="1" applyAlignment="1">
      <alignment horizontal="left"/>
    </xf>
    <xf numFmtId="0" fontId="9" fillId="0" borderId="23" xfId="3" applyFont="1" applyBorder="1" applyAlignment="1">
      <alignment horizontal="left" vertical="center" wrapText="1"/>
    </xf>
    <xf numFmtId="0" fontId="9" fillId="0" borderId="23" xfId="3" applyFont="1" applyBorder="1" applyAlignment="1">
      <alignment horizontal="center" vertical="center" wrapText="1"/>
    </xf>
    <xf numFmtId="0" fontId="10" fillId="0" borderId="26" xfId="3" applyBorder="1" applyAlignment="1">
      <alignment horizontal="center" vertical="center" wrapText="1"/>
    </xf>
    <xf numFmtId="0" fontId="10" fillId="0" borderId="27" xfId="3" applyBorder="1" applyAlignment="1">
      <alignment horizontal="center" vertical="center" wrapText="1"/>
    </xf>
    <xf numFmtId="0" fontId="10" fillId="0" borderId="53" xfId="3" applyBorder="1" applyAlignment="1">
      <alignment horizontal="center" vertical="center" wrapText="1"/>
    </xf>
    <xf numFmtId="0" fontId="10" fillId="16" borderId="23" xfId="3" applyFill="1" applyBorder="1" applyAlignment="1">
      <alignment horizontal="center" wrapText="1"/>
    </xf>
    <xf numFmtId="14" fontId="10" fillId="0" borderId="50" xfId="3" applyNumberFormat="1" applyBorder="1" applyAlignment="1">
      <alignment horizontal="center" vertical="center" wrapText="1"/>
    </xf>
    <xf numFmtId="14" fontId="10" fillId="0" borderId="51" xfId="3" applyNumberFormat="1" applyBorder="1" applyAlignment="1">
      <alignment horizontal="center" vertical="center" wrapText="1"/>
    </xf>
    <xf numFmtId="14" fontId="10" fillId="0" borderId="52" xfId="3" applyNumberFormat="1" applyBorder="1" applyAlignment="1">
      <alignment horizontal="center" vertical="center" wrapText="1"/>
    </xf>
    <xf numFmtId="14" fontId="10" fillId="0" borderId="81" xfId="3" applyNumberFormat="1" applyBorder="1" applyAlignment="1">
      <alignment horizontal="center" vertical="center" wrapText="1"/>
    </xf>
    <xf numFmtId="0" fontId="10" fillId="0" borderId="50" xfId="3" applyNumberFormat="1" applyBorder="1" applyAlignment="1">
      <alignment horizontal="center" vertical="center" wrapText="1"/>
    </xf>
    <xf numFmtId="0" fontId="10" fillId="0" borderId="51" xfId="3" applyNumberFormat="1" applyBorder="1" applyAlignment="1">
      <alignment horizontal="center" vertical="center" wrapText="1"/>
    </xf>
    <xf numFmtId="0" fontId="10" fillId="0" borderId="52" xfId="3" applyNumberFormat="1" applyBorder="1" applyAlignment="1">
      <alignment horizontal="center" vertical="center" wrapText="1"/>
    </xf>
    <xf numFmtId="0" fontId="10" fillId="0" borderId="81" xfId="3" applyNumberFormat="1" applyBorder="1" applyAlignment="1">
      <alignment horizontal="center" vertical="center" wrapText="1"/>
    </xf>
    <xf numFmtId="0" fontId="10" fillId="0" borderId="25" xfId="3" applyBorder="1" applyAlignment="1">
      <alignment horizontal="center" vertical="center" wrapText="1"/>
    </xf>
    <xf numFmtId="0" fontId="10" fillId="0" borderId="2" xfId="3" applyBorder="1" applyAlignment="1">
      <alignment horizontal="center" vertical="center" wrapText="1"/>
    </xf>
    <xf numFmtId="0" fontId="10" fillId="0" borderId="9" xfId="3" applyBorder="1" applyAlignment="1">
      <alignment horizontal="center" vertical="center" wrapText="1"/>
    </xf>
    <xf numFmtId="0" fontId="10" fillId="0" borderId="13" xfId="3" applyBorder="1" applyAlignment="1">
      <alignment horizontal="center" vertical="center" wrapText="1"/>
    </xf>
    <xf numFmtId="0" fontId="10" fillId="0" borderId="11" xfId="3" applyBorder="1" applyAlignment="1">
      <alignment horizontal="center" vertical="center" wrapText="1"/>
    </xf>
    <xf numFmtId="0" fontId="10" fillId="0" borderId="59" xfId="3" applyBorder="1" applyAlignment="1">
      <alignment horizontal="center" vertical="center" wrapText="1"/>
    </xf>
    <xf numFmtId="0" fontId="10" fillId="0" borderId="10" xfId="3" applyBorder="1" applyAlignment="1">
      <alignment horizontal="center" vertical="center" wrapText="1"/>
    </xf>
    <xf numFmtId="0" fontId="10" fillId="0" borderId="0" xfId="3" applyAlignment="1">
      <alignment horizontal="center" vertical="center" wrapText="1"/>
    </xf>
    <xf numFmtId="0" fontId="10" fillId="0" borderId="29" xfId="3" applyBorder="1" applyAlignment="1">
      <alignment horizontal="center" vertical="center" wrapText="1"/>
    </xf>
    <xf numFmtId="0" fontId="9" fillId="0" borderId="23" xfId="3" applyFont="1" applyBorder="1" applyAlignment="1">
      <alignment horizontal="center" wrapText="1"/>
    </xf>
    <xf numFmtId="0" fontId="9" fillId="18" borderId="9" xfId="3" applyFont="1" applyFill="1" applyBorder="1" applyAlignment="1">
      <alignment horizontal="center" vertical="center" wrapText="1"/>
    </xf>
    <xf numFmtId="0" fontId="9" fillId="18" borderId="0" xfId="3" applyFont="1" applyFill="1" applyBorder="1" applyAlignment="1">
      <alignment horizontal="center" vertical="center" wrapText="1"/>
    </xf>
    <xf numFmtId="0" fontId="9" fillId="18" borderId="13" xfId="3" applyFont="1" applyFill="1" applyBorder="1" applyAlignment="1">
      <alignment horizontal="center" vertical="center" wrapText="1"/>
    </xf>
    <xf numFmtId="0" fontId="9" fillId="16" borderId="9" xfId="3" applyFont="1" applyFill="1" applyBorder="1" applyAlignment="1">
      <alignment horizontal="center" vertical="top" wrapText="1"/>
    </xf>
    <xf numFmtId="0" fontId="9" fillId="16" borderId="0" xfId="3" applyFont="1" applyFill="1" applyBorder="1" applyAlignment="1">
      <alignment horizontal="center" vertical="top" wrapText="1"/>
    </xf>
    <xf numFmtId="0" fontId="9" fillId="16" borderId="13" xfId="3" applyFont="1" applyFill="1" applyBorder="1" applyAlignment="1">
      <alignment horizontal="center" vertical="top" wrapText="1"/>
    </xf>
    <xf numFmtId="0" fontId="10" fillId="19" borderId="9" xfId="3" applyFill="1" applyBorder="1" applyAlignment="1">
      <alignment horizontal="center" vertical="center" wrapText="1"/>
    </xf>
    <xf numFmtId="0" fontId="10" fillId="19" borderId="0" xfId="3" applyFill="1" applyBorder="1" applyAlignment="1">
      <alignment horizontal="center" vertical="center" wrapText="1"/>
    </xf>
    <xf numFmtId="0" fontId="10" fillId="19" borderId="13" xfId="3" applyFill="1" applyBorder="1" applyAlignment="1">
      <alignment horizontal="center" vertical="center" wrapText="1"/>
    </xf>
    <xf numFmtId="0" fontId="10" fillId="6" borderId="4" xfId="3" applyFill="1" applyBorder="1" applyAlignment="1">
      <alignment horizontal="center" vertical="center" wrapText="1"/>
    </xf>
    <xf numFmtId="0" fontId="10" fillId="6" borderId="5" xfId="3" applyFill="1" applyBorder="1" applyAlignment="1">
      <alignment horizontal="center" vertical="center" wrapText="1"/>
    </xf>
    <xf numFmtId="0" fontId="10" fillId="6" borderId="49" xfId="3" applyFill="1" applyBorder="1" applyAlignment="1">
      <alignment horizontal="center" vertical="center" wrapText="1"/>
    </xf>
    <xf numFmtId="0" fontId="10" fillId="6" borderId="7" xfId="3" applyFill="1" applyBorder="1" applyAlignment="1">
      <alignment horizontal="center" vertical="center" wrapText="1"/>
    </xf>
    <xf numFmtId="0" fontId="10" fillId="6" borderId="6" xfId="3" applyFill="1" applyBorder="1" applyAlignment="1">
      <alignment horizontal="center" vertical="center" wrapText="1"/>
    </xf>
    <xf numFmtId="0" fontId="10" fillId="6" borderId="79" xfId="3" applyFill="1" applyBorder="1" applyAlignment="1">
      <alignment horizontal="center" vertical="center" wrapText="1"/>
    </xf>
    <xf numFmtId="0" fontId="10" fillId="4" borderId="9" xfId="3" applyFill="1" applyBorder="1" applyAlignment="1">
      <alignment horizontal="center" vertical="center" wrapText="1"/>
    </xf>
    <xf numFmtId="0" fontId="10" fillId="4" borderId="0" xfId="3" applyFill="1" applyBorder="1" applyAlignment="1">
      <alignment horizontal="center" vertical="center" wrapText="1"/>
    </xf>
    <xf numFmtId="2" fontId="10" fillId="6" borderId="52" xfId="3" applyNumberFormat="1" applyFill="1" applyBorder="1" applyAlignment="1">
      <alignment horizontal="center" vertical="center" wrapText="1"/>
    </xf>
    <xf numFmtId="2" fontId="10" fillId="6" borderId="66" xfId="3" applyNumberFormat="1" applyFill="1" applyBorder="1" applyAlignment="1">
      <alignment horizontal="center" vertical="center" wrapText="1"/>
    </xf>
    <xf numFmtId="2" fontId="10" fillId="6" borderId="81" xfId="3" applyNumberFormat="1" applyFill="1" applyBorder="1" applyAlignment="1">
      <alignment horizontal="center" vertical="center" wrapText="1"/>
    </xf>
    <xf numFmtId="2" fontId="10" fillId="6" borderId="26" xfId="3" applyNumberFormat="1" applyFill="1" applyBorder="1" applyAlignment="1">
      <alignment horizontal="center" vertical="center" wrapText="1"/>
    </xf>
    <xf numFmtId="2" fontId="10" fillId="6" borderId="27" xfId="3" applyNumberFormat="1" applyFill="1" applyBorder="1" applyAlignment="1">
      <alignment horizontal="center" vertical="center" wrapText="1"/>
    </xf>
    <xf numFmtId="2" fontId="10" fillId="6" borderId="53" xfId="3" applyNumberFormat="1" applyFill="1" applyBorder="1" applyAlignment="1">
      <alignment horizontal="center" vertical="center" wrapText="1"/>
    </xf>
    <xf numFmtId="0" fontId="10" fillId="6" borderId="66" xfId="3" applyFill="1" applyBorder="1" applyAlignment="1">
      <alignment horizontal="center" vertical="center" wrapText="1"/>
    </xf>
    <xf numFmtId="0" fontId="10" fillId="6" borderId="93" xfId="3" applyFill="1" applyBorder="1" applyAlignment="1">
      <alignment horizontal="center" vertical="center" wrapText="1"/>
    </xf>
    <xf numFmtId="0" fontId="10" fillId="6" borderId="27" xfId="3" applyFill="1" applyBorder="1" applyAlignment="1">
      <alignment horizontal="center" vertical="center" wrapText="1"/>
    </xf>
    <xf numFmtId="0" fontId="10" fillId="6" borderId="64" xfId="3" applyFill="1" applyBorder="1" applyAlignment="1">
      <alignment horizontal="center" vertical="center" wrapText="1"/>
    </xf>
    <xf numFmtId="2" fontId="10" fillId="6" borderId="50" xfId="3" applyNumberFormat="1" applyFill="1" applyBorder="1" applyAlignment="1">
      <alignment horizontal="center" vertical="center" wrapText="1"/>
    </xf>
    <xf numFmtId="2" fontId="10" fillId="6" borderId="28" xfId="3" applyNumberFormat="1" applyFill="1" applyBorder="1" applyAlignment="1">
      <alignment horizontal="center" vertical="center" wrapText="1"/>
    </xf>
    <xf numFmtId="2" fontId="10" fillId="6" borderId="51" xfId="3" applyNumberFormat="1" applyFill="1" applyBorder="1" applyAlignment="1">
      <alignment horizontal="center" vertical="center" wrapText="1"/>
    </xf>
    <xf numFmtId="0" fontId="10" fillId="6" borderId="28" xfId="3" applyFill="1" applyBorder="1" applyAlignment="1">
      <alignment horizontal="center" vertical="center" wrapText="1"/>
    </xf>
    <xf numFmtId="0" fontId="10" fillId="6" borderId="94" xfId="3" applyFill="1" applyBorder="1" applyAlignment="1">
      <alignment horizontal="center" vertical="center" wrapText="1"/>
    </xf>
    <xf numFmtId="2" fontId="10" fillId="6" borderId="9" xfId="3" applyNumberFormat="1" applyFill="1" applyBorder="1" applyAlignment="1">
      <alignment horizontal="center" vertical="center" wrapText="1"/>
    </xf>
    <xf numFmtId="2" fontId="10" fillId="6" borderId="0" xfId="3" applyNumberFormat="1" applyFill="1" applyBorder="1" applyAlignment="1">
      <alignment horizontal="center" vertical="center" wrapText="1"/>
    </xf>
    <xf numFmtId="2" fontId="10" fillId="6" borderId="55" xfId="3" applyNumberFormat="1" applyFill="1" applyBorder="1" applyAlignment="1">
      <alignment horizontal="center" vertical="center" wrapText="1"/>
    </xf>
    <xf numFmtId="2" fontId="10" fillId="6" borderId="54" xfId="3" applyNumberFormat="1" applyFill="1" applyBorder="1" applyAlignment="1">
      <alignment horizontal="center" vertical="center" wrapText="1"/>
    </xf>
    <xf numFmtId="0" fontId="10" fillId="6" borderId="21" xfId="3" applyFill="1" applyBorder="1" applyAlignment="1">
      <alignment horizontal="center" vertical="center" wrapText="1"/>
    </xf>
    <xf numFmtId="0" fontId="10" fillId="6" borderId="77" xfId="3" applyFill="1" applyBorder="1" applyAlignment="1">
      <alignment horizontal="center" vertical="center" wrapText="1"/>
    </xf>
    <xf numFmtId="0" fontId="10" fillId="6" borderId="19" xfId="3" applyFill="1" applyBorder="1" applyAlignment="1">
      <alignment horizontal="center" vertical="center" wrapText="1"/>
    </xf>
    <xf numFmtId="0" fontId="10" fillId="6" borderId="80" xfId="3" applyFill="1" applyBorder="1" applyAlignment="1">
      <alignment horizontal="center" vertical="center" wrapText="1"/>
    </xf>
    <xf numFmtId="0" fontId="9" fillId="16" borderId="9" xfId="3" applyFont="1" applyFill="1" applyBorder="1" applyAlignment="1">
      <alignment horizontal="center" vertical="center" wrapText="1"/>
    </xf>
    <xf numFmtId="0" fontId="9" fillId="16" borderId="0" xfId="3" applyFont="1" applyFill="1" applyBorder="1" applyAlignment="1">
      <alignment horizontal="center" vertical="center" wrapText="1"/>
    </xf>
    <xf numFmtId="0" fontId="9" fillId="16" borderId="13" xfId="3" applyFont="1" applyFill="1" applyBorder="1" applyAlignment="1">
      <alignment horizontal="center" vertical="center" wrapText="1"/>
    </xf>
    <xf numFmtId="0" fontId="10" fillId="4" borderId="13" xfId="3" applyFill="1" applyBorder="1" applyAlignment="1">
      <alignment horizontal="center" vertical="center" wrapText="1"/>
    </xf>
    <xf numFmtId="0" fontId="9" fillId="6" borderId="9" xfId="3" applyFont="1" applyFill="1" applyBorder="1" applyAlignment="1">
      <alignment horizontal="center" vertical="center" wrapText="1"/>
    </xf>
    <xf numFmtId="0" fontId="9" fillId="6" borderId="0" xfId="3" applyFont="1" applyFill="1" applyBorder="1" applyAlignment="1">
      <alignment horizontal="center" vertical="center" wrapText="1"/>
    </xf>
    <xf numFmtId="0" fontId="9" fillId="6" borderId="13" xfId="3" applyFont="1" applyFill="1" applyBorder="1" applyAlignment="1">
      <alignment horizontal="center" vertical="center" wrapText="1"/>
    </xf>
    <xf numFmtId="0" fontId="10" fillId="20" borderId="9" xfId="3" applyFill="1" applyBorder="1" applyAlignment="1">
      <alignment horizontal="center" vertical="center" wrapText="1"/>
    </xf>
    <xf numFmtId="0" fontId="10" fillId="20" borderId="0" xfId="3" applyFill="1" applyBorder="1" applyAlignment="1">
      <alignment horizontal="center" vertical="center" wrapText="1"/>
    </xf>
    <xf numFmtId="0" fontId="10" fillId="20" borderId="13" xfId="3" applyFill="1" applyBorder="1" applyAlignment="1">
      <alignment horizontal="center" vertical="center" wrapText="1"/>
    </xf>
    <xf numFmtId="2" fontId="10" fillId="0" borderId="20" xfId="3" applyNumberFormat="1" applyBorder="1" applyAlignment="1">
      <alignment horizontal="center" vertical="center" wrapText="1"/>
    </xf>
    <xf numFmtId="2" fontId="10" fillId="0" borderId="21" xfId="3" applyNumberFormat="1" applyBorder="1" applyAlignment="1">
      <alignment horizontal="center" vertical="center" wrapText="1"/>
    </xf>
    <xf numFmtId="2" fontId="10" fillId="0" borderId="58" xfId="3" applyNumberFormat="1" applyBorder="1" applyAlignment="1">
      <alignment horizontal="center" vertical="center" wrapText="1"/>
    </xf>
    <xf numFmtId="0" fontId="10" fillId="6" borderId="0" xfId="3" applyFill="1" applyAlignment="1">
      <alignment horizontal="center" vertical="center" wrapText="1"/>
    </xf>
    <xf numFmtId="2" fontId="10" fillId="6" borderId="20" xfId="3" applyNumberFormat="1" applyFill="1" applyBorder="1" applyAlignment="1">
      <alignment horizontal="center" vertical="center" wrapText="1"/>
    </xf>
    <xf numFmtId="2" fontId="10" fillId="6" borderId="21" xfId="3" applyNumberFormat="1" applyFill="1" applyBorder="1" applyAlignment="1">
      <alignment horizontal="center" vertical="center" wrapText="1"/>
    </xf>
    <xf numFmtId="2" fontId="10" fillId="6" borderId="18" xfId="3" applyNumberFormat="1" applyFill="1" applyBorder="1" applyAlignment="1">
      <alignment horizontal="center" vertical="center" wrapText="1"/>
    </xf>
    <xf numFmtId="2" fontId="10" fillId="6" borderId="19" xfId="3" applyNumberFormat="1" applyFill="1" applyBorder="1" applyAlignment="1">
      <alignment horizontal="center" vertical="center" wrapText="1"/>
    </xf>
    <xf numFmtId="0" fontId="10" fillId="6" borderId="54" xfId="3" applyFill="1" applyBorder="1" applyAlignment="1">
      <alignment horizontal="center" vertical="center" wrapText="1"/>
    </xf>
    <xf numFmtId="0" fontId="10" fillId="6" borderId="0" xfId="3" applyFill="1" applyBorder="1" applyAlignment="1">
      <alignment horizontal="center" vertical="center" wrapText="1"/>
    </xf>
    <xf numFmtId="0" fontId="10" fillId="6" borderId="55" xfId="3" applyFill="1" applyBorder="1" applyAlignment="1">
      <alignment horizontal="center" vertical="center" wrapText="1"/>
    </xf>
    <xf numFmtId="0" fontId="10" fillId="28" borderId="54" xfId="3" applyFill="1" applyBorder="1" applyAlignment="1">
      <alignment horizontal="center" vertical="center" wrapText="1"/>
    </xf>
    <xf numFmtId="0" fontId="10" fillId="28" borderId="0" xfId="3" applyFill="1" applyBorder="1" applyAlignment="1">
      <alignment horizontal="center" vertical="center" wrapText="1"/>
    </xf>
    <xf numFmtId="0" fontId="10" fillId="28" borderId="13" xfId="3" applyFill="1" applyBorder="1" applyAlignment="1">
      <alignment horizontal="center" vertical="center" wrapText="1"/>
    </xf>
    <xf numFmtId="0" fontId="28" fillId="6" borderId="0" xfId="3" applyFont="1" applyFill="1" applyAlignment="1">
      <alignment horizontal="left" vertical="top" wrapText="1"/>
    </xf>
    <xf numFmtId="0" fontId="10" fillId="6" borderId="13" xfId="3" applyFill="1" applyBorder="1" applyAlignment="1">
      <alignment horizontal="left" vertical="top" wrapText="1"/>
    </xf>
    <xf numFmtId="0" fontId="10" fillId="6" borderId="29" xfId="3" applyFill="1" applyBorder="1" applyAlignment="1">
      <alignment horizontal="left" vertical="top" wrapText="1"/>
    </xf>
    <xf numFmtId="0" fontId="10" fillId="6" borderId="59" xfId="3" applyFill="1" applyBorder="1" applyAlignment="1">
      <alignment horizontal="left" vertical="top" wrapText="1"/>
    </xf>
    <xf numFmtId="0" fontId="31" fillId="6" borderId="9" xfId="3" applyFont="1" applyFill="1" applyBorder="1" applyAlignment="1">
      <alignment horizontal="left" vertical="center" wrapText="1"/>
    </xf>
    <xf numFmtId="0" fontId="31" fillId="6" borderId="0" xfId="3" applyFont="1" applyFill="1" applyAlignment="1">
      <alignment horizontal="left" vertical="center" wrapText="1"/>
    </xf>
    <xf numFmtId="0" fontId="31" fillId="6" borderId="13" xfId="3" applyFont="1" applyFill="1" applyBorder="1" applyAlignment="1">
      <alignment horizontal="left" vertical="center" wrapText="1"/>
    </xf>
    <xf numFmtId="0" fontId="32" fillId="6" borderId="9" xfId="3" applyFont="1" applyFill="1" applyBorder="1" applyAlignment="1">
      <alignment horizontal="left" vertical="top" wrapText="1"/>
    </xf>
    <xf numFmtId="0" fontId="31" fillId="6" borderId="0" xfId="3" applyFont="1" applyFill="1" applyAlignment="1">
      <alignment horizontal="left" vertical="top" wrapText="1"/>
    </xf>
    <xf numFmtId="0" fontId="31" fillId="6" borderId="13" xfId="3" applyFont="1" applyFill="1" applyBorder="1" applyAlignment="1">
      <alignment horizontal="left" vertical="top" wrapText="1"/>
    </xf>
    <xf numFmtId="0" fontId="31" fillId="6" borderId="9" xfId="3" applyFont="1" applyFill="1" applyBorder="1" applyAlignment="1">
      <alignment horizontal="left" vertical="top" wrapText="1"/>
    </xf>
    <xf numFmtId="0" fontId="31" fillId="6" borderId="11" xfId="3" applyFont="1" applyFill="1" applyBorder="1" applyAlignment="1">
      <alignment horizontal="left" vertical="top" wrapText="1"/>
    </xf>
    <xf numFmtId="0" fontId="31" fillId="6" borderId="29" xfId="3" applyFont="1" applyFill="1" applyBorder="1" applyAlignment="1">
      <alignment horizontal="left" vertical="top" wrapText="1"/>
    </xf>
    <xf numFmtId="0" fontId="31" fillId="6" borderId="59" xfId="3" applyFont="1" applyFill="1" applyBorder="1" applyAlignment="1">
      <alignment horizontal="left" vertical="top" wrapText="1"/>
    </xf>
    <xf numFmtId="0" fontId="56" fillId="17" borderId="0" xfId="3" applyFont="1" applyFill="1" applyAlignment="1">
      <alignment horizontal="center" vertical="center"/>
    </xf>
    <xf numFmtId="0" fontId="56" fillId="17" borderId="0" xfId="3" applyFont="1" applyFill="1" applyBorder="1" applyAlignment="1">
      <alignment horizontal="center" vertical="center"/>
    </xf>
    <xf numFmtId="0" fontId="9" fillId="18" borderId="25" xfId="3" applyFont="1" applyFill="1" applyBorder="1" applyAlignment="1">
      <alignment horizontal="center" vertical="center" wrapText="1"/>
    </xf>
    <xf numFmtId="0" fontId="9" fillId="18" borderId="10" xfId="3" applyFont="1" applyFill="1" applyBorder="1" applyAlignment="1">
      <alignment horizontal="center" vertical="center" wrapText="1"/>
    </xf>
    <xf numFmtId="0" fontId="9" fillId="18" borderId="2" xfId="3" applyFont="1" applyFill="1" applyBorder="1" applyAlignment="1">
      <alignment horizontal="center" vertical="center" wrapText="1"/>
    </xf>
    <xf numFmtId="0" fontId="10" fillId="6" borderId="13" xfId="3" applyFill="1" applyBorder="1" applyAlignment="1">
      <alignment horizontal="center" vertical="center" wrapText="1"/>
    </xf>
    <xf numFmtId="2" fontId="10" fillId="6" borderId="0" xfId="3" applyNumberFormat="1" applyFill="1" applyAlignment="1">
      <alignment horizontal="center" vertical="center" wrapText="1"/>
    </xf>
    <xf numFmtId="0" fontId="9" fillId="16" borderId="29" xfId="3" applyFont="1" applyFill="1" applyBorder="1" applyAlignment="1">
      <alignment horizontal="center" vertical="center" wrapText="1"/>
    </xf>
    <xf numFmtId="0" fontId="9" fillId="16" borderId="59" xfId="3" applyFont="1" applyFill="1" applyBorder="1" applyAlignment="1">
      <alignment horizontal="center" vertical="center" wrapText="1"/>
    </xf>
    <xf numFmtId="0" fontId="10" fillId="0" borderId="54" xfId="3" applyBorder="1" applyAlignment="1">
      <alignment horizontal="center" vertical="center" wrapText="1"/>
    </xf>
    <xf numFmtId="0" fontId="10" fillId="0" borderId="0" xfId="3" applyBorder="1" applyAlignment="1">
      <alignment horizontal="center" vertical="center" wrapText="1"/>
    </xf>
    <xf numFmtId="0" fontId="10" fillId="0" borderId="92" xfId="3" applyBorder="1" applyAlignment="1">
      <alignment horizontal="center" vertical="center" wrapText="1"/>
    </xf>
    <xf numFmtId="0" fontId="10" fillId="6" borderId="9" xfId="3" applyFill="1" applyBorder="1" applyAlignment="1">
      <alignment horizontal="left" vertical="center" wrapText="1"/>
    </xf>
    <xf numFmtId="0" fontId="10" fillId="6" borderId="0" xfId="3" applyFill="1" applyAlignment="1">
      <alignment horizontal="left" vertical="center" wrapText="1"/>
    </xf>
    <xf numFmtId="0" fontId="10" fillId="4" borderId="0" xfId="3" applyFill="1" applyAlignment="1">
      <alignment horizontal="center" vertical="center" wrapText="1"/>
    </xf>
    <xf numFmtId="0" fontId="10" fillId="6" borderId="29" xfId="3" applyFill="1" applyBorder="1" applyAlignment="1">
      <alignment horizontal="center" vertical="center" wrapText="1"/>
    </xf>
    <xf numFmtId="0" fontId="10" fillId="6" borderId="59" xfId="3" applyFill="1" applyBorder="1" applyAlignment="1">
      <alignment horizontal="center" vertical="center" wrapText="1"/>
    </xf>
    <xf numFmtId="0" fontId="10" fillId="19" borderId="25" xfId="3" applyFill="1" applyBorder="1" applyAlignment="1">
      <alignment horizontal="center" vertical="center" wrapText="1"/>
    </xf>
    <xf numFmtId="0" fontId="10" fillId="19" borderId="10" xfId="3" applyFill="1" applyBorder="1" applyAlignment="1">
      <alignment horizontal="center" vertical="center" wrapText="1"/>
    </xf>
    <xf numFmtId="0" fontId="10" fillId="19" borderId="2" xfId="3" applyFill="1" applyBorder="1" applyAlignment="1">
      <alignment horizontal="center" vertical="center" wrapText="1"/>
    </xf>
    <xf numFmtId="0" fontId="9" fillId="16" borderId="0" xfId="3" applyFont="1" applyFill="1" applyAlignment="1">
      <alignment horizontal="center" vertical="center" wrapText="1"/>
    </xf>
    <xf numFmtId="0" fontId="56" fillId="17" borderId="66" xfId="3" applyFont="1" applyFill="1" applyBorder="1" applyAlignment="1">
      <alignment horizontal="center" vertical="center"/>
    </xf>
    <xf numFmtId="0" fontId="30" fillId="6" borderId="9" xfId="3" applyFont="1" applyFill="1" applyBorder="1" applyAlignment="1">
      <alignment horizontal="center" vertical="center" wrapText="1"/>
    </xf>
    <xf numFmtId="0" fontId="30" fillId="6" borderId="0" xfId="3" applyFont="1" applyFill="1" applyAlignment="1">
      <alignment horizontal="center" vertical="center" wrapText="1"/>
    </xf>
    <xf numFmtId="0" fontId="30" fillId="6" borderId="13" xfId="3" applyFont="1" applyFill="1" applyBorder="1" applyAlignment="1">
      <alignment horizontal="center" vertical="center" wrapText="1"/>
    </xf>
    <xf numFmtId="0" fontId="30" fillId="6" borderId="11" xfId="3" applyFont="1" applyFill="1" applyBorder="1" applyAlignment="1">
      <alignment horizontal="center" vertical="center" wrapText="1"/>
    </xf>
    <xf numFmtId="0" fontId="30" fillId="6" borderId="29" xfId="3" applyFont="1" applyFill="1" applyBorder="1" applyAlignment="1">
      <alignment horizontal="center" vertical="center" wrapText="1"/>
    </xf>
    <xf numFmtId="0" fontId="30" fillId="6" borderId="59" xfId="3" applyFont="1" applyFill="1" applyBorder="1" applyAlignment="1">
      <alignment horizontal="center" vertical="center" wrapText="1"/>
    </xf>
    <xf numFmtId="0" fontId="10" fillId="16" borderId="27" xfId="3" applyFill="1" applyBorder="1" applyAlignment="1">
      <alignment horizontal="center" vertical="center" wrapText="1"/>
    </xf>
    <xf numFmtId="0" fontId="10" fillId="16" borderId="53" xfId="3" applyFill="1" applyBorder="1" applyAlignment="1">
      <alignment horizontal="center" vertical="center" wrapText="1"/>
    </xf>
    <xf numFmtId="0" fontId="10" fillId="16" borderId="26" xfId="3" applyFill="1" applyBorder="1" applyAlignment="1">
      <alignment horizontal="center" vertical="center" wrapText="1"/>
    </xf>
    <xf numFmtId="0" fontId="10" fillId="16" borderId="64" xfId="3" applyFill="1" applyBorder="1" applyAlignment="1">
      <alignment horizontal="center" vertical="center" wrapText="1"/>
    </xf>
    <xf numFmtId="0" fontId="10" fillId="6" borderId="18" xfId="3" applyFill="1" applyBorder="1" applyAlignment="1">
      <alignment horizontal="center" vertical="center" wrapText="1"/>
    </xf>
    <xf numFmtId="0" fontId="10" fillId="6" borderId="50" xfId="3" applyFill="1" applyBorder="1" applyAlignment="1">
      <alignment horizontal="center" vertical="center" wrapText="1"/>
    </xf>
    <xf numFmtId="0" fontId="10" fillId="6" borderId="51" xfId="3" applyFill="1" applyBorder="1" applyAlignment="1">
      <alignment horizontal="center" vertical="center" wrapText="1"/>
    </xf>
    <xf numFmtId="0" fontId="10" fillId="6" borderId="92" xfId="3" applyFill="1" applyBorder="1" applyAlignment="1">
      <alignment horizontal="center" vertical="center" wrapText="1"/>
    </xf>
    <xf numFmtId="0" fontId="10" fillId="6" borderId="95" xfId="3" applyFill="1" applyBorder="1" applyAlignment="1">
      <alignment horizontal="center" vertical="center" wrapText="1"/>
    </xf>
    <xf numFmtId="1" fontId="10" fillId="6" borderId="19" xfId="3" applyNumberFormat="1" applyFill="1" applyBorder="1" applyAlignment="1">
      <alignment horizontal="center" vertical="center" wrapText="1"/>
    </xf>
    <xf numFmtId="1" fontId="10" fillId="6" borderId="7" xfId="3" applyNumberFormat="1" applyFill="1" applyBorder="1" applyAlignment="1">
      <alignment horizontal="center" vertical="center" wrapText="1"/>
    </xf>
    <xf numFmtId="0" fontId="10" fillId="19" borderId="0" xfId="3" applyFill="1" applyAlignment="1">
      <alignment horizontal="center" vertical="center" wrapText="1"/>
    </xf>
    <xf numFmtId="0" fontId="9" fillId="16" borderId="10" xfId="3" applyFont="1" applyFill="1" applyBorder="1" applyAlignment="1">
      <alignment horizontal="center" vertical="center" wrapText="1"/>
    </xf>
    <xf numFmtId="0" fontId="10" fillId="16" borderId="10" xfId="3" applyFill="1" applyBorder="1" applyAlignment="1">
      <alignment horizontal="center" vertical="center" wrapText="1"/>
    </xf>
    <xf numFmtId="0" fontId="9" fillId="16" borderId="2" xfId="3" applyFont="1" applyFill="1" applyBorder="1" applyAlignment="1">
      <alignment horizontal="center" vertical="center" wrapText="1"/>
    </xf>
    <xf numFmtId="0" fontId="10" fillId="4" borderId="26" xfId="3" applyFill="1" applyBorder="1" applyAlignment="1">
      <alignment horizontal="center" vertical="center"/>
    </xf>
    <xf numFmtId="0" fontId="10" fillId="4" borderId="27" xfId="3" applyFill="1" applyBorder="1" applyAlignment="1">
      <alignment horizontal="center" vertical="center"/>
    </xf>
    <xf numFmtId="0" fontId="10" fillId="4" borderId="64" xfId="3" applyFill="1" applyBorder="1" applyAlignment="1">
      <alignment horizontal="center" vertical="center"/>
    </xf>
    <xf numFmtId="0" fontId="10" fillId="6" borderId="20" xfId="3" applyFill="1" applyBorder="1" applyAlignment="1">
      <alignment horizontal="center" vertical="center" wrapText="1"/>
    </xf>
    <xf numFmtId="0" fontId="10" fillId="6" borderId="52" xfId="3" applyFill="1" applyBorder="1" applyAlignment="1">
      <alignment horizontal="center" vertical="center" wrapText="1"/>
    </xf>
    <xf numFmtId="0" fontId="10" fillId="6" borderId="81" xfId="3" applyFill="1" applyBorder="1" applyAlignment="1">
      <alignment horizontal="center" vertical="center" wrapText="1"/>
    </xf>
    <xf numFmtId="1" fontId="10" fillId="6" borderId="21" xfId="3" applyNumberFormat="1" applyFill="1" applyBorder="1" applyAlignment="1">
      <alignment horizontal="center" vertical="center" wrapText="1"/>
    </xf>
    <xf numFmtId="0" fontId="9" fillId="6" borderId="9" xfId="3" applyFont="1" applyFill="1" applyBorder="1" applyAlignment="1">
      <alignment horizontal="left" vertical="center"/>
    </xf>
    <xf numFmtId="0" fontId="10" fillId="6" borderId="0" xfId="3" applyFill="1" applyAlignment="1">
      <alignment horizontal="left" vertical="center"/>
    </xf>
    <xf numFmtId="0" fontId="10" fillId="0" borderId="18" xfId="3" applyBorder="1" applyAlignment="1">
      <alignment horizontal="center" vertical="center" wrapText="1"/>
    </xf>
    <xf numFmtId="0" fontId="10" fillId="0" borderId="4" xfId="3" applyBorder="1" applyAlignment="1">
      <alignment horizontal="center" vertical="center" wrapText="1"/>
    </xf>
    <xf numFmtId="0" fontId="10" fillId="0" borderId="20" xfId="3" applyBorder="1" applyAlignment="1">
      <alignment horizontal="center" vertical="center" wrapText="1"/>
    </xf>
    <xf numFmtId="0" fontId="10" fillId="0" borderId="50" xfId="3" applyNumberFormat="1" applyBorder="1" applyAlignment="1">
      <alignment horizontal="center" vertical="center"/>
    </xf>
    <xf numFmtId="0" fontId="10" fillId="0" borderId="28" xfId="3" applyNumberFormat="1" applyBorder="1" applyAlignment="1">
      <alignment horizontal="center" vertical="center"/>
    </xf>
    <xf numFmtId="0" fontId="10" fillId="0" borderId="51" xfId="3" applyNumberFormat="1" applyBorder="1" applyAlignment="1">
      <alignment horizontal="center" vertical="center"/>
    </xf>
    <xf numFmtId="0" fontId="10" fillId="0" borderId="52" xfId="3" applyNumberFormat="1" applyBorder="1" applyAlignment="1">
      <alignment horizontal="center" vertical="center"/>
    </xf>
    <xf numFmtId="0" fontId="10" fillId="0" borderId="66" xfId="3" applyNumberFormat="1" applyBorder="1" applyAlignment="1">
      <alignment horizontal="center" vertical="center"/>
    </xf>
    <xf numFmtId="0" fontId="10" fillId="0" borderId="81" xfId="3" applyNumberFormat="1" applyBorder="1" applyAlignment="1">
      <alignment horizontal="center" vertical="center"/>
    </xf>
    <xf numFmtId="0" fontId="10" fillId="0" borderId="26" xfId="3" applyNumberFormat="1" applyBorder="1" applyAlignment="1">
      <alignment horizontal="center" vertical="center"/>
    </xf>
    <xf numFmtId="0" fontId="10" fillId="0" borderId="27" xfId="3" applyNumberFormat="1" applyBorder="1" applyAlignment="1">
      <alignment horizontal="center" vertical="center"/>
    </xf>
    <xf numFmtId="0" fontId="10" fillId="0" borderId="64" xfId="3" applyNumberFormat="1" applyBorder="1" applyAlignment="1">
      <alignment horizontal="center" vertical="center"/>
    </xf>
    <xf numFmtId="0" fontId="10" fillId="0" borderId="26" xfId="3" applyBorder="1" applyAlignment="1">
      <alignment horizontal="center" vertical="center"/>
    </xf>
    <xf numFmtId="0" fontId="10" fillId="0" borderId="27" xfId="3" applyBorder="1" applyAlignment="1">
      <alignment horizontal="center" vertical="center"/>
    </xf>
    <xf numFmtId="0" fontId="10" fillId="0" borderId="64" xfId="3" applyBorder="1" applyAlignment="1">
      <alignment horizontal="center" vertical="center"/>
    </xf>
    <xf numFmtId="0" fontId="9" fillId="0" borderId="18" xfId="3" applyFont="1" applyBorder="1" applyAlignment="1">
      <alignment horizontal="center" vertical="center" wrapText="1"/>
    </xf>
    <xf numFmtId="0" fontId="9" fillId="0" borderId="4" xfId="3" applyFont="1" applyBorder="1" applyAlignment="1">
      <alignment horizontal="center" vertical="center" wrapText="1"/>
    </xf>
    <xf numFmtId="0" fontId="9" fillId="0" borderId="20" xfId="3" applyFont="1" applyBorder="1" applyAlignment="1">
      <alignment horizontal="center" vertical="center" wrapText="1"/>
    </xf>
    <xf numFmtId="0" fontId="10" fillId="0" borderId="50" xfId="3" quotePrefix="1" applyBorder="1" applyAlignment="1">
      <alignment horizontal="center" vertical="center" wrapText="1"/>
    </xf>
    <xf numFmtId="0" fontId="10" fillId="0" borderId="28" xfId="3" quotePrefix="1" applyBorder="1" applyAlignment="1">
      <alignment horizontal="center" vertical="center" wrapText="1"/>
    </xf>
    <xf numFmtId="0" fontId="10" fillId="0" borderId="94" xfId="3" quotePrefix="1" applyBorder="1" applyAlignment="1">
      <alignment horizontal="center" vertical="center" wrapText="1"/>
    </xf>
    <xf numFmtId="0" fontId="10" fillId="0" borderId="54" xfId="3" quotePrefix="1" applyBorder="1" applyAlignment="1">
      <alignment horizontal="center" vertical="center" wrapText="1"/>
    </xf>
    <xf numFmtId="0" fontId="10" fillId="0" borderId="0" xfId="3" quotePrefix="1" applyAlignment="1">
      <alignment horizontal="center" vertical="center" wrapText="1"/>
    </xf>
    <xf numFmtId="0" fontId="10" fillId="0" borderId="13" xfId="3" quotePrefix="1" applyBorder="1" applyAlignment="1">
      <alignment horizontal="center" vertical="center" wrapText="1"/>
    </xf>
    <xf numFmtId="0" fontId="10" fillId="0" borderId="52" xfId="3" quotePrefix="1" applyBorder="1" applyAlignment="1">
      <alignment horizontal="center" vertical="center" wrapText="1"/>
    </xf>
    <xf numFmtId="0" fontId="10" fillId="0" borderId="66" xfId="3" quotePrefix="1" applyBorder="1" applyAlignment="1">
      <alignment horizontal="center" vertical="center" wrapText="1"/>
    </xf>
    <xf numFmtId="0" fontId="10" fillId="0" borderId="93" xfId="3" quotePrefix="1" applyBorder="1" applyAlignment="1">
      <alignment horizontal="center" vertical="center" wrapText="1"/>
    </xf>
    <xf numFmtId="0" fontId="10" fillId="0" borderId="57" xfId="3" applyBorder="1" applyAlignment="1">
      <alignment horizontal="center" vertical="center" wrapText="1"/>
    </xf>
    <xf numFmtId="0" fontId="10" fillId="0" borderId="96" xfId="3" applyBorder="1" applyAlignment="1">
      <alignment horizontal="center" vertical="center" wrapText="1"/>
    </xf>
    <xf numFmtId="0" fontId="9" fillId="6" borderId="9" xfId="3" applyFont="1" applyFill="1" applyBorder="1" applyAlignment="1">
      <alignment horizontal="left" vertical="top"/>
    </xf>
    <xf numFmtId="0" fontId="10" fillId="6" borderId="0" xfId="3" applyFill="1" applyAlignment="1">
      <alignment horizontal="left" vertical="top"/>
    </xf>
    <xf numFmtId="0" fontId="10" fillId="0" borderId="76" xfId="3" applyBorder="1" applyAlignment="1">
      <alignment horizontal="center" vertical="center" wrapText="1"/>
    </xf>
    <xf numFmtId="0" fontId="10" fillId="16" borderId="66" xfId="3" applyFill="1" applyBorder="1" applyAlignment="1">
      <alignment horizontal="center" vertical="center" wrapText="1"/>
    </xf>
    <xf numFmtId="0" fontId="10" fillId="16" borderId="81" xfId="3" applyFill="1" applyBorder="1" applyAlignment="1">
      <alignment horizontal="center" vertical="center" wrapText="1"/>
    </xf>
    <xf numFmtId="0" fontId="10" fillId="16" borderId="66" xfId="3" applyFill="1" applyBorder="1" applyAlignment="1">
      <alignment horizontal="center" vertical="center"/>
    </xf>
    <xf numFmtId="0" fontId="10" fillId="16" borderId="93" xfId="3" applyFill="1" applyBorder="1" applyAlignment="1">
      <alignment horizontal="center" vertical="center"/>
    </xf>
    <xf numFmtId="0" fontId="9" fillId="16" borderId="22" xfId="3" applyFont="1" applyFill="1" applyBorder="1" applyAlignment="1">
      <alignment horizontal="center" vertical="center"/>
    </xf>
    <xf numFmtId="0" fontId="9" fillId="16" borderId="27" xfId="3" applyFont="1" applyFill="1" applyBorder="1" applyAlignment="1">
      <alignment horizontal="center" vertical="center"/>
    </xf>
    <xf numFmtId="0" fontId="9" fillId="16" borderId="64" xfId="3" applyFont="1" applyFill="1" applyBorder="1" applyAlignment="1">
      <alignment horizontal="center" vertical="center"/>
    </xf>
    <xf numFmtId="0" fontId="10" fillId="4" borderId="52" xfId="3" applyFill="1" applyBorder="1" applyAlignment="1">
      <alignment horizontal="center" vertical="center"/>
    </xf>
    <xf numFmtId="0" fontId="10" fillId="4" borderId="66" xfId="3" applyFill="1" applyBorder="1" applyAlignment="1">
      <alignment horizontal="center" vertical="center"/>
    </xf>
    <xf numFmtId="0" fontId="10" fillId="4" borderId="81" xfId="3" applyFill="1" applyBorder="1" applyAlignment="1">
      <alignment horizontal="center" vertical="center"/>
    </xf>
    <xf numFmtId="0" fontId="10" fillId="6" borderId="85" xfId="3" applyFill="1" applyBorder="1" applyAlignment="1">
      <alignment horizontal="center" vertical="center"/>
    </xf>
    <xf numFmtId="0" fontId="10" fillId="6" borderId="84" xfId="3" applyFill="1" applyBorder="1" applyAlignment="1">
      <alignment horizontal="center" vertical="center"/>
    </xf>
    <xf numFmtId="0" fontId="10" fillId="6" borderId="86" xfId="3" applyFill="1" applyBorder="1" applyAlignment="1">
      <alignment horizontal="center" vertical="center"/>
    </xf>
    <xf numFmtId="0" fontId="10" fillId="6" borderId="87" xfId="3" applyFill="1" applyBorder="1" applyAlignment="1">
      <alignment horizontal="center" vertical="center"/>
    </xf>
    <xf numFmtId="0" fontId="10" fillId="6" borderId="0" xfId="3" applyFill="1" applyAlignment="1">
      <alignment horizontal="center" vertical="center"/>
    </xf>
    <xf numFmtId="0" fontId="10" fillId="6" borderId="88" xfId="3" applyFill="1" applyBorder="1" applyAlignment="1">
      <alignment horizontal="center" vertical="center"/>
    </xf>
    <xf numFmtId="0" fontId="10" fillId="6" borderId="90" xfId="3" applyFill="1" applyBorder="1" applyAlignment="1">
      <alignment horizontal="center" vertical="center"/>
    </xf>
    <xf numFmtId="0" fontId="10" fillId="6" borderId="89" xfId="3" applyFill="1" applyBorder="1" applyAlignment="1">
      <alignment horizontal="center" vertical="center"/>
    </xf>
    <xf numFmtId="0" fontId="10" fillId="6" borderId="91" xfId="3" applyFill="1" applyBorder="1" applyAlignment="1">
      <alignment horizontal="center" vertical="center"/>
    </xf>
    <xf numFmtId="0" fontId="23" fillId="6" borderId="85" xfId="3" applyFont="1" applyFill="1" applyBorder="1" applyAlignment="1">
      <alignment horizontal="center" vertical="center"/>
    </xf>
    <xf numFmtId="0" fontId="23" fillId="6" borderId="84" xfId="3" applyFont="1" applyFill="1" applyBorder="1" applyAlignment="1">
      <alignment horizontal="center" vertical="center"/>
    </xf>
    <xf numFmtId="0" fontId="23" fillId="6" borderId="86" xfId="3" applyFont="1" applyFill="1" applyBorder="1" applyAlignment="1">
      <alignment horizontal="center" vertical="center"/>
    </xf>
    <xf numFmtId="0" fontId="23" fillId="6" borderId="87" xfId="3" applyFont="1" applyFill="1" applyBorder="1" applyAlignment="1">
      <alignment horizontal="center" vertical="center"/>
    </xf>
    <xf numFmtId="0" fontId="23" fillId="6" borderId="0" xfId="3" applyFont="1" applyFill="1" applyAlignment="1">
      <alignment horizontal="center" vertical="center"/>
    </xf>
    <xf numFmtId="0" fontId="23" fillId="6" borderId="88" xfId="3" applyFont="1" applyFill="1" applyBorder="1" applyAlignment="1">
      <alignment horizontal="center" vertical="center"/>
    </xf>
    <xf numFmtId="0" fontId="23" fillId="6" borderId="90" xfId="3" applyFont="1" applyFill="1" applyBorder="1" applyAlignment="1">
      <alignment horizontal="center" vertical="center"/>
    </xf>
    <xf numFmtId="0" fontId="23" fillId="6" borderId="89" xfId="3" applyFont="1" applyFill="1" applyBorder="1" applyAlignment="1">
      <alignment horizontal="center" vertical="center"/>
    </xf>
    <xf numFmtId="0" fontId="23" fillId="6" borderId="91" xfId="3" applyFont="1" applyFill="1" applyBorder="1" applyAlignment="1">
      <alignment horizontal="center" vertical="center"/>
    </xf>
    <xf numFmtId="0" fontId="55" fillId="17" borderId="0" xfId="3" applyFont="1" applyFill="1" applyAlignment="1">
      <alignment horizontal="center" vertical="center"/>
    </xf>
    <xf numFmtId="0" fontId="55" fillId="17" borderId="66" xfId="3" applyFont="1" applyFill="1" applyBorder="1" applyAlignment="1">
      <alignment horizontal="center" vertical="center"/>
    </xf>
    <xf numFmtId="0" fontId="9" fillId="0" borderId="26" xfId="3" applyFont="1" applyBorder="1" applyAlignment="1">
      <alignment horizontal="center" vertical="center" wrapText="1"/>
    </xf>
    <xf numFmtId="0" fontId="9" fillId="0" borderId="27" xfId="3" applyFont="1" applyBorder="1" applyAlignment="1">
      <alignment horizontal="center" vertical="center" wrapText="1"/>
    </xf>
    <xf numFmtId="0" fontId="9" fillId="0" borderId="53" xfId="3" applyFont="1" applyBorder="1" applyAlignment="1">
      <alignment horizontal="center" vertical="center" wrapText="1"/>
    </xf>
    <xf numFmtId="0" fontId="9" fillId="0" borderId="26" xfId="3" applyFont="1" applyBorder="1" applyAlignment="1">
      <alignment horizontal="center" vertical="center"/>
    </xf>
    <xf numFmtId="0" fontId="10" fillId="0" borderId="53" xfId="3" applyBorder="1" applyAlignment="1">
      <alignment horizontal="center" vertical="center"/>
    </xf>
    <xf numFmtId="0" fontId="9" fillId="16" borderId="97" xfId="3" applyFont="1" applyFill="1" applyBorder="1" applyAlignment="1">
      <alignment horizontal="center" vertical="center" wrapText="1"/>
    </xf>
    <xf numFmtId="0" fontId="9" fillId="16" borderId="28" xfId="3" applyFont="1" applyFill="1" applyBorder="1" applyAlignment="1">
      <alignment horizontal="center" vertical="center" wrapText="1"/>
    </xf>
    <xf numFmtId="0" fontId="9" fillId="16" borderId="94" xfId="3" applyFont="1" applyFill="1" applyBorder="1" applyAlignment="1">
      <alignment horizontal="center" vertical="center" wrapText="1"/>
    </xf>
    <xf numFmtId="0" fontId="10" fillId="4" borderId="50" xfId="3" applyFill="1" applyBorder="1" applyAlignment="1">
      <alignment horizontal="center" vertical="center" wrapText="1"/>
    </xf>
    <xf numFmtId="0" fontId="10" fillId="4" borderId="51" xfId="3" applyFill="1" applyBorder="1" applyAlignment="1">
      <alignment horizontal="center" vertical="center" wrapText="1"/>
    </xf>
    <xf numFmtId="0" fontId="10" fillId="4" borderId="52" xfId="3" applyFill="1" applyBorder="1" applyAlignment="1">
      <alignment horizontal="center" vertical="center" wrapText="1"/>
    </xf>
    <xf numFmtId="0" fontId="10" fillId="4" borderId="81" xfId="3" applyFill="1" applyBorder="1" applyAlignment="1">
      <alignment horizontal="center" vertical="center" wrapText="1"/>
    </xf>
    <xf numFmtId="0" fontId="9" fillId="18" borderId="23" xfId="3" applyFont="1" applyFill="1" applyBorder="1" applyAlignment="1">
      <alignment horizontal="center" vertical="center" wrapText="1"/>
    </xf>
    <xf numFmtId="0" fontId="9" fillId="17" borderId="0" xfId="3" applyFont="1" applyFill="1" applyAlignment="1">
      <alignment horizontal="center" vertical="center" wrapText="1"/>
    </xf>
    <xf numFmtId="0" fontId="9" fillId="17" borderId="66" xfId="3" applyFont="1" applyFill="1" applyBorder="1" applyAlignment="1">
      <alignment horizontal="center" vertical="center" wrapText="1"/>
    </xf>
    <xf numFmtId="0" fontId="10" fillId="0" borderId="55" xfId="3" applyBorder="1" applyAlignment="1">
      <alignment horizontal="center" vertical="center" wrapText="1"/>
    </xf>
    <xf numFmtId="2" fontId="10" fillId="4" borderId="26" xfId="3" applyNumberFormat="1" applyFill="1" applyBorder="1" applyAlignment="1">
      <alignment horizontal="center" vertical="center" wrapText="1"/>
    </xf>
    <xf numFmtId="2" fontId="10" fillId="4" borderId="27" xfId="3" applyNumberFormat="1" applyFill="1" applyBorder="1" applyAlignment="1">
      <alignment horizontal="center" vertical="center" wrapText="1"/>
    </xf>
    <xf numFmtId="2" fontId="10" fillId="4" borderId="53" xfId="3" applyNumberFormat="1" applyFill="1" applyBorder="1" applyAlignment="1">
      <alignment horizontal="center" vertical="center" wrapText="1"/>
    </xf>
    <xf numFmtId="2" fontId="10" fillId="16" borderId="26" xfId="3" applyNumberFormat="1" applyFill="1" applyBorder="1" applyAlignment="1">
      <alignment horizontal="center" vertical="center" wrapText="1"/>
    </xf>
    <xf numFmtId="2" fontId="10" fillId="16" borderId="27" xfId="3" applyNumberFormat="1" applyFill="1" applyBorder="1" applyAlignment="1">
      <alignment horizontal="center" vertical="center" wrapText="1"/>
    </xf>
    <xf numFmtId="2" fontId="10" fillId="16" borderId="53" xfId="3" applyNumberFormat="1" applyFill="1" applyBorder="1" applyAlignment="1">
      <alignment horizontal="center" vertical="center" wrapText="1"/>
    </xf>
    <xf numFmtId="0" fontId="10" fillId="4" borderId="23" xfId="3" applyFill="1" applyBorder="1" applyAlignment="1">
      <alignment horizontal="left" vertical="center" wrapText="1"/>
    </xf>
    <xf numFmtId="0" fontId="10" fillId="18" borderId="23" xfId="3" applyFill="1" applyBorder="1" applyAlignment="1">
      <alignment horizontal="center" vertical="center" wrapText="1"/>
    </xf>
    <xf numFmtId="0" fontId="9" fillId="18" borderId="26" xfId="3" applyFont="1" applyFill="1" applyBorder="1" applyAlignment="1">
      <alignment horizontal="center" vertical="center" wrapText="1"/>
    </xf>
    <xf numFmtId="0" fontId="9" fillId="18" borderId="27" xfId="3" applyFont="1" applyFill="1" applyBorder="1" applyAlignment="1">
      <alignment horizontal="center" vertical="center" wrapText="1"/>
    </xf>
    <xf numFmtId="0" fontId="9" fillId="18" borderId="53" xfId="3" applyFont="1" applyFill="1" applyBorder="1" applyAlignment="1">
      <alignment horizontal="center" vertical="center" wrapText="1"/>
    </xf>
    <xf numFmtId="0" fontId="10" fillId="4" borderId="28" xfId="3" applyFill="1" applyBorder="1" applyAlignment="1">
      <alignment horizontal="center" vertical="center" wrapText="1"/>
    </xf>
    <xf numFmtId="0" fontId="10" fillId="4" borderId="66" xfId="3" applyFill="1" applyBorder="1" applyAlignment="1">
      <alignment horizontal="center" vertical="center" wrapText="1"/>
    </xf>
    <xf numFmtId="0" fontId="9" fillId="0" borderId="26" xfId="3" applyFont="1" applyBorder="1" applyAlignment="1">
      <alignment horizontal="left" wrapText="1"/>
    </xf>
    <xf numFmtId="0" fontId="9" fillId="0" borderId="53" xfId="3" applyFont="1" applyBorder="1" applyAlignment="1">
      <alignment horizontal="left" wrapText="1"/>
    </xf>
    <xf numFmtId="0" fontId="9" fillId="0" borderId="26" xfId="3" applyFont="1" applyBorder="1" applyAlignment="1">
      <alignment horizontal="center" wrapText="1"/>
    </xf>
    <xf numFmtId="0" fontId="9" fillId="0" borderId="53" xfId="3" applyFont="1" applyBorder="1" applyAlignment="1">
      <alignment horizontal="center" wrapText="1"/>
    </xf>
    <xf numFmtId="0" fontId="9" fillId="0" borderId="19" xfId="3" applyFont="1" applyBorder="1" applyAlignment="1">
      <alignment horizontal="center" vertical="center" wrapText="1"/>
    </xf>
    <xf numFmtId="0" fontId="9" fillId="0" borderId="21" xfId="3" applyFont="1" applyBorder="1" applyAlignment="1">
      <alignment horizontal="center" vertical="center" wrapText="1"/>
    </xf>
    <xf numFmtId="0" fontId="10" fillId="17" borderId="0" xfId="3" applyFill="1" applyAlignment="1">
      <alignment horizontal="center" vertical="center" wrapText="1"/>
    </xf>
    <xf numFmtId="0" fontId="9" fillId="16" borderId="23" xfId="3" applyFont="1" applyFill="1" applyBorder="1" applyAlignment="1">
      <alignment horizontal="center" vertical="center" wrapText="1"/>
    </xf>
    <xf numFmtId="0" fontId="31" fillId="6" borderId="25" xfId="3" applyFont="1" applyFill="1" applyBorder="1" applyAlignment="1">
      <alignment horizontal="left" vertical="top" wrapText="1"/>
    </xf>
    <xf numFmtId="0" fontId="31" fillId="6" borderId="10" xfId="3" applyFont="1" applyFill="1" applyBorder="1" applyAlignment="1">
      <alignment horizontal="left" vertical="top" wrapText="1"/>
    </xf>
    <xf numFmtId="0" fontId="31" fillId="6" borderId="2" xfId="3" applyFont="1" applyFill="1" applyBorder="1" applyAlignment="1">
      <alignment horizontal="left" vertical="top" wrapText="1"/>
    </xf>
    <xf numFmtId="0" fontId="10" fillId="28" borderId="0" xfId="3" applyFill="1" applyAlignment="1">
      <alignment horizontal="center" vertical="center" wrapText="1"/>
    </xf>
    <xf numFmtId="0" fontId="10" fillId="28" borderId="55" xfId="3" applyFill="1" applyBorder="1" applyAlignment="1">
      <alignment horizontal="center" vertical="center" wrapText="1"/>
    </xf>
    <xf numFmtId="0" fontId="10" fillId="6" borderId="9" xfId="3" applyFill="1" applyBorder="1" applyAlignment="1">
      <alignment horizontal="center" wrapText="1"/>
    </xf>
    <xf numFmtId="0" fontId="10" fillId="6" borderId="0" xfId="3" applyFill="1" applyAlignment="1">
      <alignment horizontal="center" wrapText="1"/>
    </xf>
    <xf numFmtId="0" fontId="10" fillId="6" borderId="13" xfId="3" applyFill="1" applyBorder="1" applyAlignment="1">
      <alignment horizontal="center" wrapText="1"/>
    </xf>
    <xf numFmtId="0" fontId="10" fillId="6" borderId="11" xfId="3" applyFill="1" applyBorder="1" applyAlignment="1">
      <alignment horizontal="center" wrapText="1"/>
    </xf>
    <xf numFmtId="0" fontId="10" fillId="6" borderId="29" xfId="3" applyFill="1" applyBorder="1" applyAlignment="1">
      <alignment horizontal="center" wrapText="1"/>
    </xf>
    <xf numFmtId="0" fontId="10" fillId="6" borderId="59" xfId="3" applyFill="1" applyBorder="1" applyAlignment="1">
      <alignment horizontal="center" wrapText="1"/>
    </xf>
    <xf numFmtId="0" fontId="10" fillId="0" borderId="95" xfId="3" applyBorder="1" applyAlignment="1">
      <alignment horizontal="center" vertical="center" wrapText="1"/>
    </xf>
    <xf numFmtId="0" fontId="10" fillId="28" borderId="4" xfId="3" applyFill="1" applyBorder="1" applyAlignment="1">
      <alignment horizontal="center" vertical="center" wrapText="1"/>
    </xf>
    <xf numFmtId="0" fontId="10" fillId="28" borderId="5" xfId="3" applyFill="1" applyBorder="1" applyAlignment="1">
      <alignment horizontal="center" vertical="center" wrapText="1"/>
    </xf>
    <xf numFmtId="0" fontId="26" fillId="17" borderId="0" xfId="3" applyFont="1" applyFill="1" applyAlignment="1">
      <alignment horizontal="center" vertical="center"/>
    </xf>
    <xf numFmtId="0" fontId="9" fillId="16" borderId="25" xfId="3" applyFont="1" applyFill="1" applyBorder="1" applyAlignment="1">
      <alignment horizontal="center" vertical="center" wrapText="1"/>
    </xf>
    <xf numFmtId="0" fontId="9" fillId="18" borderId="15" xfId="3" applyFont="1" applyFill="1" applyBorder="1" applyAlignment="1">
      <alignment horizontal="center" vertical="center" wrapText="1"/>
    </xf>
    <xf numFmtId="0" fontId="9" fillId="18" borderId="16" xfId="3" applyFont="1" applyFill="1" applyBorder="1" applyAlignment="1">
      <alignment horizontal="center" vertical="center" wrapText="1"/>
    </xf>
    <xf numFmtId="0" fontId="9" fillId="18" borderId="14" xfId="3" applyFont="1" applyFill="1" applyBorder="1" applyAlignment="1">
      <alignment horizontal="center" vertical="center" wrapText="1"/>
    </xf>
    <xf numFmtId="0" fontId="9" fillId="0" borderId="71" xfId="3" applyFont="1" applyBorder="1" applyAlignment="1">
      <alignment horizontal="center" vertical="center" wrapText="1"/>
    </xf>
    <xf numFmtId="0" fontId="9" fillId="0" borderId="72" xfId="3" applyFont="1" applyBorder="1" applyAlignment="1">
      <alignment horizontal="center" vertical="center" wrapText="1"/>
    </xf>
    <xf numFmtId="0" fontId="9" fillId="0" borderId="70" xfId="3" applyFont="1" applyBorder="1" applyAlignment="1">
      <alignment horizontal="center" vertical="center" wrapText="1"/>
    </xf>
    <xf numFmtId="0" fontId="9" fillId="0" borderId="71" xfId="3" applyFont="1" applyBorder="1" applyAlignment="1">
      <alignment horizontal="center" vertical="center"/>
    </xf>
    <xf numFmtId="0" fontId="10" fillId="0" borderId="72" xfId="3" applyBorder="1" applyAlignment="1">
      <alignment horizontal="center" vertical="center"/>
    </xf>
    <xf numFmtId="0" fontId="10" fillId="0" borderId="70" xfId="3" applyBorder="1" applyAlignment="1">
      <alignment horizontal="center" vertical="center"/>
    </xf>
    <xf numFmtId="0" fontId="10" fillId="0" borderId="65" xfId="3" applyBorder="1" applyAlignment="1">
      <alignment horizontal="center" vertical="center"/>
    </xf>
    <xf numFmtId="0" fontId="9" fillId="16" borderId="25" xfId="3" applyFont="1" applyFill="1" applyBorder="1" applyAlignment="1">
      <alignment horizontal="center" vertical="top" wrapText="1"/>
    </xf>
    <xf numFmtId="0" fontId="9" fillId="16" borderId="10" xfId="3" applyFont="1" applyFill="1" applyBorder="1" applyAlignment="1">
      <alignment horizontal="center" vertical="top" wrapText="1"/>
    </xf>
    <xf numFmtId="0" fontId="9" fillId="16" borderId="2" xfId="3" applyFont="1" applyFill="1" applyBorder="1" applyAlignment="1">
      <alignment horizontal="center" vertical="top" wrapText="1"/>
    </xf>
    <xf numFmtId="0" fontId="10" fillId="16" borderId="68" xfId="3" applyFill="1" applyBorder="1" applyAlignment="1">
      <alignment horizontal="center" vertical="center" wrapText="1"/>
    </xf>
    <xf numFmtId="0" fontId="10" fillId="16" borderId="72" xfId="3" applyFill="1" applyBorder="1" applyAlignment="1">
      <alignment horizontal="center" vertical="center" wrapText="1"/>
    </xf>
    <xf numFmtId="0" fontId="10" fillId="16" borderId="70" xfId="3" applyFill="1" applyBorder="1" applyAlignment="1">
      <alignment horizontal="center" vertical="center" wrapText="1"/>
    </xf>
    <xf numFmtId="0" fontId="10" fillId="16" borderId="72" xfId="3" applyFill="1" applyBorder="1" applyAlignment="1">
      <alignment horizontal="center" vertical="center"/>
    </xf>
    <xf numFmtId="0" fontId="10" fillId="16" borderId="65" xfId="3" applyFill="1" applyBorder="1" applyAlignment="1">
      <alignment horizontal="center" vertical="center"/>
    </xf>
    <xf numFmtId="0" fontId="9" fillId="4" borderId="9" xfId="3" applyFont="1" applyFill="1" applyBorder="1" applyAlignment="1">
      <alignment horizontal="center" vertical="center" wrapText="1"/>
    </xf>
    <xf numFmtId="0" fontId="9" fillId="4" borderId="0" xfId="3" applyFont="1" applyFill="1" applyAlignment="1">
      <alignment horizontal="center" vertical="center" wrapText="1"/>
    </xf>
    <xf numFmtId="2" fontId="10" fillId="6" borderId="4" xfId="3" applyNumberFormat="1" applyFill="1" applyBorder="1" applyAlignment="1">
      <alignment horizontal="center" vertical="center" wrapText="1"/>
    </xf>
    <xf numFmtId="2" fontId="10" fillId="6" borderId="5" xfId="3" applyNumberFormat="1" applyFill="1" applyBorder="1" applyAlignment="1">
      <alignment horizontal="center" vertical="center" wrapText="1"/>
    </xf>
    <xf numFmtId="2" fontId="10" fillId="6" borderId="6" xfId="3" applyNumberFormat="1" applyFill="1" applyBorder="1" applyAlignment="1">
      <alignment horizontal="center" vertical="center" wrapText="1"/>
    </xf>
    <xf numFmtId="0" fontId="10" fillId="16" borderId="71" xfId="3" applyFill="1" applyBorder="1" applyAlignment="1">
      <alignment horizontal="center" vertical="center" wrapText="1"/>
    </xf>
    <xf numFmtId="0" fontId="10" fillId="16" borderId="65" xfId="3" applyFill="1" applyBorder="1" applyAlignment="1">
      <alignment horizontal="center" vertical="center" wrapText="1"/>
    </xf>
    <xf numFmtId="0" fontId="10" fillId="6" borderId="97" xfId="3" applyFill="1" applyBorder="1" applyAlignment="1">
      <alignment horizontal="left" vertical="top" wrapText="1"/>
    </xf>
    <xf numFmtId="0" fontId="10" fillId="6" borderId="9" xfId="3" applyFill="1" applyBorder="1" applyAlignment="1">
      <alignment horizontal="left" vertical="top" wrapText="1"/>
    </xf>
    <xf numFmtId="0" fontId="10" fillId="6" borderId="9" xfId="3" applyFill="1" applyBorder="1" applyAlignment="1">
      <alignment horizontal="center" vertical="center" wrapText="1"/>
    </xf>
    <xf numFmtId="0" fontId="28" fillId="6" borderId="9" xfId="3" applyFont="1" applyFill="1" applyBorder="1" applyAlignment="1">
      <alignment horizontal="left" vertical="top" wrapText="1"/>
    </xf>
    <xf numFmtId="0" fontId="10" fillId="6" borderId="11" xfId="3" applyFill="1" applyBorder="1" applyAlignment="1">
      <alignment horizontal="left" vertical="top" wrapText="1"/>
    </xf>
    <xf numFmtId="0" fontId="10" fillId="4" borderId="11" xfId="3" applyFill="1" applyBorder="1" applyAlignment="1">
      <alignment horizontal="center" vertical="center" wrapText="1"/>
    </xf>
    <xf numFmtId="0" fontId="10" fillId="4" borderId="29" xfId="3" applyFill="1" applyBorder="1" applyAlignment="1">
      <alignment horizontal="center" vertical="center" wrapText="1"/>
    </xf>
    <xf numFmtId="2" fontId="10" fillId="6" borderId="57" xfId="3" applyNumberFormat="1" applyFill="1" applyBorder="1" applyAlignment="1">
      <alignment horizontal="center" vertical="center" wrapText="1"/>
    </xf>
    <xf numFmtId="2" fontId="10" fillId="6" borderId="96" xfId="3" applyNumberFormat="1" applyFill="1" applyBorder="1" applyAlignment="1">
      <alignment horizontal="center" vertical="center" wrapText="1"/>
    </xf>
    <xf numFmtId="2" fontId="10" fillId="6" borderId="75" xfId="3" applyNumberFormat="1" applyFill="1" applyBorder="1" applyAlignment="1">
      <alignment horizontal="center" vertical="center" wrapText="1"/>
    </xf>
    <xf numFmtId="0" fontId="10" fillId="6" borderId="96" xfId="3" applyFill="1" applyBorder="1" applyAlignment="1">
      <alignment horizontal="center" vertical="center" wrapText="1"/>
    </xf>
    <xf numFmtId="0" fontId="10" fillId="6" borderId="76" xfId="3" applyFill="1" applyBorder="1" applyAlignment="1">
      <alignment horizontal="center" vertical="center" wrapText="1"/>
    </xf>
    <xf numFmtId="0" fontId="9" fillId="18" borderId="0" xfId="3" applyFont="1" applyFill="1" applyAlignment="1">
      <alignment horizontal="center" vertical="center" wrapText="1"/>
    </xf>
    <xf numFmtId="0" fontId="10" fillId="6" borderId="25" xfId="3" applyFill="1" applyBorder="1" applyAlignment="1">
      <alignment horizontal="center" vertical="center" wrapText="1"/>
    </xf>
    <xf numFmtId="0" fontId="10" fillId="6" borderId="10" xfId="3" applyFill="1" applyBorder="1" applyAlignment="1">
      <alignment horizontal="center" vertical="center" wrapText="1"/>
    </xf>
    <xf numFmtId="0" fontId="10" fillId="6" borderId="2" xfId="3" applyFill="1" applyBorder="1" applyAlignment="1">
      <alignment horizontal="center" vertical="center" wrapText="1"/>
    </xf>
    <xf numFmtId="0" fontId="9" fillId="16" borderId="11" xfId="3" applyFont="1" applyFill="1" applyBorder="1" applyAlignment="1">
      <alignment horizontal="center" vertical="center" wrapText="1"/>
    </xf>
    <xf numFmtId="0" fontId="10" fillId="20" borderId="0" xfId="3" applyFill="1" applyAlignment="1">
      <alignment horizontal="center" vertical="center" wrapText="1"/>
    </xf>
    <xf numFmtId="0" fontId="30" fillId="6" borderId="0" xfId="3" applyFont="1" applyFill="1" applyBorder="1" applyAlignment="1">
      <alignment horizontal="center" vertical="center" wrapText="1"/>
    </xf>
    <xf numFmtId="0" fontId="9" fillId="6" borderId="0" xfId="3" applyFont="1" applyFill="1" applyAlignment="1">
      <alignment horizontal="center" vertical="center" wrapText="1"/>
    </xf>
    <xf numFmtId="0" fontId="9" fillId="6" borderId="11" xfId="3" applyFont="1" applyFill="1" applyBorder="1" applyAlignment="1">
      <alignment horizontal="center" vertical="center" wrapText="1"/>
    </xf>
    <xf numFmtId="0" fontId="9" fillId="6" borderId="29" xfId="3" applyFont="1" applyFill="1" applyBorder="1" applyAlignment="1">
      <alignment horizontal="center" vertical="center" wrapText="1"/>
    </xf>
    <xf numFmtId="0" fontId="9" fillId="6" borderId="59" xfId="3" applyFont="1" applyFill="1" applyBorder="1" applyAlignment="1">
      <alignment horizontal="center" vertical="center" wrapText="1"/>
    </xf>
    <xf numFmtId="0" fontId="30" fillId="17" borderId="0" xfId="3" applyFont="1" applyFill="1" applyAlignment="1">
      <alignment horizontal="center" vertical="center" wrapText="1"/>
    </xf>
    <xf numFmtId="0" fontId="9" fillId="4" borderId="13" xfId="3" applyFont="1" applyFill="1" applyBorder="1" applyAlignment="1">
      <alignment horizontal="center" vertical="center" wrapText="1"/>
    </xf>
    <xf numFmtId="0" fontId="9" fillId="17" borderId="110" xfId="3" applyFont="1" applyFill="1" applyBorder="1" applyAlignment="1">
      <alignment horizontal="center" vertical="center" wrapText="1"/>
    </xf>
    <xf numFmtId="0" fontId="9" fillId="17" borderId="104" xfId="3" applyFont="1" applyFill="1" applyBorder="1" applyAlignment="1">
      <alignment horizontal="center" vertical="center" wrapText="1"/>
    </xf>
    <xf numFmtId="0" fontId="9" fillId="17" borderId="102" xfId="3" applyFont="1" applyFill="1" applyBorder="1" applyAlignment="1">
      <alignment horizontal="center" vertical="center" wrapText="1"/>
    </xf>
    <xf numFmtId="0" fontId="10" fillId="19" borderId="9" xfId="3" applyFill="1" applyBorder="1" applyAlignment="1">
      <alignment horizontal="left" vertical="center" wrapText="1"/>
    </xf>
    <xf numFmtId="0" fontId="10" fillId="19" borderId="0" xfId="3" applyFill="1" applyAlignment="1">
      <alignment horizontal="left" vertical="center" wrapText="1"/>
    </xf>
    <xf numFmtId="0" fontId="10" fillId="19" borderId="13" xfId="3" applyFill="1" applyBorder="1" applyAlignment="1">
      <alignment horizontal="left" vertical="center" wrapText="1"/>
    </xf>
    <xf numFmtId="171" fontId="10" fillId="7" borderId="39" xfId="3" applyNumberFormat="1" applyFill="1" applyBorder="1" applyAlignment="1" applyProtection="1">
      <alignment horizontal="right" vertical="center"/>
      <protection hidden="1"/>
    </xf>
  </cellXfs>
  <cellStyles count="57">
    <cellStyle name="Comma 2" xfId="4" xr:uid="{00000000-0005-0000-0000-000000000000}"/>
    <cellStyle name="Comma 2 2" xfId="15" xr:uid="{00000000-0005-0000-0000-000001000000}"/>
    <cellStyle name="Comma 2 2 2" xfId="31" xr:uid="{00000000-0005-0000-0000-000002000000}"/>
    <cellStyle name="Comma 2 2 3" xfId="46" xr:uid="{00000000-0005-0000-0000-000003000000}"/>
    <cellStyle name="Comma 2 3" xfId="21" xr:uid="{00000000-0005-0000-0000-000004000000}"/>
    <cellStyle name="Comma 2 3 2" xfId="36" xr:uid="{00000000-0005-0000-0000-000005000000}"/>
    <cellStyle name="Comma 2 3 3" xfId="51" xr:uid="{00000000-0005-0000-0000-000006000000}"/>
    <cellStyle name="Comma 2 4" xfId="27" xr:uid="{00000000-0005-0000-0000-000007000000}"/>
    <cellStyle name="Comma 2 5" xfId="42" xr:uid="{00000000-0005-0000-0000-000008000000}"/>
    <cellStyle name="Good" xfId="1" builtinId="26"/>
    <cellStyle name="Hyperlink" xfId="56" builtinId="8"/>
    <cellStyle name="Normal" xfId="0" builtinId="0"/>
    <cellStyle name="Normal 2" xfId="2" xr:uid="{00000000-0005-0000-0000-00000C000000}"/>
    <cellStyle name="Normal 2 10" xfId="3" xr:uid="{00000000-0005-0000-0000-00000D000000}"/>
    <cellStyle name="Normal 2 2" xfId="5" xr:uid="{00000000-0005-0000-0000-00000E000000}"/>
    <cellStyle name="Normal 2 3" xfId="6" xr:uid="{00000000-0005-0000-0000-00000F000000}"/>
    <cellStyle name="Normal 2 3 2" xfId="16" xr:uid="{00000000-0005-0000-0000-000010000000}"/>
    <cellStyle name="Normal 2 3 2 2" xfId="32" xr:uid="{00000000-0005-0000-0000-000011000000}"/>
    <cellStyle name="Normal 2 3 2 3" xfId="47" xr:uid="{00000000-0005-0000-0000-000012000000}"/>
    <cellStyle name="Normal 2 3 3" xfId="22" xr:uid="{00000000-0005-0000-0000-000013000000}"/>
    <cellStyle name="Normal 2 3 3 2" xfId="37" xr:uid="{00000000-0005-0000-0000-000014000000}"/>
    <cellStyle name="Normal 2 3 3 3" xfId="52" xr:uid="{00000000-0005-0000-0000-000015000000}"/>
    <cellStyle name="Normal 2 3 4" xfId="28" xr:uid="{00000000-0005-0000-0000-000016000000}"/>
    <cellStyle name="Normal 2 3 5" xfId="43" xr:uid="{00000000-0005-0000-0000-000017000000}"/>
    <cellStyle name="Normal 2 4" xfId="14" xr:uid="{00000000-0005-0000-0000-000018000000}"/>
    <cellStyle name="Normal 2 4 2" xfId="30" xr:uid="{00000000-0005-0000-0000-000019000000}"/>
    <cellStyle name="Normal 2 4 3" xfId="45" xr:uid="{00000000-0005-0000-0000-00001A000000}"/>
    <cellStyle name="Normal 2 5" xfId="19" xr:uid="{00000000-0005-0000-0000-00001B000000}"/>
    <cellStyle name="Normal 2 5 2" xfId="35" xr:uid="{00000000-0005-0000-0000-00001C000000}"/>
    <cellStyle name="Normal 2 5 3" xfId="50" xr:uid="{00000000-0005-0000-0000-00001D000000}"/>
    <cellStyle name="Normal 2 6" xfId="25" xr:uid="{00000000-0005-0000-0000-00001E000000}"/>
    <cellStyle name="Normal 2 6 2" xfId="40" xr:uid="{00000000-0005-0000-0000-00001F000000}"/>
    <cellStyle name="Normal 2 6 3" xfId="55" xr:uid="{00000000-0005-0000-0000-000020000000}"/>
    <cellStyle name="Normal 2 7" xfId="7" xr:uid="{00000000-0005-0000-0000-000021000000}"/>
    <cellStyle name="Normal 2 8" xfId="26" xr:uid="{00000000-0005-0000-0000-000022000000}"/>
    <cellStyle name="Normal 2 9" xfId="41" xr:uid="{00000000-0005-0000-0000-000023000000}"/>
    <cellStyle name="Normal 3" xfId="8" xr:uid="{00000000-0005-0000-0000-000024000000}"/>
    <cellStyle name="Normal 4" xfId="9" xr:uid="{00000000-0005-0000-0000-000025000000}"/>
    <cellStyle name="Normal 5" xfId="13" xr:uid="{00000000-0005-0000-0000-000026000000}"/>
    <cellStyle name="Normal 5 2" xfId="17" xr:uid="{00000000-0005-0000-0000-000027000000}"/>
    <cellStyle name="Normal 5 2 2" xfId="33" xr:uid="{00000000-0005-0000-0000-000028000000}"/>
    <cellStyle name="Normal 5 2 3" xfId="48" xr:uid="{00000000-0005-0000-0000-000029000000}"/>
    <cellStyle name="Normal 5 3" xfId="23" xr:uid="{00000000-0005-0000-0000-00002A000000}"/>
    <cellStyle name="Normal 5 3 2" xfId="38" xr:uid="{00000000-0005-0000-0000-00002B000000}"/>
    <cellStyle name="Normal 5 3 3" xfId="53" xr:uid="{00000000-0005-0000-0000-00002C000000}"/>
    <cellStyle name="Normal 5 4" xfId="29" xr:uid="{00000000-0005-0000-0000-00002D000000}"/>
    <cellStyle name="Normal 5 5" xfId="44" xr:uid="{00000000-0005-0000-0000-00002E000000}"/>
    <cellStyle name="Normal 6" xfId="10" xr:uid="{00000000-0005-0000-0000-00002F000000}"/>
    <cellStyle name="Normal 7" xfId="20" xr:uid="{00000000-0005-0000-0000-000030000000}"/>
    <cellStyle name="Normal 8" xfId="18" xr:uid="{00000000-0005-0000-0000-000031000000}"/>
    <cellStyle name="Normal 8 2" xfId="34" xr:uid="{00000000-0005-0000-0000-000032000000}"/>
    <cellStyle name="Normal 8 3" xfId="49" xr:uid="{00000000-0005-0000-0000-000033000000}"/>
    <cellStyle name="Normal 9" xfId="24" xr:uid="{00000000-0005-0000-0000-000034000000}"/>
    <cellStyle name="Normal 9 2" xfId="39" xr:uid="{00000000-0005-0000-0000-000035000000}"/>
    <cellStyle name="Normal 9 3" xfId="54" xr:uid="{00000000-0005-0000-0000-000036000000}"/>
    <cellStyle name="Percent 2" xfId="11" xr:uid="{00000000-0005-0000-0000-000037000000}"/>
    <cellStyle name="Percent 3" xfId="12" xr:uid="{00000000-0005-0000-0000-000038000000}"/>
  </cellStyles>
  <dxfs count="277"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C000"/>
        </patternFill>
      </fill>
    </dxf>
    <dxf>
      <font>
        <b/>
        <i val="0"/>
      </font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</border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</border>
    </dxf>
    <dxf>
      <border outline="0"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double">
          <color indexed="64"/>
        </bottom>
      </border>
    </dxf>
    <dxf>
      <font>
        <b/>
        <strike val="0"/>
        <outline val="0"/>
        <shadow val="0"/>
        <u val="none"/>
        <vertAlign val="baseline"/>
        <sz val="10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9" tint="0.79998168889431442"/>
        </patternFill>
      </fill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double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colors>
    <mruColors>
      <color rgb="FF512D6D"/>
      <color rgb="FF00A3E0"/>
      <color rgb="FFFFCC66"/>
      <color rgb="FFFFFF7D"/>
      <color rgb="FFFFFF99"/>
      <color rgb="FFFFFFCC"/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2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800">
                <a:latin typeface="Arial" panose="020B0604020202020204" pitchFamily="34" charset="0"/>
                <a:cs typeface="Arial" panose="020B0604020202020204" pitchFamily="34" charset="0"/>
              </a:rPr>
              <a:t>Curva - Caso Normal</a:t>
            </a:r>
          </a:p>
        </c:rich>
      </c:tx>
      <c:layout>
        <c:manualLayout>
          <c:xMode val="edge"/>
          <c:yMode val="edge"/>
          <c:x val="0.33048963128846587"/>
          <c:y val="7.568041439619361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497323250660905E-2"/>
          <c:y val="0.14486416598372129"/>
          <c:w val="0.91650267136649111"/>
          <c:h val="0.63090917420451709"/>
        </c:manualLayout>
      </c:layout>
      <c:scatterChart>
        <c:scatterStyle val="lineMarker"/>
        <c:varyColors val="0"/>
        <c:ser>
          <c:idx val="0"/>
          <c:order val="0"/>
          <c:tx>
            <c:v>Original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tint val="77000"/>
                </a:schemeClr>
              </a:solidFill>
              <a:ln w="9525">
                <a:solidFill>
                  <a:schemeClr val="accent4">
                    <a:tint val="77000"/>
                  </a:schemeClr>
                </a:solidFill>
              </a:ln>
              <a:effectLst/>
            </c:spPr>
          </c:marker>
          <c:xVal>
            <c:numRef>
              <c:f>'Bending Stiffness'!$B$18:$B$1267</c:f>
              <c:numCache>
                <c:formatCode>0.0000</c:formatCode>
                <c:ptCount val="1250"/>
                <c:pt idx="0">
                  <c:v>0</c:v>
                </c:pt>
                <c:pt idx="1">
                  <c:v>3.0000000000000001E-3</c:v>
                </c:pt>
                <c:pt idx="2">
                  <c:v>6.0000000000000001E-3</c:v>
                </c:pt>
                <c:pt idx="3">
                  <c:v>8.9999999999999993E-3</c:v>
                </c:pt>
                <c:pt idx="4">
                  <c:v>1.4E-2</c:v>
                </c:pt>
                <c:pt idx="5">
                  <c:v>1.9E-2</c:v>
                </c:pt>
                <c:pt idx="6">
                  <c:v>2.4E-2</c:v>
                </c:pt>
                <c:pt idx="7">
                  <c:v>0.03</c:v>
                </c:pt>
                <c:pt idx="8">
                  <c:v>3.5999999999999997E-2</c:v>
                </c:pt>
                <c:pt idx="9">
                  <c:v>4.3999999999999997E-2</c:v>
                </c:pt>
                <c:pt idx="10">
                  <c:v>5.0999999999999997E-2</c:v>
                </c:pt>
                <c:pt idx="11">
                  <c:v>5.8999999999999997E-2</c:v>
                </c:pt>
                <c:pt idx="12">
                  <c:v>6.8000000000000005E-2</c:v>
                </c:pt>
                <c:pt idx="13">
                  <c:v>7.8E-2</c:v>
                </c:pt>
                <c:pt idx="14">
                  <c:v>8.6999999999999994E-2</c:v>
                </c:pt>
                <c:pt idx="15">
                  <c:v>9.8000000000000004E-2</c:v>
                </c:pt>
                <c:pt idx="16">
                  <c:v>0.109</c:v>
                </c:pt>
                <c:pt idx="17">
                  <c:v>0.121</c:v>
                </c:pt>
                <c:pt idx="18">
                  <c:v>0.13300000000000001</c:v>
                </c:pt>
                <c:pt idx="19">
                  <c:v>0.14499999999999999</c:v>
                </c:pt>
                <c:pt idx="20">
                  <c:v>0.159</c:v>
                </c:pt>
                <c:pt idx="21">
                  <c:v>0.17299999999999999</c:v>
                </c:pt>
                <c:pt idx="22">
                  <c:v>0.187</c:v>
                </c:pt>
                <c:pt idx="23">
                  <c:v>0.20200000000000001</c:v>
                </c:pt>
                <c:pt idx="24">
                  <c:v>0.217</c:v>
                </c:pt>
              </c:numCache>
            </c:numRef>
          </c:xVal>
          <c:yVal>
            <c:numRef>
              <c:f>'Bending Stiffness'!$D$18:$D$1267</c:f>
              <c:numCache>
                <c:formatCode>0.0000</c:formatCode>
                <c:ptCount val="1250"/>
                <c:pt idx="0">
                  <c:v>0</c:v>
                </c:pt>
                <c:pt idx="1">
                  <c:v>1.3220000000000001</c:v>
                </c:pt>
                <c:pt idx="2">
                  <c:v>1.5309999999999999</c:v>
                </c:pt>
                <c:pt idx="3">
                  <c:v>1.7749999999999999</c:v>
                </c:pt>
                <c:pt idx="4">
                  <c:v>2.0550000000000002</c:v>
                </c:pt>
                <c:pt idx="5">
                  <c:v>2.3820000000000001</c:v>
                </c:pt>
                <c:pt idx="6">
                  <c:v>2.726</c:v>
                </c:pt>
                <c:pt idx="7">
                  <c:v>3.1160000000000001</c:v>
                </c:pt>
                <c:pt idx="8">
                  <c:v>3.5430000000000001</c:v>
                </c:pt>
                <c:pt idx="9">
                  <c:v>4.0069999999999997</c:v>
                </c:pt>
                <c:pt idx="10">
                  <c:v>4.508</c:v>
                </c:pt>
                <c:pt idx="11">
                  <c:v>5.0460000000000003</c:v>
                </c:pt>
                <c:pt idx="12">
                  <c:v>5.6210000000000004</c:v>
                </c:pt>
                <c:pt idx="13">
                  <c:v>6.2320000000000002</c:v>
                </c:pt>
                <c:pt idx="14">
                  <c:v>6.88</c:v>
                </c:pt>
                <c:pt idx="15">
                  <c:v>7.5650000000000004</c:v>
                </c:pt>
                <c:pt idx="16">
                  <c:v>8.2870000000000008</c:v>
                </c:pt>
                <c:pt idx="17">
                  <c:v>9.0459999999999994</c:v>
                </c:pt>
                <c:pt idx="18">
                  <c:v>9.8409999999999993</c:v>
                </c:pt>
                <c:pt idx="19">
                  <c:v>10.673999999999999</c:v>
                </c:pt>
                <c:pt idx="20">
                  <c:v>11.542999999999999</c:v>
                </c:pt>
                <c:pt idx="21">
                  <c:v>12.449</c:v>
                </c:pt>
                <c:pt idx="22">
                  <c:v>13.391</c:v>
                </c:pt>
                <c:pt idx="23">
                  <c:v>14.371</c:v>
                </c:pt>
                <c:pt idx="24">
                  <c:v>15.388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7-45BB-9188-2A875F233621}"/>
            </c:ext>
          </c:extLst>
        </c:ser>
        <c:ser>
          <c:idx val="1"/>
          <c:order val="1"/>
          <c:tx>
            <c:v>Reduzida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shade val="76000"/>
                </a:schemeClr>
              </a:solidFill>
              <a:ln w="9525">
                <a:solidFill>
                  <a:schemeClr val="accent4">
                    <a:shade val="76000"/>
                  </a:schemeClr>
                </a:solidFill>
              </a:ln>
              <a:effectLst/>
            </c:spPr>
          </c:marker>
          <c:xVal>
            <c:numRef>
              <c:f>'Bending Stiffness'!$F$18:$F$57</c:f>
              <c:numCache>
                <c:formatCode>0.0000</c:formatCode>
                <c:ptCount val="40"/>
                <c:pt idx="0">
                  <c:v>0</c:v>
                </c:pt>
                <c:pt idx="1">
                  <c:v>3.0000000000000001E-3</c:v>
                </c:pt>
                <c:pt idx="2">
                  <c:v>6.0000000000000001E-3</c:v>
                </c:pt>
                <c:pt idx="3">
                  <c:v>8.9999999999999993E-3</c:v>
                </c:pt>
                <c:pt idx="4">
                  <c:v>1.4E-2</c:v>
                </c:pt>
                <c:pt idx="5">
                  <c:v>1.9E-2</c:v>
                </c:pt>
                <c:pt idx="6">
                  <c:v>2.4E-2</c:v>
                </c:pt>
                <c:pt idx="7">
                  <c:v>0.03</c:v>
                </c:pt>
                <c:pt idx="8">
                  <c:v>3.5999999999999997E-2</c:v>
                </c:pt>
                <c:pt idx="9">
                  <c:v>4.3999999999999997E-2</c:v>
                </c:pt>
                <c:pt idx="10">
                  <c:v>5.0999999999999997E-2</c:v>
                </c:pt>
                <c:pt idx="11">
                  <c:v>5.8999999999999997E-2</c:v>
                </c:pt>
                <c:pt idx="12">
                  <c:v>6.8000000000000005E-2</c:v>
                </c:pt>
                <c:pt idx="13">
                  <c:v>7.8E-2</c:v>
                </c:pt>
                <c:pt idx="14">
                  <c:v>8.6999999999999994E-2</c:v>
                </c:pt>
                <c:pt idx="15">
                  <c:v>9.8000000000000004E-2</c:v>
                </c:pt>
                <c:pt idx="16">
                  <c:v>0.109</c:v>
                </c:pt>
                <c:pt idx="17">
                  <c:v>0.121</c:v>
                </c:pt>
                <c:pt idx="18">
                  <c:v>0.13300000000000001</c:v>
                </c:pt>
                <c:pt idx="19">
                  <c:v>0.14499999999999999</c:v>
                </c:pt>
                <c:pt idx="20">
                  <c:v>0.159</c:v>
                </c:pt>
                <c:pt idx="21">
                  <c:v>0.17299999999999999</c:v>
                </c:pt>
                <c:pt idx="22">
                  <c:v>0.187</c:v>
                </c:pt>
                <c:pt idx="23">
                  <c:v>0.20200000000000001</c:v>
                </c:pt>
                <c:pt idx="24">
                  <c:v>0.217</c:v>
                </c:pt>
              </c:numCache>
            </c:numRef>
          </c:xVal>
          <c:yVal>
            <c:numRef>
              <c:f>'Bending Stiffness'!$G$18:$G$57</c:f>
              <c:numCache>
                <c:formatCode>0.0000</c:formatCode>
                <c:ptCount val="40"/>
                <c:pt idx="0">
                  <c:v>0</c:v>
                </c:pt>
                <c:pt idx="1">
                  <c:v>1.3220000000000001</c:v>
                </c:pt>
                <c:pt idx="2">
                  <c:v>1.5309999999999999</c:v>
                </c:pt>
                <c:pt idx="3">
                  <c:v>1.7749999999999999</c:v>
                </c:pt>
                <c:pt idx="4">
                  <c:v>2.0550000000000002</c:v>
                </c:pt>
                <c:pt idx="5">
                  <c:v>2.3820000000000001</c:v>
                </c:pt>
                <c:pt idx="6">
                  <c:v>2.726</c:v>
                </c:pt>
                <c:pt idx="7">
                  <c:v>3.1160000000000001</c:v>
                </c:pt>
                <c:pt idx="8">
                  <c:v>3.5430000000000001</c:v>
                </c:pt>
                <c:pt idx="9">
                  <c:v>4.0069999999999997</c:v>
                </c:pt>
                <c:pt idx="10">
                  <c:v>4.508</c:v>
                </c:pt>
                <c:pt idx="11">
                  <c:v>5.0460000000000003</c:v>
                </c:pt>
                <c:pt idx="12">
                  <c:v>5.6210000000000004</c:v>
                </c:pt>
                <c:pt idx="13">
                  <c:v>6.2320000000000002</c:v>
                </c:pt>
                <c:pt idx="14">
                  <c:v>6.88</c:v>
                </c:pt>
                <c:pt idx="15">
                  <c:v>7.5650000000000004</c:v>
                </c:pt>
                <c:pt idx="16">
                  <c:v>8.2870000000000008</c:v>
                </c:pt>
                <c:pt idx="17">
                  <c:v>9.0459999999999994</c:v>
                </c:pt>
                <c:pt idx="18">
                  <c:v>9.8409999999999993</c:v>
                </c:pt>
                <c:pt idx="19">
                  <c:v>10.673999999999999</c:v>
                </c:pt>
                <c:pt idx="20">
                  <c:v>11.542999999999999</c:v>
                </c:pt>
                <c:pt idx="21">
                  <c:v>12.449</c:v>
                </c:pt>
                <c:pt idx="22">
                  <c:v>13.391</c:v>
                </c:pt>
                <c:pt idx="23">
                  <c:v>14.371</c:v>
                </c:pt>
                <c:pt idx="24">
                  <c:v>15.388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7-45BB-9188-2A875F233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9914032"/>
        <c:axId val="689917312"/>
      </c:scatterChart>
      <c:valAx>
        <c:axId val="689914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9917312"/>
        <c:crosses val="autoZero"/>
        <c:crossBetween val="midCat"/>
      </c:valAx>
      <c:valAx>
        <c:axId val="68991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9914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0.25144756905386823"/>
          <c:y val="0.90603751084459372"/>
          <c:w val="0.52301637295338077"/>
          <c:h val="8.36466235094632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800">
                <a:latin typeface="Arial" panose="020B0604020202020204" pitchFamily="34" charset="0"/>
                <a:cs typeface="Arial" panose="020B0604020202020204" pitchFamily="34" charset="0"/>
              </a:rPr>
              <a:t>Curva -</a:t>
            </a:r>
            <a:r>
              <a:rPr lang="pt-BR" sz="800" baseline="0">
                <a:latin typeface="Arial" panose="020B0604020202020204" pitchFamily="34" charset="0"/>
                <a:cs typeface="Arial" panose="020B0604020202020204" pitchFamily="34" charset="0"/>
              </a:rPr>
              <a:t> Caso de Teste</a:t>
            </a:r>
            <a:endParaRPr lang="pt-BR" sz="8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33048948613597512"/>
          <c:y val="7.56795216577509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497323250660905E-2"/>
          <c:y val="0.14486416598372129"/>
          <c:w val="0.91650267136649111"/>
          <c:h val="0.63090917420451709"/>
        </c:manualLayout>
      </c:layout>
      <c:scatterChart>
        <c:scatterStyle val="lineMarker"/>
        <c:varyColors val="0"/>
        <c:ser>
          <c:idx val="0"/>
          <c:order val="0"/>
          <c:tx>
            <c:v>Original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tint val="77000"/>
                </a:schemeClr>
              </a:solidFill>
              <a:ln w="9525">
                <a:solidFill>
                  <a:schemeClr val="accent4">
                    <a:tint val="77000"/>
                  </a:schemeClr>
                </a:solidFill>
              </a:ln>
              <a:effectLst/>
            </c:spPr>
          </c:marker>
          <c:xVal>
            <c:numRef>
              <c:f>'Bending Stiffness'!$I$18:$I$1267</c:f>
              <c:numCache>
                <c:formatCode>0.0000</c:formatCode>
                <c:ptCount val="1250"/>
                <c:pt idx="0">
                  <c:v>0</c:v>
                </c:pt>
                <c:pt idx="1">
                  <c:v>3.0000000000000001E-3</c:v>
                </c:pt>
                <c:pt idx="2">
                  <c:v>6.0000000000000001E-3</c:v>
                </c:pt>
                <c:pt idx="3">
                  <c:v>8.9999999999999993E-3</c:v>
                </c:pt>
                <c:pt idx="4">
                  <c:v>1.4E-2</c:v>
                </c:pt>
                <c:pt idx="5">
                  <c:v>1.9E-2</c:v>
                </c:pt>
                <c:pt idx="6">
                  <c:v>2.4E-2</c:v>
                </c:pt>
                <c:pt idx="7">
                  <c:v>0.03</c:v>
                </c:pt>
                <c:pt idx="8">
                  <c:v>3.5999999999999997E-2</c:v>
                </c:pt>
                <c:pt idx="9">
                  <c:v>4.3999999999999997E-2</c:v>
                </c:pt>
                <c:pt idx="10">
                  <c:v>5.0999999999999997E-2</c:v>
                </c:pt>
                <c:pt idx="11">
                  <c:v>5.8999999999999997E-2</c:v>
                </c:pt>
                <c:pt idx="12">
                  <c:v>6.8000000000000005E-2</c:v>
                </c:pt>
                <c:pt idx="13">
                  <c:v>7.8E-2</c:v>
                </c:pt>
                <c:pt idx="14">
                  <c:v>8.6999999999999994E-2</c:v>
                </c:pt>
                <c:pt idx="15">
                  <c:v>9.8000000000000004E-2</c:v>
                </c:pt>
                <c:pt idx="16">
                  <c:v>0.109</c:v>
                </c:pt>
                <c:pt idx="17">
                  <c:v>0.121</c:v>
                </c:pt>
                <c:pt idx="18">
                  <c:v>0.13300000000000001</c:v>
                </c:pt>
                <c:pt idx="19">
                  <c:v>0.14499999999999999</c:v>
                </c:pt>
                <c:pt idx="20">
                  <c:v>0.159</c:v>
                </c:pt>
                <c:pt idx="21">
                  <c:v>0.17299999999999999</c:v>
                </c:pt>
                <c:pt idx="22">
                  <c:v>0.187</c:v>
                </c:pt>
                <c:pt idx="23">
                  <c:v>0.20200000000000001</c:v>
                </c:pt>
                <c:pt idx="24">
                  <c:v>0.217</c:v>
                </c:pt>
              </c:numCache>
            </c:numRef>
          </c:xVal>
          <c:yVal>
            <c:numRef>
              <c:f>'Bending Stiffness'!$K$18:$K$1267</c:f>
              <c:numCache>
                <c:formatCode>0.0000</c:formatCode>
                <c:ptCount val="1250"/>
                <c:pt idx="0">
                  <c:v>0</c:v>
                </c:pt>
                <c:pt idx="1">
                  <c:v>9.5830000000000002</c:v>
                </c:pt>
                <c:pt idx="2">
                  <c:v>16.079999999999998</c:v>
                </c:pt>
                <c:pt idx="3">
                  <c:v>19.158999999999999</c:v>
                </c:pt>
                <c:pt idx="4">
                  <c:v>20.068000000000001</c:v>
                </c:pt>
                <c:pt idx="5">
                  <c:v>20.622</c:v>
                </c:pt>
                <c:pt idx="6">
                  <c:v>21.087</c:v>
                </c:pt>
                <c:pt idx="7">
                  <c:v>21.538</c:v>
                </c:pt>
                <c:pt idx="8">
                  <c:v>22.001000000000001</c:v>
                </c:pt>
                <c:pt idx="9">
                  <c:v>22.486000000000001</c:v>
                </c:pt>
                <c:pt idx="10">
                  <c:v>22.998000000000001</c:v>
                </c:pt>
                <c:pt idx="11">
                  <c:v>23.544</c:v>
                </c:pt>
                <c:pt idx="12">
                  <c:v>24.125</c:v>
                </c:pt>
                <c:pt idx="13">
                  <c:v>24.742000000000001</c:v>
                </c:pt>
                <c:pt idx="14">
                  <c:v>25.395</c:v>
                </c:pt>
                <c:pt idx="15">
                  <c:v>26.084</c:v>
                </c:pt>
                <c:pt idx="16">
                  <c:v>26.809000000000001</c:v>
                </c:pt>
                <c:pt idx="17">
                  <c:v>27.571000000000002</c:v>
                </c:pt>
                <c:pt idx="18">
                  <c:v>28.367999999999999</c:v>
                </c:pt>
                <c:pt idx="19">
                  <c:v>29.202999999999999</c:v>
                </c:pt>
                <c:pt idx="20">
                  <c:v>30.074000000000002</c:v>
                </c:pt>
                <c:pt idx="21">
                  <c:v>30.981000000000002</c:v>
                </c:pt>
                <c:pt idx="22">
                  <c:v>31.925999999999998</c:v>
                </c:pt>
                <c:pt idx="23">
                  <c:v>32.905999999999999</c:v>
                </c:pt>
                <c:pt idx="24">
                  <c:v>33.923999999999999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F8-4F22-B3EB-F61D6DFF9E48}"/>
            </c:ext>
          </c:extLst>
        </c:ser>
        <c:ser>
          <c:idx val="1"/>
          <c:order val="1"/>
          <c:tx>
            <c:v>Reduzida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shade val="76000"/>
                </a:schemeClr>
              </a:solidFill>
              <a:ln w="9525">
                <a:solidFill>
                  <a:schemeClr val="accent4">
                    <a:shade val="76000"/>
                  </a:schemeClr>
                </a:solidFill>
              </a:ln>
              <a:effectLst/>
            </c:spPr>
          </c:marker>
          <c:xVal>
            <c:numRef>
              <c:f>'Bending Stiffness'!$M$18:$M$57</c:f>
              <c:numCache>
                <c:formatCode>0.0000</c:formatCode>
                <c:ptCount val="40"/>
                <c:pt idx="0">
                  <c:v>0</c:v>
                </c:pt>
                <c:pt idx="1">
                  <c:v>3.0000000000000001E-3</c:v>
                </c:pt>
                <c:pt idx="2">
                  <c:v>6.0000000000000001E-3</c:v>
                </c:pt>
                <c:pt idx="3">
                  <c:v>8.9999999999999993E-3</c:v>
                </c:pt>
                <c:pt idx="4">
                  <c:v>1.4E-2</c:v>
                </c:pt>
                <c:pt idx="5">
                  <c:v>1.9E-2</c:v>
                </c:pt>
                <c:pt idx="6">
                  <c:v>2.4E-2</c:v>
                </c:pt>
                <c:pt idx="7">
                  <c:v>0.03</c:v>
                </c:pt>
                <c:pt idx="8">
                  <c:v>3.5999999999999997E-2</c:v>
                </c:pt>
                <c:pt idx="9">
                  <c:v>4.3999999999999997E-2</c:v>
                </c:pt>
                <c:pt idx="10">
                  <c:v>5.0999999999999997E-2</c:v>
                </c:pt>
                <c:pt idx="11">
                  <c:v>5.8999999999999997E-2</c:v>
                </c:pt>
                <c:pt idx="12">
                  <c:v>6.8000000000000005E-2</c:v>
                </c:pt>
                <c:pt idx="13">
                  <c:v>7.8E-2</c:v>
                </c:pt>
                <c:pt idx="14">
                  <c:v>8.6999999999999994E-2</c:v>
                </c:pt>
                <c:pt idx="15">
                  <c:v>9.8000000000000004E-2</c:v>
                </c:pt>
                <c:pt idx="16">
                  <c:v>0.109</c:v>
                </c:pt>
                <c:pt idx="17">
                  <c:v>0.121</c:v>
                </c:pt>
                <c:pt idx="18">
                  <c:v>0.13300000000000001</c:v>
                </c:pt>
                <c:pt idx="19">
                  <c:v>0.14499999999999999</c:v>
                </c:pt>
                <c:pt idx="20">
                  <c:v>0.159</c:v>
                </c:pt>
                <c:pt idx="21">
                  <c:v>0.17299999999999999</c:v>
                </c:pt>
                <c:pt idx="22">
                  <c:v>0.187</c:v>
                </c:pt>
                <c:pt idx="23">
                  <c:v>0.20200000000000001</c:v>
                </c:pt>
                <c:pt idx="24">
                  <c:v>0.217</c:v>
                </c:pt>
              </c:numCache>
            </c:numRef>
          </c:xVal>
          <c:yVal>
            <c:numRef>
              <c:f>'Bending Stiffness'!$N$18:$N$57</c:f>
              <c:numCache>
                <c:formatCode>0.0000</c:formatCode>
                <c:ptCount val="40"/>
                <c:pt idx="0">
                  <c:v>0</c:v>
                </c:pt>
                <c:pt idx="1">
                  <c:v>9.5830000000000002</c:v>
                </c:pt>
                <c:pt idx="2">
                  <c:v>16.079999999999998</c:v>
                </c:pt>
                <c:pt idx="3">
                  <c:v>19.158999999999999</c:v>
                </c:pt>
                <c:pt idx="4">
                  <c:v>20.068000000000001</c:v>
                </c:pt>
                <c:pt idx="5">
                  <c:v>20.622</c:v>
                </c:pt>
                <c:pt idx="6">
                  <c:v>21.087</c:v>
                </c:pt>
                <c:pt idx="7">
                  <c:v>21.538</c:v>
                </c:pt>
                <c:pt idx="8">
                  <c:v>22.001000000000001</c:v>
                </c:pt>
                <c:pt idx="9">
                  <c:v>22.486000000000001</c:v>
                </c:pt>
                <c:pt idx="10">
                  <c:v>22.998000000000001</c:v>
                </c:pt>
                <c:pt idx="11">
                  <c:v>23.544</c:v>
                </c:pt>
                <c:pt idx="12">
                  <c:v>24.125</c:v>
                </c:pt>
                <c:pt idx="13">
                  <c:v>24.742000000000001</c:v>
                </c:pt>
                <c:pt idx="14">
                  <c:v>25.395</c:v>
                </c:pt>
                <c:pt idx="15">
                  <c:v>26.084</c:v>
                </c:pt>
                <c:pt idx="16">
                  <c:v>26.809000000000001</c:v>
                </c:pt>
                <c:pt idx="17">
                  <c:v>27.571000000000002</c:v>
                </c:pt>
                <c:pt idx="18">
                  <c:v>28.367999999999999</c:v>
                </c:pt>
                <c:pt idx="19">
                  <c:v>29.202999999999999</c:v>
                </c:pt>
                <c:pt idx="20">
                  <c:v>30.074000000000002</c:v>
                </c:pt>
                <c:pt idx="21">
                  <c:v>30.981000000000002</c:v>
                </c:pt>
                <c:pt idx="22">
                  <c:v>31.925999999999998</c:v>
                </c:pt>
                <c:pt idx="23">
                  <c:v>32.905999999999999</c:v>
                </c:pt>
                <c:pt idx="24">
                  <c:v>33.923999999999999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F8-4F22-B3EB-F61D6DFF9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9914032"/>
        <c:axId val="689917312"/>
      </c:scatterChart>
      <c:valAx>
        <c:axId val="689914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9917312"/>
        <c:crosses val="autoZero"/>
        <c:crossBetween val="midCat"/>
      </c:valAx>
      <c:valAx>
        <c:axId val="68991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9914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0.25144756905386823"/>
          <c:y val="0.90603751084459372"/>
          <c:w val="0.52301637295338077"/>
          <c:h val="8.36466235094632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800">
                <a:latin typeface="Arial" panose="020B0604020202020204" pitchFamily="34" charset="0"/>
                <a:cs typeface="Arial" panose="020B0604020202020204" pitchFamily="34" charset="0"/>
              </a:rPr>
              <a:t>Curva - Caso de Operação</a:t>
            </a:r>
          </a:p>
        </c:rich>
      </c:tx>
      <c:layout>
        <c:manualLayout>
          <c:xMode val="edge"/>
          <c:yMode val="edge"/>
          <c:x val="0.3026062194613674"/>
          <c:y val="7.567910574804029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497323250660905E-2"/>
          <c:y val="0.14486416598372129"/>
          <c:w val="0.91650267136649111"/>
          <c:h val="0.63090917420451709"/>
        </c:manualLayout>
      </c:layout>
      <c:scatterChart>
        <c:scatterStyle val="lineMarker"/>
        <c:varyColors val="0"/>
        <c:ser>
          <c:idx val="0"/>
          <c:order val="0"/>
          <c:tx>
            <c:v>Original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tint val="77000"/>
                </a:schemeClr>
              </a:solidFill>
              <a:ln w="9525">
                <a:solidFill>
                  <a:schemeClr val="accent4">
                    <a:tint val="77000"/>
                  </a:schemeClr>
                </a:solidFill>
              </a:ln>
              <a:effectLst/>
            </c:spPr>
          </c:marker>
          <c:xVal>
            <c:numRef>
              <c:f>'Bending Stiffness'!$P$18:$P$1267</c:f>
              <c:numCache>
                <c:formatCode>0.0000</c:formatCode>
                <c:ptCount val="1250"/>
                <c:pt idx="0">
                  <c:v>0</c:v>
                </c:pt>
                <c:pt idx="1">
                  <c:v>3.0000000000000001E-3</c:v>
                </c:pt>
                <c:pt idx="2">
                  <c:v>6.0000000000000001E-3</c:v>
                </c:pt>
                <c:pt idx="3">
                  <c:v>8.9999999999999993E-3</c:v>
                </c:pt>
                <c:pt idx="4">
                  <c:v>1.4E-2</c:v>
                </c:pt>
                <c:pt idx="5">
                  <c:v>1.9E-2</c:v>
                </c:pt>
                <c:pt idx="6">
                  <c:v>2.4E-2</c:v>
                </c:pt>
                <c:pt idx="7">
                  <c:v>0.03</c:v>
                </c:pt>
                <c:pt idx="8">
                  <c:v>3.5999999999999997E-2</c:v>
                </c:pt>
                <c:pt idx="9">
                  <c:v>4.3999999999999997E-2</c:v>
                </c:pt>
                <c:pt idx="10">
                  <c:v>5.0999999999999997E-2</c:v>
                </c:pt>
                <c:pt idx="11">
                  <c:v>5.8999999999999997E-2</c:v>
                </c:pt>
                <c:pt idx="12">
                  <c:v>6.8000000000000005E-2</c:v>
                </c:pt>
                <c:pt idx="13">
                  <c:v>7.8E-2</c:v>
                </c:pt>
                <c:pt idx="14">
                  <c:v>8.6999999999999994E-2</c:v>
                </c:pt>
                <c:pt idx="15">
                  <c:v>9.8000000000000004E-2</c:v>
                </c:pt>
                <c:pt idx="16">
                  <c:v>0.109</c:v>
                </c:pt>
                <c:pt idx="17">
                  <c:v>0.121</c:v>
                </c:pt>
                <c:pt idx="18">
                  <c:v>0.13300000000000001</c:v>
                </c:pt>
                <c:pt idx="19">
                  <c:v>0.14499999999999999</c:v>
                </c:pt>
                <c:pt idx="20">
                  <c:v>0.159</c:v>
                </c:pt>
                <c:pt idx="21">
                  <c:v>0.17299999999999999</c:v>
                </c:pt>
                <c:pt idx="22">
                  <c:v>0.187</c:v>
                </c:pt>
                <c:pt idx="23">
                  <c:v>0.20200000000000001</c:v>
                </c:pt>
                <c:pt idx="24">
                  <c:v>0.217</c:v>
                </c:pt>
              </c:numCache>
            </c:numRef>
          </c:xVal>
          <c:yVal>
            <c:numRef>
              <c:f>'Bending Stiffness'!$R$18:$R$1267</c:f>
              <c:numCache>
                <c:formatCode>0.0000</c:formatCode>
                <c:ptCount val="1250"/>
                <c:pt idx="0">
                  <c:v>0</c:v>
                </c:pt>
                <c:pt idx="1">
                  <c:v>9.8650000000000002</c:v>
                </c:pt>
                <c:pt idx="2">
                  <c:v>16.57</c:v>
                </c:pt>
                <c:pt idx="3">
                  <c:v>20.63</c:v>
                </c:pt>
                <c:pt idx="4">
                  <c:v>21.751000000000001</c:v>
                </c:pt>
                <c:pt idx="5">
                  <c:v>22.384</c:v>
                </c:pt>
                <c:pt idx="6">
                  <c:v>22.885999999999999</c:v>
                </c:pt>
                <c:pt idx="7">
                  <c:v>23.353000000000002</c:v>
                </c:pt>
                <c:pt idx="8">
                  <c:v>23.827999999999999</c:v>
                </c:pt>
                <c:pt idx="9">
                  <c:v>24.32</c:v>
                </c:pt>
                <c:pt idx="10">
                  <c:v>24.837</c:v>
                </c:pt>
                <c:pt idx="11">
                  <c:v>25.385000000000002</c:v>
                </c:pt>
                <c:pt idx="12">
                  <c:v>25.968</c:v>
                </c:pt>
                <c:pt idx="13">
                  <c:v>26.585999999999999</c:v>
                </c:pt>
                <c:pt idx="14">
                  <c:v>27.239000000000001</c:v>
                </c:pt>
                <c:pt idx="15">
                  <c:v>27.928999999999998</c:v>
                </c:pt>
                <c:pt idx="16">
                  <c:v>28.655000000000001</c:v>
                </c:pt>
                <c:pt idx="17">
                  <c:v>29.417000000000002</c:v>
                </c:pt>
                <c:pt idx="18">
                  <c:v>30.215</c:v>
                </c:pt>
                <c:pt idx="19">
                  <c:v>31.05</c:v>
                </c:pt>
                <c:pt idx="20">
                  <c:v>31.920999999999999</c:v>
                </c:pt>
                <c:pt idx="21">
                  <c:v>32.829000000000001</c:v>
                </c:pt>
                <c:pt idx="22">
                  <c:v>33.774000000000001</c:v>
                </c:pt>
                <c:pt idx="23">
                  <c:v>34.755000000000003</c:v>
                </c:pt>
                <c:pt idx="24">
                  <c:v>35.771999999999998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BE-4121-8B84-8D60004DC3EC}"/>
            </c:ext>
          </c:extLst>
        </c:ser>
        <c:ser>
          <c:idx val="1"/>
          <c:order val="1"/>
          <c:tx>
            <c:v>Reduzida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shade val="76000"/>
                </a:schemeClr>
              </a:solidFill>
              <a:ln w="9525">
                <a:solidFill>
                  <a:schemeClr val="accent4">
                    <a:shade val="76000"/>
                  </a:schemeClr>
                </a:solidFill>
              </a:ln>
              <a:effectLst/>
            </c:spPr>
          </c:marker>
          <c:xVal>
            <c:numRef>
              <c:f>'Bending Stiffness'!$T$18:$T$57</c:f>
              <c:numCache>
                <c:formatCode>0.0000</c:formatCode>
                <c:ptCount val="40"/>
                <c:pt idx="0">
                  <c:v>0</c:v>
                </c:pt>
                <c:pt idx="1">
                  <c:v>3.0000000000000001E-3</c:v>
                </c:pt>
                <c:pt idx="2">
                  <c:v>6.0000000000000001E-3</c:v>
                </c:pt>
                <c:pt idx="3">
                  <c:v>8.9999999999999993E-3</c:v>
                </c:pt>
                <c:pt idx="4">
                  <c:v>1.4E-2</c:v>
                </c:pt>
                <c:pt idx="5">
                  <c:v>1.9E-2</c:v>
                </c:pt>
                <c:pt idx="6">
                  <c:v>2.4E-2</c:v>
                </c:pt>
                <c:pt idx="7">
                  <c:v>0.03</c:v>
                </c:pt>
                <c:pt idx="8">
                  <c:v>3.5999999999999997E-2</c:v>
                </c:pt>
                <c:pt idx="9">
                  <c:v>4.3999999999999997E-2</c:v>
                </c:pt>
                <c:pt idx="10">
                  <c:v>5.0999999999999997E-2</c:v>
                </c:pt>
                <c:pt idx="11">
                  <c:v>5.8999999999999997E-2</c:v>
                </c:pt>
                <c:pt idx="12">
                  <c:v>6.8000000000000005E-2</c:v>
                </c:pt>
                <c:pt idx="13">
                  <c:v>7.8E-2</c:v>
                </c:pt>
                <c:pt idx="14">
                  <c:v>8.6999999999999994E-2</c:v>
                </c:pt>
                <c:pt idx="15">
                  <c:v>9.8000000000000004E-2</c:v>
                </c:pt>
                <c:pt idx="16">
                  <c:v>0.109</c:v>
                </c:pt>
                <c:pt idx="17">
                  <c:v>0.121</c:v>
                </c:pt>
                <c:pt idx="18">
                  <c:v>0.13300000000000001</c:v>
                </c:pt>
                <c:pt idx="19">
                  <c:v>0.14499999999999999</c:v>
                </c:pt>
                <c:pt idx="20">
                  <c:v>0.159</c:v>
                </c:pt>
                <c:pt idx="21">
                  <c:v>0.17299999999999999</c:v>
                </c:pt>
                <c:pt idx="22">
                  <c:v>0.187</c:v>
                </c:pt>
                <c:pt idx="23">
                  <c:v>0.20200000000000001</c:v>
                </c:pt>
                <c:pt idx="24">
                  <c:v>0.217</c:v>
                </c:pt>
              </c:numCache>
            </c:numRef>
          </c:xVal>
          <c:yVal>
            <c:numRef>
              <c:f>'Bending Stiffness'!$U$18:$U$57</c:f>
              <c:numCache>
                <c:formatCode>0.0000</c:formatCode>
                <c:ptCount val="40"/>
                <c:pt idx="0">
                  <c:v>0</c:v>
                </c:pt>
                <c:pt idx="1">
                  <c:v>9.8650000000000002</c:v>
                </c:pt>
                <c:pt idx="2">
                  <c:v>16.57</c:v>
                </c:pt>
                <c:pt idx="3">
                  <c:v>20.63</c:v>
                </c:pt>
                <c:pt idx="4">
                  <c:v>21.751000000000001</c:v>
                </c:pt>
                <c:pt idx="5">
                  <c:v>22.384</c:v>
                </c:pt>
                <c:pt idx="6">
                  <c:v>22.885999999999999</c:v>
                </c:pt>
                <c:pt idx="7">
                  <c:v>23.353000000000002</c:v>
                </c:pt>
                <c:pt idx="8">
                  <c:v>23.827999999999999</c:v>
                </c:pt>
                <c:pt idx="9">
                  <c:v>24.32</c:v>
                </c:pt>
                <c:pt idx="10">
                  <c:v>24.837</c:v>
                </c:pt>
                <c:pt idx="11">
                  <c:v>25.385000000000002</c:v>
                </c:pt>
                <c:pt idx="12">
                  <c:v>25.968</c:v>
                </c:pt>
                <c:pt idx="13">
                  <c:v>26.585999999999999</c:v>
                </c:pt>
                <c:pt idx="14">
                  <c:v>27.239000000000001</c:v>
                </c:pt>
                <c:pt idx="15">
                  <c:v>27.928999999999998</c:v>
                </c:pt>
                <c:pt idx="16">
                  <c:v>28.655000000000001</c:v>
                </c:pt>
                <c:pt idx="17">
                  <c:v>29.417000000000002</c:v>
                </c:pt>
                <c:pt idx="18">
                  <c:v>30.215</c:v>
                </c:pt>
                <c:pt idx="19">
                  <c:v>31.05</c:v>
                </c:pt>
                <c:pt idx="20">
                  <c:v>31.920999999999999</c:v>
                </c:pt>
                <c:pt idx="21">
                  <c:v>32.829000000000001</c:v>
                </c:pt>
                <c:pt idx="22">
                  <c:v>33.774000000000001</c:v>
                </c:pt>
                <c:pt idx="23">
                  <c:v>34.755000000000003</c:v>
                </c:pt>
                <c:pt idx="24">
                  <c:v>35.771999999999998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BE-4121-8B84-8D60004DC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9914032"/>
        <c:axId val="689917312"/>
      </c:scatterChart>
      <c:valAx>
        <c:axId val="689914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9917312"/>
        <c:crosses val="autoZero"/>
        <c:crossBetween val="midCat"/>
      </c:valAx>
      <c:valAx>
        <c:axId val="68991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9914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0.25144756905386823"/>
          <c:y val="0.90603751084459372"/>
          <c:w val="0.52301637295338077"/>
          <c:h val="8.36466235094632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png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202225</xdr:colOff>
      <xdr:row>10</xdr:row>
      <xdr:rowOff>123825</xdr:rowOff>
    </xdr:from>
    <xdr:to>
      <xdr:col>16</xdr:col>
      <xdr:colOff>74167</xdr:colOff>
      <xdr:row>16</xdr:row>
      <xdr:rowOff>84667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3859825" y="1743075"/>
          <a:ext cx="5967942" cy="9323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2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Por</a:t>
          </a:r>
          <a:r>
            <a:rPr lang="pt-BR" sz="28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favor, selecione o tipo de CVD!</a:t>
          </a:r>
        </a:p>
        <a:p>
          <a:pPr algn="ctr"/>
          <a:r>
            <a:rPr lang="pt-BR" sz="18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Atenção, não edite o template!</a:t>
          </a:r>
        </a:p>
      </xdr:txBody>
    </xdr:sp>
    <xdr:clientData/>
  </xdr:twoCellAnchor>
  <xdr:twoCellAnchor>
    <xdr:from>
      <xdr:col>1</xdr:col>
      <xdr:colOff>439209</xdr:colOff>
      <xdr:row>20</xdr:row>
      <xdr:rowOff>85723</xdr:rowOff>
    </xdr:from>
    <xdr:to>
      <xdr:col>20</xdr:col>
      <xdr:colOff>446783</xdr:colOff>
      <xdr:row>27</xdr:row>
      <xdr:rowOff>32248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1046428" y="3419473"/>
          <a:ext cx="11544730" cy="1113338"/>
          <a:chOff x="800100" y="3571873"/>
          <a:chExt cx="11589975" cy="1080000"/>
        </a:xfrm>
      </xdr:grpSpPr>
      <xdr:sp macro="[0]!ButtonFirstDvc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 bwMode="auto">
          <a:xfrm>
            <a:off x="800100" y="3571873"/>
            <a:ext cx="4932000" cy="1080000"/>
          </a:xfrm>
          <a:prstGeom prst="rect">
            <a:avLst/>
          </a:prstGeom>
          <a:solidFill>
            <a:srgbClr val="512D6D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>
            <a:outerShdw blurRad="44450" dist="27940" dir="5400000" algn="ctr">
              <a:srgbClr val="000000">
                <a:alpha val="32000"/>
              </a:srgbClr>
            </a:outerShdw>
            <a:softEdge rad="12700"/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32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CVD</a:t>
            </a:r>
            <a:r>
              <a:rPr lang="pt-BR" sz="32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de 1ª</a:t>
            </a:r>
            <a:endParaRPr lang="pt-BR" sz="3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[0]!ButtonSecondDvc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/>
        </xdr:nvSpPr>
        <xdr:spPr bwMode="auto">
          <a:xfrm>
            <a:off x="7458075" y="3571873"/>
            <a:ext cx="4932000" cy="1080000"/>
          </a:xfrm>
          <a:prstGeom prst="rect">
            <a:avLst/>
          </a:prstGeom>
          <a:solidFill>
            <a:srgbClr val="512D6D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>
            <a:outerShdw blurRad="44450" dist="27940" dir="5400000" algn="ctr">
              <a:srgbClr val="000000">
                <a:alpha val="32000"/>
              </a:srgbClr>
            </a:outerShdw>
            <a:softEdge rad="12700"/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32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CVD</a:t>
            </a:r>
            <a:r>
              <a:rPr lang="pt-BR" sz="32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de 2ª</a:t>
            </a:r>
            <a:endParaRPr lang="pt-BR" sz="3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0</xdr:col>
      <xdr:colOff>1</xdr:colOff>
      <xdr:row>0</xdr:row>
      <xdr:rowOff>2</xdr:rowOff>
    </xdr:from>
    <xdr:to>
      <xdr:col>6</xdr:col>
      <xdr:colOff>304800</xdr:colOff>
      <xdr:row>6</xdr:row>
      <xdr:rowOff>104912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269" b="22406"/>
        <a:stretch/>
      </xdr:blipFill>
      <xdr:spPr>
        <a:xfrm>
          <a:off x="1" y="2"/>
          <a:ext cx="3962399" cy="10764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57150</xdr:rowOff>
        </xdr:from>
        <xdr:to>
          <xdr:col>1</xdr:col>
          <xdr:colOff>0</xdr:colOff>
          <xdr:row>0</xdr:row>
          <xdr:rowOff>314325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2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Importar Dados da RT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704850</xdr:colOff>
      <xdr:row>0</xdr:row>
      <xdr:rowOff>85725</xdr:rowOff>
    </xdr:from>
    <xdr:to>
      <xdr:col>20</xdr:col>
      <xdr:colOff>404134</xdr:colOff>
      <xdr:row>8</xdr:row>
      <xdr:rowOff>68904</xdr:rowOff>
    </xdr:to>
    <xdr:grpSp>
      <xdr:nvGrpSpPr>
        <xdr:cNvPr id="60432" name="Group 60431">
          <a:extLst>
            <a:ext uri="{FF2B5EF4-FFF2-40B4-BE49-F238E27FC236}">
              <a16:creationId xmlns:a16="http://schemas.microsoft.com/office/drawing/2014/main" id="{00000000-0008-0000-0200-000010EC0000}"/>
            </a:ext>
          </a:extLst>
        </xdr:cNvPr>
        <xdr:cNvGrpSpPr/>
      </xdr:nvGrpSpPr>
      <xdr:grpSpPr>
        <a:xfrm>
          <a:off x="13825538" y="85725"/>
          <a:ext cx="9700534" cy="2114398"/>
          <a:chOff x="13563600" y="85725"/>
          <a:chExt cx="9700534" cy="2097729"/>
        </a:xfrm>
      </xdr:grpSpPr>
      <xdr:pic>
        <xdr:nvPicPr>
          <xdr:cNvPr id="13" name="Picture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291959" y="289153"/>
            <a:ext cx="5972175" cy="135964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60431" name="Group 60430">
            <a:extLst>
              <a:ext uri="{FF2B5EF4-FFF2-40B4-BE49-F238E27FC236}">
                <a16:creationId xmlns:a16="http://schemas.microsoft.com/office/drawing/2014/main" id="{00000000-0008-0000-0200-00000FEC0000}"/>
              </a:ext>
            </a:extLst>
          </xdr:cNvPr>
          <xdr:cNvGrpSpPr/>
        </xdr:nvGrpSpPr>
        <xdr:grpSpPr>
          <a:xfrm>
            <a:off x="13563600" y="85725"/>
            <a:ext cx="3571874" cy="1022474"/>
            <a:chOff x="13563600" y="85725"/>
            <a:chExt cx="3571874" cy="1022474"/>
          </a:xfrm>
        </xdr:grpSpPr>
        <xdr:pic>
          <xdr:nvPicPr>
            <xdr:cNvPr id="11" name="Picture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3563600" y="285750"/>
              <a:ext cx="3571874" cy="8224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9" name="Rectangle 18">
              <a:extLst>
                <a:ext uri="{FF2B5EF4-FFF2-40B4-BE49-F238E27FC236}">
                  <a16:creationId xmlns:a16="http://schemas.microsoft.com/office/drawing/2014/main" id="{00000000-0008-0000-0200-000013000000}"/>
                </a:ext>
              </a:extLst>
            </xdr:cNvPr>
            <xdr:cNvSpPr/>
          </xdr:nvSpPr>
          <xdr:spPr bwMode="auto">
            <a:xfrm>
              <a:off x="13592175" y="85725"/>
              <a:ext cx="914400" cy="180975"/>
            </a:xfrm>
            <a:prstGeom prst="rect">
              <a:avLst/>
            </a:prstGeom>
            <a:solidFill>
              <a:srgbClr val="FFFFFF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l"/>
              <a:r>
                <a:rPr lang="pt-BR" sz="1000" b="1" i="0">
                  <a:latin typeface="Arial" panose="020B0604020202020204" pitchFamily="34" charset="0"/>
                  <a:cs typeface="Arial" panose="020B0604020202020204" pitchFamily="34" charset="0"/>
                </a:rPr>
                <a:t>Equação 1:</a:t>
              </a:r>
            </a:p>
          </xdr:txBody>
        </xdr:sp>
      </xdr:grpSp>
      <xdr:grpSp>
        <xdr:nvGrpSpPr>
          <xdr:cNvPr id="60430" name="Group 60429">
            <a:extLst>
              <a:ext uri="{FF2B5EF4-FFF2-40B4-BE49-F238E27FC236}">
                <a16:creationId xmlns:a16="http://schemas.microsoft.com/office/drawing/2014/main" id="{00000000-0008-0000-0200-00000EEC0000}"/>
              </a:ext>
            </a:extLst>
          </xdr:cNvPr>
          <xdr:cNvGrpSpPr/>
        </xdr:nvGrpSpPr>
        <xdr:grpSpPr>
          <a:xfrm>
            <a:off x="13574488" y="1114425"/>
            <a:ext cx="3419476" cy="1069029"/>
            <a:chOff x="13574488" y="1114425"/>
            <a:chExt cx="3419476" cy="1069029"/>
          </a:xfrm>
        </xdr:grpSpPr>
        <xdr:pic>
          <xdr:nvPicPr>
            <xdr:cNvPr id="12" name="Picture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3574488" y="1337584"/>
              <a:ext cx="3419476" cy="84587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20" name="Rectangle 19">
              <a:extLst>
                <a:ext uri="{FF2B5EF4-FFF2-40B4-BE49-F238E27FC236}">
                  <a16:creationId xmlns:a16="http://schemas.microsoft.com/office/drawing/2014/main" id="{00000000-0008-0000-0200-000014000000}"/>
                </a:ext>
              </a:extLst>
            </xdr:cNvPr>
            <xdr:cNvSpPr/>
          </xdr:nvSpPr>
          <xdr:spPr bwMode="auto">
            <a:xfrm>
              <a:off x="13601700" y="1114425"/>
              <a:ext cx="914400" cy="219075"/>
            </a:xfrm>
            <a:prstGeom prst="rect">
              <a:avLst/>
            </a:prstGeom>
            <a:solidFill>
              <a:srgbClr val="FFFFFF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l"/>
              <a:r>
                <a:rPr lang="pt-BR" sz="1000" b="1" i="0">
                  <a:latin typeface="Arial" panose="020B0604020202020204" pitchFamily="34" charset="0"/>
                  <a:cs typeface="Arial" panose="020B0604020202020204" pitchFamily="34" charset="0"/>
                </a:rPr>
                <a:t>Equação 2:</a:t>
              </a:r>
            </a:p>
          </xdr:txBody>
        </xdr:sp>
      </xdr:grpSp>
    </xdr:grpSp>
    <xdr:clientData/>
  </xdr:twoCellAnchor>
  <xdr:twoCellAnchor>
    <xdr:from>
      <xdr:col>7</xdr:col>
      <xdr:colOff>22794</xdr:colOff>
      <xdr:row>8</xdr:row>
      <xdr:rowOff>133350</xdr:rowOff>
    </xdr:from>
    <xdr:to>
      <xdr:col>14</xdr:col>
      <xdr:colOff>537144</xdr:colOff>
      <xdr:row>13</xdr:row>
      <xdr:rowOff>55206</xdr:rowOff>
    </xdr:to>
    <xdr:grpSp>
      <xdr:nvGrpSpPr>
        <xdr:cNvPr id="60429" name="Group 60428">
          <a:extLst>
            <a:ext uri="{FF2B5EF4-FFF2-40B4-BE49-F238E27FC236}">
              <a16:creationId xmlns:a16="http://schemas.microsoft.com/office/drawing/2014/main" id="{00000000-0008-0000-0200-00000DEC0000}"/>
            </a:ext>
          </a:extLst>
        </xdr:cNvPr>
        <xdr:cNvGrpSpPr/>
      </xdr:nvGrpSpPr>
      <xdr:grpSpPr>
        <a:xfrm>
          <a:off x="13857857" y="2264569"/>
          <a:ext cx="5514975" cy="1172012"/>
          <a:chOff x="13605444" y="2543175"/>
          <a:chExt cx="5514975" cy="1160106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605444" y="2810217"/>
            <a:ext cx="5514975" cy="89306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/>
        </xdr:nvSpPr>
        <xdr:spPr bwMode="auto">
          <a:xfrm>
            <a:off x="13620750" y="2543175"/>
            <a:ext cx="914400" cy="219075"/>
          </a:xfrm>
          <a:prstGeom prst="rect">
            <a:avLst/>
          </a:prstGeom>
          <a:solidFill>
            <a:srgbClr val="FFFFFF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r>
              <a:rPr lang="pt-BR" sz="1000" b="1" i="0">
                <a:latin typeface="Arial" panose="020B0604020202020204" pitchFamily="34" charset="0"/>
                <a:cs typeface="Arial" panose="020B0604020202020204" pitchFamily="34" charset="0"/>
              </a:rPr>
              <a:t>Equação 3:</a:t>
            </a:r>
          </a:p>
        </xdr:txBody>
      </xdr:sp>
    </xdr:grpSp>
    <xdr:clientData/>
  </xdr:twoCellAnchor>
  <xdr:twoCellAnchor>
    <xdr:from>
      <xdr:col>16</xdr:col>
      <xdr:colOff>347322</xdr:colOff>
      <xdr:row>12</xdr:row>
      <xdr:rowOff>65314</xdr:rowOff>
    </xdr:from>
    <xdr:to>
      <xdr:col>19</xdr:col>
      <xdr:colOff>478292</xdr:colOff>
      <xdr:row>21</xdr:row>
      <xdr:rowOff>216159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20611760" y="3196658"/>
          <a:ext cx="2274095" cy="2401126"/>
          <a:chOff x="20997522" y="2151289"/>
          <a:chExt cx="2274095" cy="2379695"/>
        </a:xfrm>
      </xdr:grpSpPr>
      <xdr:pic>
        <xdr:nvPicPr>
          <xdr:cNvPr id="16" name="Picture 15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4209" r="5011"/>
          <a:stretch/>
        </xdr:blipFill>
        <xdr:spPr bwMode="auto">
          <a:xfrm>
            <a:off x="20997522" y="2151289"/>
            <a:ext cx="2274095" cy="237969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/>
        </xdr:nvSpPr>
        <xdr:spPr bwMode="auto">
          <a:xfrm>
            <a:off x="21097875" y="2152650"/>
            <a:ext cx="914400" cy="219075"/>
          </a:xfrm>
          <a:prstGeom prst="rect">
            <a:avLst/>
          </a:prstGeom>
          <a:solidFill>
            <a:srgbClr val="FFFFFF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r>
              <a:rPr lang="pt-BR" sz="1000" b="1" i="0">
                <a:latin typeface="Arial" panose="020B0604020202020204" pitchFamily="34" charset="0"/>
                <a:cs typeface="Arial" panose="020B0604020202020204" pitchFamily="34" charset="0"/>
              </a:rPr>
              <a:t>Figura 1:</a:t>
            </a:r>
          </a:p>
        </xdr:txBody>
      </xdr:sp>
    </xdr:grpSp>
    <xdr:clientData/>
  </xdr:twoCellAnchor>
  <xdr:twoCellAnchor>
    <xdr:from>
      <xdr:col>7</xdr:col>
      <xdr:colOff>28576</xdr:colOff>
      <xdr:row>13</xdr:row>
      <xdr:rowOff>133350</xdr:rowOff>
    </xdr:from>
    <xdr:to>
      <xdr:col>19</xdr:col>
      <xdr:colOff>314325</xdr:colOff>
      <xdr:row>27</xdr:row>
      <xdr:rowOff>0</xdr:rowOff>
    </xdr:to>
    <xdr:grpSp>
      <xdr:nvGrpSpPr>
        <xdr:cNvPr id="60433" name="Group 60432">
          <a:extLst>
            <a:ext uri="{FF2B5EF4-FFF2-40B4-BE49-F238E27FC236}">
              <a16:creationId xmlns:a16="http://schemas.microsoft.com/office/drawing/2014/main" id="{00000000-0008-0000-0200-000011EC0000}"/>
            </a:ext>
          </a:extLst>
        </xdr:cNvPr>
        <xdr:cNvGrpSpPr/>
      </xdr:nvGrpSpPr>
      <xdr:grpSpPr>
        <a:xfrm>
          <a:off x="13863639" y="3514725"/>
          <a:ext cx="8858249" cy="3367088"/>
          <a:chOff x="13601701" y="3486150"/>
          <a:chExt cx="8858249" cy="3333750"/>
        </a:xfrm>
      </xdr:grpSpPr>
      <xdr:grpSp>
        <xdr:nvGrpSpPr>
          <xdr:cNvPr id="60428" name="Group 60427">
            <a:extLst>
              <a:ext uri="{FF2B5EF4-FFF2-40B4-BE49-F238E27FC236}">
                <a16:creationId xmlns:a16="http://schemas.microsoft.com/office/drawing/2014/main" id="{00000000-0008-0000-0200-00000CEC0000}"/>
              </a:ext>
            </a:extLst>
          </xdr:cNvPr>
          <xdr:cNvGrpSpPr/>
        </xdr:nvGrpSpPr>
        <xdr:grpSpPr>
          <a:xfrm>
            <a:off x="13601701" y="3486150"/>
            <a:ext cx="6232072" cy="2238418"/>
            <a:chOff x="13601701" y="3981450"/>
            <a:chExt cx="6232072" cy="2238418"/>
          </a:xfrm>
        </xdr:grpSpPr>
        <xdr:pic>
          <xdr:nvPicPr>
            <xdr:cNvPr id="15" name="Picture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3601701" y="4269583"/>
              <a:ext cx="6232072" cy="1950285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23" name="Rectangle 22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/>
          </xdr:nvSpPr>
          <xdr:spPr bwMode="auto">
            <a:xfrm>
              <a:off x="13639800" y="3981450"/>
              <a:ext cx="914400" cy="219075"/>
            </a:xfrm>
            <a:prstGeom prst="rect">
              <a:avLst/>
            </a:prstGeom>
            <a:solidFill>
              <a:srgbClr val="FFFFFF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l"/>
              <a:r>
                <a:rPr lang="pt-BR" sz="1000" b="1" i="0">
                  <a:latin typeface="Arial" panose="020B0604020202020204" pitchFamily="34" charset="0"/>
                  <a:cs typeface="Arial" panose="020B0604020202020204" pitchFamily="34" charset="0"/>
                </a:rPr>
                <a:t>Equação 4:</a:t>
              </a:r>
            </a:p>
          </xdr:txBody>
        </xdr:sp>
      </xdr:grpSp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/>
        </xdr:nvSpPr>
        <xdr:spPr bwMode="auto">
          <a:xfrm>
            <a:off x="13630274" y="5705475"/>
            <a:ext cx="8829676" cy="1114425"/>
          </a:xfrm>
          <a:prstGeom prst="rect">
            <a:avLst/>
          </a:prstGeom>
          <a:solidFill>
            <a:srgbClr val="FFFFFF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r>
              <a:rPr lang="pt-BR" sz="1400" b="1" i="0">
                <a:latin typeface="Arial" panose="020B0604020202020204" pitchFamily="34" charset="0"/>
                <a:cs typeface="Arial" panose="020B0604020202020204" pitchFamily="34" charset="0"/>
              </a:rPr>
              <a:t>NOTA 1</a:t>
            </a:r>
          </a:p>
          <a:p>
            <a:pPr algn="l"/>
            <a:r>
              <a:rPr lang="pt-BR" sz="1400" b="0" i="0">
                <a:latin typeface="Arial" panose="020B0604020202020204" pitchFamily="34" charset="0"/>
                <a:cs typeface="Arial" panose="020B0604020202020204" pitchFamily="34" charset="0"/>
              </a:rPr>
              <a:t>O módulo de elasticidade (E) descrito acima</a:t>
            </a:r>
            <a:r>
              <a:rPr lang="pt-BR" sz="1400" b="0" i="0" baseline="0">
                <a:latin typeface="Arial" panose="020B0604020202020204" pitchFamily="34" charset="0"/>
                <a:cs typeface="Arial" panose="020B0604020202020204" pitchFamily="34" charset="0"/>
              </a:rPr>
              <a:t> considera uma vértebra METÁLICA. Para vértebras poliméricas este dado deve ser fornecido pelo fornecedor do acessório. Caso NÃO seja fornecido, esta planilha utiliza um valor ESTIMADO igual a </a:t>
            </a:r>
            <a:r>
              <a:rPr lang="pt-BR" sz="1400" b="0" i="0" baseline="0"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21991148,58 </a:t>
            </a:r>
            <a:r>
              <a:rPr lang="pt-BR" sz="1400" b="0" i="0" baseline="0">
                <a:latin typeface="Arial" panose="020B0604020202020204" pitchFamily="34" charset="0"/>
                <a:cs typeface="Arial" panose="020B0604020202020204" pitchFamily="34" charset="0"/>
              </a:rPr>
              <a:t> [kN/m2].</a:t>
            </a:r>
            <a:endParaRPr lang="pt-BR" sz="1400" b="0" i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7</xdr:col>
      <xdr:colOff>57832</xdr:colOff>
      <xdr:row>27</xdr:row>
      <xdr:rowOff>104775</xdr:rowOff>
    </xdr:from>
    <xdr:to>
      <xdr:col>18</xdr:col>
      <xdr:colOff>565274</xdr:colOff>
      <xdr:row>58</xdr:row>
      <xdr:rowOff>179910</xdr:rowOff>
    </xdr:to>
    <xdr:grpSp>
      <xdr:nvGrpSpPr>
        <xdr:cNvPr id="60434" name="Group 60433">
          <a:extLst>
            <a:ext uri="{FF2B5EF4-FFF2-40B4-BE49-F238E27FC236}">
              <a16:creationId xmlns:a16="http://schemas.microsoft.com/office/drawing/2014/main" id="{00000000-0008-0000-0200-000012EC0000}"/>
            </a:ext>
          </a:extLst>
        </xdr:cNvPr>
        <xdr:cNvGrpSpPr/>
      </xdr:nvGrpSpPr>
      <xdr:grpSpPr>
        <a:xfrm>
          <a:off x="13892895" y="6986588"/>
          <a:ext cx="8365567" cy="7826103"/>
          <a:chOff x="13621432" y="7439025"/>
          <a:chExt cx="8365567" cy="7752285"/>
        </a:xfrm>
      </xdr:grpSpPr>
      <xdr:pic>
        <xdr:nvPicPr>
          <xdr:cNvPr id="18" name="Picture 205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3665655" y="9945462"/>
            <a:ext cx="8321344" cy="5245848"/>
          </a:xfrm>
          <a:prstGeom prst="rect">
            <a:avLst/>
          </a:prstGeom>
        </xdr:spPr>
      </xdr:pic>
      <xdr:grpSp>
        <xdr:nvGrpSpPr>
          <xdr:cNvPr id="60427" name="Group 60426">
            <a:extLst>
              <a:ext uri="{FF2B5EF4-FFF2-40B4-BE49-F238E27FC236}">
                <a16:creationId xmlns:a16="http://schemas.microsoft.com/office/drawing/2014/main" id="{00000000-0008-0000-0200-00000BEC0000}"/>
              </a:ext>
            </a:extLst>
          </xdr:cNvPr>
          <xdr:cNvGrpSpPr/>
        </xdr:nvGrpSpPr>
        <xdr:grpSpPr>
          <a:xfrm>
            <a:off x="13621432" y="7439025"/>
            <a:ext cx="7267577" cy="2445248"/>
            <a:chOff x="13621432" y="7439025"/>
            <a:chExt cx="7267577" cy="2445248"/>
          </a:xfrm>
        </xdr:grpSpPr>
        <xdr:pic>
          <xdr:nvPicPr>
            <xdr:cNvPr id="17" name="Picture 16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3621432" y="7615920"/>
              <a:ext cx="7267577" cy="226835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/>
          </xdr:nvSpPr>
          <xdr:spPr bwMode="auto">
            <a:xfrm>
              <a:off x="13630275" y="7439025"/>
              <a:ext cx="914400" cy="180975"/>
            </a:xfrm>
            <a:prstGeom prst="rect">
              <a:avLst/>
            </a:prstGeom>
            <a:solidFill>
              <a:srgbClr val="FFFFFF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l"/>
              <a:r>
                <a:rPr lang="pt-BR" sz="1000" b="1" i="0">
                  <a:latin typeface="Arial" panose="020B0604020202020204" pitchFamily="34" charset="0"/>
                  <a:cs typeface="Arial" panose="020B0604020202020204" pitchFamily="34" charset="0"/>
                </a:rPr>
                <a:t>Equação 5:</a:t>
              </a:r>
            </a:p>
          </xdr:txBody>
        </xdr:sp>
      </xdr:grpSp>
    </xdr:grpSp>
    <xdr:clientData/>
  </xdr:twoCellAnchor>
  <xdr:twoCellAnchor>
    <xdr:from>
      <xdr:col>7</xdr:col>
      <xdr:colOff>85725</xdr:colOff>
      <xdr:row>60</xdr:row>
      <xdr:rowOff>38100</xdr:rowOff>
    </xdr:from>
    <xdr:to>
      <xdr:col>17</xdr:col>
      <xdr:colOff>492896</xdr:colOff>
      <xdr:row>77</xdr:row>
      <xdr:rowOff>5553</xdr:rowOff>
    </xdr:to>
    <xdr:grpSp>
      <xdr:nvGrpSpPr>
        <xdr:cNvPr id="60435" name="Group 60434">
          <a:extLst>
            <a:ext uri="{FF2B5EF4-FFF2-40B4-BE49-F238E27FC236}">
              <a16:creationId xmlns:a16="http://schemas.microsoft.com/office/drawing/2014/main" id="{00000000-0008-0000-0200-000013EC0000}"/>
            </a:ext>
          </a:extLst>
        </xdr:cNvPr>
        <xdr:cNvGrpSpPr/>
      </xdr:nvGrpSpPr>
      <xdr:grpSpPr>
        <a:xfrm>
          <a:off x="13920788" y="15170944"/>
          <a:ext cx="7550921" cy="4217984"/>
          <a:chOff x="13649325" y="16211550"/>
          <a:chExt cx="7550921" cy="4177503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GrpSpPr/>
        </xdr:nvGrpSpPr>
        <xdr:grpSpPr>
          <a:xfrm>
            <a:off x="13649325" y="16525875"/>
            <a:ext cx="7550921" cy="3863178"/>
            <a:chOff x="2084401" y="1062490"/>
            <a:chExt cx="7550921" cy="3215478"/>
          </a:xfrm>
        </xdr:grpSpPr>
        <xdr:grpSp>
          <xdr:nvGrpSpPr>
            <xdr:cNvPr id="27" name="Group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GrpSpPr/>
          </xdr:nvGrpSpPr>
          <xdr:grpSpPr>
            <a:xfrm>
              <a:off x="2084401" y="1062490"/>
              <a:ext cx="7550921" cy="2968334"/>
              <a:chOff x="2084401" y="1062490"/>
              <a:chExt cx="7550921" cy="2968334"/>
            </a:xfrm>
          </xdr:grpSpPr>
          <xdr:grpSp>
            <xdr:nvGrpSpPr>
              <xdr:cNvPr id="29" name="Group 28">
                <a:extLst>
                  <a:ext uri="{FF2B5EF4-FFF2-40B4-BE49-F238E27FC236}">
                    <a16:creationId xmlns:a16="http://schemas.microsoft.com/office/drawing/2014/main" id="{00000000-0008-0000-0200-00001D000000}"/>
                  </a:ext>
                </a:extLst>
              </xdr:cNvPr>
              <xdr:cNvGrpSpPr/>
            </xdr:nvGrpSpPr>
            <xdr:grpSpPr>
              <a:xfrm>
                <a:off x="2310791" y="1931437"/>
                <a:ext cx="7324528" cy="2099387"/>
                <a:chOff x="2310791" y="1931437"/>
                <a:chExt cx="7324528" cy="2099387"/>
              </a:xfrm>
            </xdr:grpSpPr>
            <xdr:pic>
              <xdr:nvPicPr>
                <xdr:cNvPr id="60423" name="Picture 60422" descr="A line of rectangular objects&#10;&#10;Description automatically generated">
                  <a:extLst>
                    <a:ext uri="{FF2B5EF4-FFF2-40B4-BE49-F238E27FC236}">
                      <a16:creationId xmlns:a16="http://schemas.microsoft.com/office/drawing/2014/main" id="{00000000-0008-0000-0200-000007EC0000}"/>
                    </a:ext>
                  </a:extLst>
                </xdr:cNvPr>
                <xdr:cNvPicPr>
                  <a:picLocks noChangeAspect="1"/>
                </xdr:cNvPicPr>
              </xdr:nvPicPr>
              <xdr:blipFill rotWithShape="1">
                <a:blip xmlns:r="http://schemas.openxmlformats.org/officeDocument/2006/relationships" r:embed="rId9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 l="7820" t="24397" r="10560" b="39711"/>
                <a:stretch/>
              </xdr:blipFill>
              <xdr:spPr>
                <a:xfrm>
                  <a:off x="2310791" y="1931437"/>
                  <a:ext cx="7324528" cy="2099387"/>
                </a:xfrm>
                <a:prstGeom prst="rect">
                  <a:avLst/>
                </a:prstGeom>
              </xdr:spPr>
            </xdr:pic>
            <xdr:sp macro="" textlink="">
              <xdr:nvSpPr>
                <xdr:cNvPr id="60425" name="Rectangle 60424">
                  <a:extLst>
                    <a:ext uri="{FF2B5EF4-FFF2-40B4-BE49-F238E27FC236}">
                      <a16:creationId xmlns:a16="http://schemas.microsoft.com/office/drawing/2014/main" id="{00000000-0008-0000-0200-000009EC0000}"/>
                    </a:ext>
                  </a:extLst>
                </xdr:cNvPr>
                <xdr:cNvSpPr/>
              </xdr:nvSpPr>
              <xdr:spPr>
                <a:xfrm>
                  <a:off x="2975212" y="2019869"/>
                  <a:ext cx="702860" cy="1931157"/>
                </a:xfrm>
                <a:prstGeom prst="rect">
                  <a:avLst/>
                </a:prstGeom>
                <a:noFill/>
                <a:ln w="28575">
                  <a:solidFill>
                    <a:srgbClr val="FF0000"/>
                  </a:solidFill>
                  <a:prstDash val="lgDash"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pt-B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BR"/>
                </a:p>
              </xdr:txBody>
            </xdr:sp>
          </xdr:grpSp>
          <xdr:grpSp>
            <xdr:nvGrpSpPr>
              <xdr:cNvPr id="30" name="Group 29">
                <a:extLst>
                  <a:ext uri="{FF2B5EF4-FFF2-40B4-BE49-F238E27FC236}">
                    <a16:creationId xmlns:a16="http://schemas.microsoft.com/office/drawing/2014/main" id="{00000000-0008-0000-0200-00001E000000}"/>
                  </a:ext>
                </a:extLst>
              </xdr:cNvPr>
              <xdr:cNvGrpSpPr/>
            </xdr:nvGrpSpPr>
            <xdr:grpSpPr>
              <a:xfrm>
                <a:off x="2084401" y="1062490"/>
                <a:ext cx="902298" cy="872480"/>
                <a:chOff x="2084401" y="1062490"/>
                <a:chExt cx="902298" cy="872480"/>
              </a:xfrm>
            </xdr:grpSpPr>
            <xdr:sp macro="" textlink="">
              <xdr:nvSpPr>
                <xdr:cNvPr id="60421" name="Right Brace 60420">
                  <a:extLst>
                    <a:ext uri="{FF2B5EF4-FFF2-40B4-BE49-F238E27FC236}">
                      <a16:creationId xmlns:a16="http://schemas.microsoft.com/office/drawing/2014/main" id="{00000000-0008-0000-0200-000005EC0000}"/>
                    </a:ext>
                  </a:extLst>
                </xdr:cNvPr>
                <xdr:cNvSpPr/>
              </xdr:nvSpPr>
              <xdr:spPr>
                <a:xfrm rot="16200000">
                  <a:off x="2414745" y="1363016"/>
                  <a:ext cx="468000" cy="675908"/>
                </a:xfrm>
                <a:prstGeom prst="rightBrac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  <xdr:txBody>
                <a:bodyPr wrap="square" rtlCol="0" anchor="ctr"/>
                <a:lstStyle>
                  <a:defPPr>
                    <a:defRPr lang="pt-B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BR">
                    <a:latin typeface="Arial" panose="020B0604020202020204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60422" name="TextBox 11">
                  <a:extLst>
                    <a:ext uri="{FF2B5EF4-FFF2-40B4-BE49-F238E27FC236}">
                      <a16:creationId xmlns:a16="http://schemas.microsoft.com/office/drawing/2014/main" id="{00000000-0008-0000-0200-000006EC0000}"/>
                    </a:ext>
                  </a:extLst>
                </xdr:cNvPr>
                <xdr:cNvSpPr txBox="1"/>
              </xdr:nvSpPr>
              <xdr:spPr>
                <a:xfrm>
                  <a:off x="2084401" y="1062490"/>
                  <a:ext cx="863391" cy="400110"/>
                </a:xfrm>
                <a:prstGeom prst="rect">
                  <a:avLst/>
                </a:prstGeom>
                <a:noFill/>
              </xdr:spPr>
              <xdr:txBody>
                <a:bodyPr wrap="square" rtlCol="0">
                  <a:spAutoFit/>
                </a:bodyPr>
                <a:lstStyle>
                  <a:defPPr>
                    <a:defRPr lang="pt-B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r>
                    <a:rPr lang="pt-BR" sz="1000" b="1">
                      <a:latin typeface="Arial" panose="020B0604020202020204" pitchFamily="34" charset="0"/>
                      <a:cs typeface="Arial" panose="020B0604020202020204" pitchFamily="34" charset="0"/>
                    </a:rPr>
                    <a:t>Zona Rígida (ZR)</a:t>
                  </a:r>
                </a:p>
              </xdr:txBody>
            </xdr:sp>
          </xdr:grpSp>
          <xdr:grpSp>
            <xdr:nvGrpSpPr>
              <xdr:cNvPr id="31" name="Group 30">
                <a:extLst>
                  <a:ext uri="{FF2B5EF4-FFF2-40B4-BE49-F238E27FC236}">
                    <a16:creationId xmlns:a16="http://schemas.microsoft.com/office/drawing/2014/main" id="{00000000-0008-0000-0200-00001F000000}"/>
                  </a:ext>
                </a:extLst>
              </xdr:cNvPr>
              <xdr:cNvGrpSpPr/>
            </xdr:nvGrpSpPr>
            <xdr:grpSpPr>
              <a:xfrm>
                <a:off x="2941525" y="1062490"/>
                <a:ext cx="1109570" cy="872480"/>
                <a:chOff x="2941525" y="1062490"/>
                <a:chExt cx="1109570" cy="872480"/>
              </a:xfrm>
            </xdr:grpSpPr>
            <xdr:sp macro="" textlink="">
              <xdr:nvSpPr>
                <xdr:cNvPr id="60419" name="Right Brace 60418">
                  <a:extLst>
                    <a:ext uri="{FF2B5EF4-FFF2-40B4-BE49-F238E27FC236}">
                      <a16:creationId xmlns:a16="http://schemas.microsoft.com/office/drawing/2014/main" id="{00000000-0008-0000-0200-000003EC0000}"/>
                    </a:ext>
                  </a:extLst>
                </xdr:cNvPr>
                <xdr:cNvSpPr/>
              </xdr:nvSpPr>
              <xdr:spPr>
                <a:xfrm rot="16200000">
                  <a:off x="3067680" y="1385987"/>
                  <a:ext cx="468000" cy="629966"/>
                </a:xfrm>
                <a:prstGeom prst="rightBrac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  <xdr:txBody>
                <a:bodyPr wrap="square" rtlCol="0" anchor="ctr"/>
                <a:lstStyle>
                  <a:defPPr>
                    <a:defRPr lang="pt-B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BR"/>
                </a:p>
              </xdr:txBody>
            </xdr:sp>
            <xdr:sp macro="" textlink="">
              <xdr:nvSpPr>
                <xdr:cNvPr id="60420" name="TextBox 17">
                  <a:extLst>
                    <a:ext uri="{FF2B5EF4-FFF2-40B4-BE49-F238E27FC236}">
                      <a16:creationId xmlns:a16="http://schemas.microsoft.com/office/drawing/2014/main" id="{00000000-0008-0000-0200-000004EC0000}"/>
                    </a:ext>
                  </a:extLst>
                </xdr:cNvPr>
                <xdr:cNvSpPr txBox="1"/>
              </xdr:nvSpPr>
              <xdr:spPr>
                <a:xfrm>
                  <a:off x="2941525" y="1062490"/>
                  <a:ext cx="1109570" cy="400110"/>
                </a:xfrm>
                <a:prstGeom prst="rect">
                  <a:avLst/>
                </a:prstGeom>
                <a:noFill/>
              </xdr:spPr>
              <xdr:txBody>
                <a:bodyPr wrap="square" rtlCol="0">
                  <a:spAutoFit/>
                </a:bodyPr>
                <a:lstStyle>
                  <a:defPPr>
                    <a:defRPr lang="pt-B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r>
                    <a:rPr lang="pt-BR" sz="1000" b="1">
                      <a:latin typeface="Arial" panose="020B0604020202020204" pitchFamily="34" charset="0"/>
                      <a:cs typeface="Arial" panose="020B0604020202020204" pitchFamily="34" charset="0"/>
                    </a:rPr>
                    <a:t>Zona de Interseção (ZI)*</a:t>
                  </a:r>
                </a:p>
              </xdr:txBody>
            </xdr:sp>
          </xdr:grpSp>
          <xdr:grpSp>
            <xdr:nvGrpSpPr>
              <xdr:cNvPr id="60416" name="Group 60415">
                <a:extLst>
                  <a:ext uri="{FF2B5EF4-FFF2-40B4-BE49-F238E27FC236}">
                    <a16:creationId xmlns:a16="http://schemas.microsoft.com/office/drawing/2014/main" id="{00000000-0008-0000-0200-000000EC0000}"/>
                  </a:ext>
                </a:extLst>
              </xdr:cNvPr>
              <xdr:cNvGrpSpPr/>
            </xdr:nvGrpSpPr>
            <xdr:grpSpPr>
              <a:xfrm>
                <a:off x="3616663" y="1062490"/>
                <a:ext cx="6018659" cy="872480"/>
                <a:chOff x="3616663" y="1062490"/>
                <a:chExt cx="6018659" cy="872480"/>
              </a:xfrm>
            </xdr:grpSpPr>
            <xdr:sp macro="" textlink="">
              <xdr:nvSpPr>
                <xdr:cNvPr id="60417" name="Right Brace 60416">
                  <a:extLst>
                    <a:ext uri="{FF2B5EF4-FFF2-40B4-BE49-F238E27FC236}">
                      <a16:creationId xmlns:a16="http://schemas.microsoft.com/office/drawing/2014/main" id="{00000000-0008-0000-0200-000001EC0000}"/>
                    </a:ext>
                  </a:extLst>
                </xdr:cNvPr>
                <xdr:cNvSpPr/>
              </xdr:nvSpPr>
              <xdr:spPr>
                <a:xfrm rot="16200000">
                  <a:off x="6391993" y="-1308360"/>
                  <a:ext cx="468000" cy="6018659"/>
                </a:xfrm>
                <a:prstGeom prst="rightBrac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  <xdr:txBody>
                <a:bodyPr wrap="square" rtlCol="0" anchor="ctr"/>
                <a:lstStyle>
                  <a:defPPr>
                    <a:defRPr lang="pt-B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BR">
                    <a:latin typeface="Arial" panose="020B0604020202020204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60418" name="TextBox 18">
                  <a:extLst>
                    <a:ext uri="{FF2B5EF4-FFF2-40B4-BE49-F238E27FC236}">
                      <a16:creationId xmlns:a16="http://schemas.microsoft.com/office/drawing/2014/main" id="{00000000-0008-0000-0200-000002EC0000}"/>
                    </a:ext>
                  </a:extLst>
                </xdr:cNvPr>
                <xdr:cNvSpPr txBox="1"/>
              </xdr:nvSpPr>
              <xdr:spPr>
                <a:xfrm>
                  <a:off x="6116563" y="1062490"/>
                  <a:ext cx="1018855" cy="400110"/>
                </a:xfrm>
                <a:prstGeom prst="rect">
                  <a:avLst/>
                </a:prstGeom>
                <a:noFill/>
              </xdr:spPr>
              <xdr:txBody>
                <a:bodyPr wrap="square" rtlCol="0">
                  <a:spAutoFit/>
                </a:bodyPr>
                <a:lstStyle>
                  <a:defPPr>
                    <a:defRPr lang="pt-B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r>
                    <a:rPr lang="pt-BR" sz="1000" b="1">
                      <a:latin typeface="Arial" panose="020B0604020202020204" pitchFamily="34" charset="0"/>
                      <a:cs typeface="Arial" panose="020B0604020202020204" pitchFamily="34" charset="0"/>
                    </a:rPr>
                    <a:t>Zona NÃO</a:t>
                  </a:r>
                </a:p>
                <a:p>
                  <a:pPr algn="ctr"/>
                  <a:r>
                    <a:rPr lang="pt-BR" sz="1000" b="1">
                      <a:latin typeface="Arial" panose="020B0604020202020204" pitchFamily="34" charset="0"/>
                      <a:cs typeface="Arial" panose="020B0604020202020204" pitchFamily="34" charset="0"/>
                    </a:rPr>
                    <a:t>Rígida (ZNR)</a:t>
                  </a:r>
                </a:p>
              </xdr:txBody>
            </xdr:sp>
          </xdr:grpSp>
        </xdr:grpSp>
        <xdr:sp macro="" textlink="">
          <xdr:nvSpPr>
            <xdr:cNvPr id="28" name="TextBox 24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 txBox="1"/>
          </xdr:nvSpPr>
          <xdr:spPr>
            <a:xfrm>
              <a:off x="2194206" y="4031747"/>
              <a:ext cx="4930991" cy="246221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BR" sz="1000">
                  <a:latin typeface="Arial" panose="020B0604020202020204" pitchFamily="34" charset="0"/>
                  <a:cs typeface="Arial" panose="020B0604020202020204" pitchFamily="34" charset="0"/>
                </a:rPr>
                <a:t>*O comportamento da zona de interseção deve ser considerado como rígido!</a:t>
              </a:r>
            </a:p>
          </xdr:txBody>
        </xdr:sp>
      </xdr:grpSp>
      <xdr:sp macro="" textlink="">
        <xdr:nvSpPr>
          <xdr:cNvPr id="60426" name="Rectangle 60425">
            <a:extLst>
              <a:ext uri="{FF2B5EF4-FFF2-40B4-BE49-F238E27FC236}">
                <a16:creationId xmlns:a16="http://schemas.microsoft.com/office/drawing/2014/main" id="{00000000-0008-0000-0200-00000AEC0000}"/>
              </a:ext>
            </a:extLst>
          </xdr:cNvPr>
          <xdr:cNvSpPr/>
        </xdr:nvSpPr>
        <xdr:spPr bwMode="auto">
          <a:xfrm>
            <a:off x="13668375" y="16211550"/>
            <a:ext cx="914400" cy="219075"/>
          </a:xfrm>
          <a:prstGeom prst="rect">
            <a:avLst/>
          </a:prstGeom>
          <a:solidFill>
            <a:srgbClr val="FFFFFF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r>
              <a:rPr lang="pt-BR" sz="1000" b="1" i="0">
                <a:latin typeface="Arial" panose="020B0604020202020204" pitchFamily="34" charset="0"/>
                <a:cs typeface="Arial" panose="020B0604020202020204" pitchFamily="34" charset="0"/>
              </a:rPr>
              <a:t>Figura 2:</a:t>
            </a:r>
          </a:p>
        </xdr:txBody>
      </xdr:sp>
    </xdr:grpSp>
    <xdr:clientData/>
  </xdr:twoCellAnchor>
  <xdr:twoCellAnchor>
    <xdr:from>
      <xdr:col>19</xdr:col>
      <xdr:colOff>190500</xdr:colOff>
      <xdr:row>61</xdr:row>
      <xdr:rowOff>142875</xdr:rowOff>
    </xdr:from>
    <xdr:to>
      <xdr:col>27</xdr:col>
      <xdr:colOff>1133475</xdr:colOff>
      <xdr:row>75</xdr:row>
      <xdr:rowOff>133350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22336125" y="15382875"/>
          <a:ext cx="7991475" cy="3457575"/>
        </a:xfrm>
        <a:prstGeom prst="rect">
          <a:avLst/>
        </a:prstGeom>
        <a:solidFill>
          <a:srgbClr val="FFFFCC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INSTRUÇÕES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PARA MODELAGEM DE VÉRTEBRA (PU OU AÇO)</a:t>
          </a:r>
        </a:p>
        <a:p>
          <a:pPr algn="ctr"/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1º Passo: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 Selecionar o material da vértebra</a:t>
          </a:r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(Aço ou PU)</a:t>
          </a:r>
        </a:p>
        <a:p>
          <a:pPr algn="l"/>
          <a:r>
            <a:rPr lang="pt-BR" sz="1100" b="0" baseline="0">
              <a:latin typeface="Arial" panose="020B0604020202020204" pitchFamily="34" charset="0"/>
              <a:cs typeface="Arial" panose="020B0604020202020204" pitchFamily="34" charset="0"/>
            </a:rPr>
            <a:t>        Selecionar o material da vértebra de acordo com o especificado nas referências técnicas;</a:t>
          </a:r>
        </a:p>
        <a:p>
          <a:pPr algn="l"/>
          <a:endParaRPr lang="pt-BR" sz="11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pt-BR" sz="1100" b="0" baseline="0">
              <a:latin typeface="Arial" panose="020B0604020202020204" pitchFamily="34" charset="0"/>
              <a:cs typeface="Arial" panose="020B0604020202020204" pitchFamily="34" charset="0"/>
            </a:rPr>
            <a:t>SE A VÉRTEBRA FOR DE AÇO, SIGA O PASSO A SEGUIR.</a:t>
          </a:r>
          <a:endParaRPr lang="pt-BR" sz="1100" b="1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2º Passo: </a:t>
          </a:r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Preencher normalmente os dados solicitados na seção Vértebra/Bend Restrictor.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SE A VÉRTEBRA FOR DE PU, SIGA OS PASSOS A SEGUIR.</a:t>
          </a:r>
          <a:endParaRPr lang="pt-BR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2º Passo:</a:t>
          </a:r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seção </a:t>
          </a:r>
          <a:r>
            <a:rPr lang="pt-BR" sz="1100" b="1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Vértebra/Bend Restrictor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 </a:t>
          </a:r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Preencher os dados solicitados considerando somente a Zona Não Rígida (VER FIG. 2)</a:t>
          </a:r>
          <a:endParaRPr lang="pt-BR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3º Passo:</a:t>
          </a:r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seção </a:t>
          </a:r>
          <a:r>
            <a:rPr lang="pt-BR" sz="1100" b="1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Zona Rígida da Vértebra </a:t>
          </a:r>
          <a:endParaRPr lang="pt-BR" sz="1100" b="0" baseline="0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 Preencher os dados solicitados considerando a parte da Zona Rígida e Zona de Interseção (VER FIG. 2).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ATENÇÃO AOS TÓPICOS A SEGUIR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1" baseline="0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1. Nome da estrutura ZR da vértenra - VERIFIQUE SE O PADRÃO (ZR_Nome_Vertebra) ESTÁ GARANTIDO!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2. Os dados da zona rígida e zona NÃO rígida são diferentes! Atenção ao datasheet!</a:t>
          </a:r>
        </a:p>
      </xdr:txBody>
    </xdr:sp>
    <xdr:clientData/>
  </xdr:twoCellAnchor>
  <xdr:twoCellAnchor>
    <xdr:from>
      <xdr:col>0</xdr:col>
      <xdr:colOff>123825</xdr:colOff>
      <xdr:row>24</xdr:row>
      <xdr:rowOff>123825</xdr:rowOff>
    </xdr:from>
    <xdr:to>
      <xdr:col>0</xdr:col>
      <xdr:colOff>2571750</xdr:colOff>
      <xdr:row>25</xdr:row>
      <xdr:rowOff>171450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 bwMode="auto">
        <a:xfrm>
          <a:off x="123825" y="6200775"/>
          <a:ext cx="2447925" cy="295275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000" b="1" i="0">
              <a:latin typeface="Arial" panose="020B0604020202020204" pitchFamily="34" charset="0"/>
              <a:cs typeface="Arial" panose="020B0604020202020204" pitchFamily="34" charset="0"/>
            </a:rPr>
            <a:t>Ver a figura 2</a:t>
          </a:r>
          <a:r>
            <a:rPr lang="pt-BR" sz="1000" b="1" i="0" baseline="0">
              <a:latin typeface="Arial" panose="020B0604020202020204" pitchFamily="34" charset="0"/>
              <a:cs typeface="Arial" panose="020B0604020202020204" pitchFamily="34" charset="0"/>
            </a:rPr>
            <a:t> se a vértebra for de PU.</a:t>
          </a:r>
          <a:endParaRPr lang="pt-BR" sz="1000" b="1" i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123825</xdr:colOff>
      <xdr:row>24</xdr:row>
      <xdr:rowOff>123825</xdr:rowOff>
    </xdr:from>
    <xdr:to>
      <xdr:col>0</xdr:col>
      <xdr:colOff>2571750</xdr:colOff>
      <xdr:row>25</xdr:row>
      <xdr:rowOff>171450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46CB0063-E05B-49AF-A3AE-F251D10E0B26}"/>
            </a:ext>
          </a:extLst>
        </xdr:cNvPr>
        <xdr:cNvSpPr/>
      </xdr:nvSpPr>
      <xdr:spPr bwMode="auto">
        <a:xfrm>
          <a:off x="123825" y="6200775"/>
          <a:ext cx="2447925" cy="295275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000" b="1" i="0">
              <a:latin typeface="Arial" panose="020B0604020202020204" pitchFamily="34" charset="0"/>
              <a:cs typeface="Arial" panose="020B0604020202020204" pitchFamily="34" charset="0"/>
            </a:rPr>
            <a:t>Ver a figura 2</a:t>
          </a:r>
          <a:r>
            <a:rPr lang="pt-BR" sz="1000" b="1" i="0" baseline="0">
              <a:latin typeface="Arial" panose="020B0604020202020204" pitchFamily="34" charset="0"/>
              <a:cs typeface="Arial" panose="020B0604020202020204" pitchFamily="34" charset="0"/>
            </a:rPr>
            <a:t> se a vértebra for de PU.</a:t>
          </a:r>
          <a:endParaRPr lang="pt-BR" sz="1000" b="1" i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202403</xdr:colOff>
      <xdr:row>1</xdr:row>
      <xdr:rowOff>69740</xdr:rowOff>
    </xdr:from>
    <xdr:to>
      <xdr:col>7</xdr:col>
      <xdr:colOff>844631</xdr:colOff>
      <xdr:row>14</xdr:row>
      <xdr:rowOff>47625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123"/>
        <a:stretch/>
      </xdr:blipFill>
      <xdr:spPr>
        <a:xfrm>
          <a:off x="6060278" y="319771"/>
          <a:ext cx="4226009" cy="322829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44449</xdr:colOff>
      <xdr:row>9</xdr:row>
      <xdr:rowOff>117088</xdr:rowOff>
    </xdr:from>
    <xdr:to>
      <xdr:col>3</xdr:col>
      <xdr:colOff>827556</xdr:colOff>
      <xdr:row>11</xdr:row>
      <xdr:rowOff>41156</xdr:rowOff>
    </xdr:to>
    <xdr:sp macro="[0]!InterpolateStiffCurve" textlink="">
      <xdr:nvSpPr>
        <xdr:cNvPr id="2" name="Rectangle 1" descr="&#10;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158749" y="1812538"/>
          <a:ext cx="2478557" cy="247918"/>
        </a:xfrm>
        <a:prstGeom prst="rect">
          <a:avLst/>
        </a:prstGeom>
        <a:solidFill>
          <a:schemeClr val="bg1">
            <a:lumMod val="95000"/>
          </a:schemeClr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000" b="0" baseline="0">
              <a:latin typeface="Arial" panose="020B0604020202020204" pitchFamily="34" charset="0"/>
              <a:cs typeface="Arial" panose="020B0604020202020204" pitchFamily="34" charset="0"/>
            </a:rPr>
            <a:t>Obter pontos de TODAS as Curvas</a:t>
          </a:r>
        </a:p>
      </xdr:txBody>
    </xdr:sp>
    <xdr:clientData/>
  </xdr:twoCellAnchor>
  <xdr:twoCellAnchor>
    <xdr:from>
      <xdr:col>4</xdr:col>
      <xdr:colOff>379147</xdr:colOff>
      <xdr:row>2</xdr:row>
      <xdr:rowOff>6803</xdr:rowOff>
    </xdr:from>
    <xdr:to>
      <xdr:col>6</xdr:col>
      <xdr:colOff>1341438</xdr:colOff>
      <xdr:row>13</xdr:row>
      <xdr:rowOff>143579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372341</xdr:colOff>
      <xdr:row>2</xdr:row>
      <xdr:rowOff>8662</xdr:rowOff>
    </xdr:from>
    <xdr:to>
      <xdr:col>13</xdr:col>
      <xdr:colOff>1352550</xdr:colOff>
      <xdr:row>13</xdr:row>
      <xdr:rowOff>161926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372341</xdr:colOff>
      <xdr:row>2</xdr:row>
      <xdr:rowOff>8661</xdr:rowOff>
    </xdr:from>
    <xdr:to>
      <xdr:col>20</xdr:col>
      <xdr:colOff>1343025</xdr:colOff>
      <xdr:row>13</xdr:row>
      <xdr:rowOff>161925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523875</xdr:colOff>
          <xdr:row>2</xdr:row>
          <xdr:rowOff>28575</xdr:rowOff>
        </xdr:from>
        <xdr:to>
          <xdr:col>4</xdr:col>
          <xdr:colOff>2686050</xdr:colOff>
          <xdr:row>4</xdr:row>
          <xdr:rowOff>152400</xdr:rowOff>
        </xdr:to>
        <xdr:sp macro="" textlink="">
          <xdr:nvSpPr>
            <xdr:cNvPr id="128001" name="Button 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5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RIGIDEZ 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(SOMENTE SE NÃO FOR UEH)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523875</xdr:colOff>
          <xdr:row>2</xdr:row>
          <xdr:rowOff>38100</xdr:rowOff>
        </xdr:from>
        <xdr:to>
          <xdr:col>4</xdr:col>
          <xdr:colOff>2686050</xdr:colOff>
          <xdr:row>4</xdr:row>
          <xdr:rowOff>161925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7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RIGIDEZ 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(SOMENTE SE NÃO FOR UEH)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11</xdr:row>
          <xdr:rowOff>190500</xdr:rowOff>
        </xdr:from>
        <xdr:to>
          <xdr:col>5</xdr:col>
          <xdr:colOff>0</xdr:colOff>
          <xdr:row>14</xdr:row>
          <xdr:rowOff>9525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17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Pós-Processamento </a:t>
              </a:r>
            </a:p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Relatório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8</xdr:row>
          <xdr:rowOff>190500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17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Pós-Processamento</a:t>
              </a:r>
            </a:p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Extrair dados dos modelos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5</xdr:row>
          <xdr:rowOff>209550</xdr:rowOff>
        </xdr:from>
        <xdr:to>
          <xdr:col>4</xdr:col>
          <xdr:colOff>2047875</xdr:colOff>
          <xdr:row>8</xdr:row>
          <xdr:rowOff>9525</xdr:rowOff>
        </xdr:to>
        <xdr:sp macro="" textlink="">
          <xdr:nvSpPr>
            <xdr:cNvPr id="3146" name="Button 74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17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Processamento </a:t>
              </a:r>
            </a:p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Casos 4 e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200025</xdr:rowOff>
        </xdr:from>
        <xdr:to>
          <xdr:col>5</xdr:col>
          <xdr:colOff>0</xdr:colOff>
          <xdr:row>5</xdr:row>
          <xdr:rowOff>9525</xdr:rowOff>
        </xdr:to>
        <xdr:sp macro="" textlink="">
          <xdr:nvSpPr>
            <xdr:cNvPr id="3156" name="Button 84" hidden="1">
              <a:extLst>
                <a:ext uri="{63B3BB69-23CF-44E3-9099-C40C66FF867C}">
                  <a14:compatExt spid="_x0000_s3156"/>
                </a:ext>
                <a:ext uri="{FF2B5EF4-FFF2-40B4-BE49-F238E27FC236}">
                  <a16:creationId xmlns:a16="http://schemas.microsoft.com/office/drawing/2014/main" id="{00000000-0008-0000-1700-00005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Processamento </a:t>
              </a:r>
            </a:p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Cont e Layaway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1019175</xdr:colOff>
      <xdr:row>4</xdr:row>
      <xdr:rowOff>161925</xdr:rowOff>
    </xdr:from>
    <xdr:to>
      <xdr:col>5</xdr:col>
      <xdr:colOff>57150</xdr:colOff>
      <xdr:row>5</xdr:row>
      <xdr:rowOff>190500</xdr:rowOff>
    </xdr:to>
    <xdr:sp macro="" textlink="">
      <xdr:nvSpPr>
        <xdr:cNvPr id="3" name="Callout: Line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3648075" y="1009650"/>
          <a:ext cx="2200275" cy="200025"/>
        </a:xfrm>
        <a:prstGeom prst="borderCallout1">
          <a:avLst>
            <a:gd name="adj1" fmla="val 121381"/>
            <a:gd name="adj2" fmla="val 107253"/>
            <a:gd name="adj3" fmla="val 40195"/>
            <a:gd name="adj4" fmla="val 99763"/>
          </a:avLst>
        </a:prstGeom>
        <a:ln w="3175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Colar tabela RL aqui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28576</xdr:colOff>
      <xdr:row>0</xdr:row>
      <xdr:rowOff>95250</xdr:rowOff>
    </xdr:from>
    <xdr:to>
      <xdr:col>4</xdr:col>
      <xdr:colOff>533400</xdr:colOff>
      <xdr:row>2</xdr:row>
      <xdr:rowOff>28575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 txBox="1"/>
      </xdr:nvSpPr>
      <xdr:spPr>
        <a:xfrm>
          <a:off x="1390651" y="95250"/>
          <a:ext cx="1114424" cy="2571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000" b="1">
              <a:latin typeface="+mj-lt"/>
            </a:rPr>
            <a:t>Nota Técnica</a:t>
          </a:r>
        </a:p>
      </xdr:txBody>
    </xdr:sp>
    <xdr:clientData/>
  </xdr:twoCellAnchor>
  <xdr:twoCellAnchor>
    <xdr:from>
      <xdr:col>10</xdr:col>
      <xdr:colOff>171450</xdr:colOff>
      <xdr:row>0</xdr:row>
      <xdr:rowOff>85725</xdr:rowOff>
    </xdr:from>
    <xdr:to>
      <xdr:col>11</xdr:col>
      <xdr:colOff>523875</xdr:colOff>
      <xdr:row>2</xdr:row>
      <xdr:rowOff>49971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 txBox="1"/>
      </xdr:nvSpPr>
      <xdr:spPr>
        <a:xfrm>
          <a:off x="5800725" y="85725"/>
          <a:ext cx="962025" cy="2880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000">
              <a:latin typeface="+mn-lt"/>
            </a:rPr>
            <a:t>(Confidencial)</a:t>
          </a:r>
        </a:p>
      </xdr:txBody>
    </xdr:sp>
    <xdr:clientData/>
  </xdr:twoCellAnchor>
  <xdr:oneCellAnchor>
    <xdr:from>
      <xdr:col>1</xdr:col>
      <xdr:colOff>68354</xdr:colOff>
      <xdr:row>0</xdr:row>
      <xdr:rowOff>68355</xdr:rowOff>
    </xdr:from>
    <xdr:ext cx="1133475" cy="402935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654" y="68355"/>
          <a:ext cx="1133475" cy="402935"/>
        </a:xfrm>
        <a:prstGeom prst="rect">
          <a:avLst/>
        </a:prstGeom>
      </xdr:spPr>
    </xdr:pic>
    <xdr:clientData/>
  </xdr:oneCellAnchor>
  <xdr:twoCellAnchor>
    <xdr:from>
      <xdr:col>6</xdr:col>
      <xdr:colOff>19050</xdr:colOff>
      <xdr:row>33</xdr:row>
      <xdr:rowOff>19050</xdr:rowOff>
    </xdr:from>
    <xdr:to>
      <xdr:col>11</xdr:col>
      <xdr:colOff>600075</xdr:colOff>
      <xdr:row>49</xdr:row>
      <xdr:rowOff>9525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SpPr txBox="1"/>
      </xdr:nvSpPr>
      <xdr:spPr>
        <a:xfrm>
          <a:off x="3209925" y="5372100"/>
          <a:ext cx="3629025" cy="2581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análise realizada é dinâmica, porém não são considerados efeitos de corrente, ondas e vento;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Apenas boias encontradas a bordo são consideradas como remediação para possíveis problemas na configuração da instalação;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Elos de amarra de diâmetro de </a:t>
          </a:r>
          <a:r>
            <a:rPr lang="pt-PT" sz="10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76mm e peso de 109kg/m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na água são considerados como remediação para possíveis problemas na configuração da instalação;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distância horizontal entre o cabo de sustentação do MCV e o cabo ligado à corcova do flexível foi assumida em 25 m;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O centro de empuxo é considerado na mesma posição do centro de gravidade do MCV;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linha é considerada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cheia de água;</a:t>
          </a:r>
          <a:endParaRPr lang="pt-PT" sz="1000">
            <a:solidFill>
              <a:srgbClr val="FF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Foi considerada a rigidez à flexão nas condições de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pt-PT" sz="10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instalação, com anular alagado.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4</xdr:row>
          <xdr:rowOff>9525</xdr:rowOff>
        </xdr:from>
        <xdr:to>
          <xdr:col>17</xdr:col>
          <xdr:colOff>9525</xdr:colOff>
          <xdr:row>11</xdr:row>
          <xdr:rowOff>0</xdr:rowOff>
        </xdr:to>
        <xdr:sp macro="" textlink="">
          <xdr:nvSpPr>
            <xdr:cNvPr id="199681" name="Button 1" hidden="1">
              <a:extLst>
                <a:ext uri="{63B3BB69-23CF-44E3-9099-C40C66FF867C}">
                  <a14:compatExt spid="_x0000_s199681"/>
                </a:ext>
                <a:ext uri="{FF2B5EF4-FFF2-40B4-BE49-F238E27FC236}">
                  <a16:creationId xmlns:a16="http://schemas.microsoft.com/office/drawing/2014/main" id="{00000000-0008-0000-1A00-000001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e Importar Imagens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13</xdr:row>
          <xdr:rowOff>9525</xdr:rowOff>
        </xdr:from>
        <xdr:to>
          <xdr:col>17</xdr:col>
          <xdr:colOff>0</xdr:colOff>
          <xdr:row>20</xdr:row>
          <xdr:rowOff>9525</xdr:rowOff>
        </xdr:to>
        <xdr:sp macro="" textlink="">
          <xdr:nvSpPr>
            <xdr:cNvPr id="199682" name="Button 2" hidden="1">
              <a:extLst>
                <a:ext uri="{63B3BB69-23CF-44E3-9099-C40C66FF867C}">
                  <a14:compatExt spid="_x0000_s199682"/>
                </a:ext>
                <a:ext uri="{FF2B5EF4-FFF2-40B4-BE49-F238E27FC236}">
                  <a16:creationId xmlns:a16="http://schemas.microsoft.com/office/drawing/2014/main" id="{00000000-0008-0000-1A00-000002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Importar Dados  Conclusão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28576</xdr:colOff>
      <xdr:row>0</xdr:row>
      <xdr:rowOff>95250</xdr:rowOff>
    </xdr:from>
    <xdr:to>
      <xdr:col>4</xdr:col>
      <xdr:colOff>533400</xdr:colOff>
      <xdr:row>2</xdr:row>
      <xdr:rowOff>28575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SpPr txBox="1"/>
      </xdr:nvSpPr>
      <xdr:spPr>
        <a:xfrm>
          <a:off x="2724152" y="95250"/>
          <a:ext cx="2228848" cy="2571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000" b="1">
              <a:latin typeface="+mj-lt"/>
            </a:rPr>
            <a:t>Nota Técnica</a:t>
          </a:r>
        </a:p>
      </xdr:txBody>
    </xdr:sp>
    <xdr:clientData/>
  </xdr:twoCellAnchor>
  <xdr:twoCellAnchor>
    <xdr:from>
      <xdr:col>10</xdr:col>
      <xdr:colOff>171450</xdr:colOff>
      <xdr:row>0</xdr:row>
      <xdr:rowOff>85725</xdr:rowOff>
    </xdr:from>
    <xdr:to>
      <xdr:col>11</xdr:col>
      <xdr:colOff>523875</xdr:colOff>
      <xdr:row>2</xdr:row>
      <xdr:rowOff>49971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SpPr txBox="1"/>
      </xdr:nvSpPr>
      <xdr:spPr>
        <a:xfrm>
          <a:off x="11544300" y="85725"/>
          <a:ext cx="1924050" cy="2880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000">
              <a:latin typeface="+mn-lt"/>
            </a:rPr>
            <a:t>(Confidencial)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88352</xdr:colOff>
      <xdr:row>40</xdr:row>
      <xdr:rowOff>24996</xdr:rowOff>
    </xdr:from>
    <xdr:to>
      <xdr:col>13</xdr:col>
      <xdr:colOff>227133</xdr:colOff>
      <xdr:row>55</xdr:row>
      <xdr:rowOff>100852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 txBox="1"/>
      </xdr:nvSpPr>
      <xdr:spPr>
        <a:xfrm>
          <a:off x="3860252" y="6549621"/>
          <a:ext cx="3796381" cy="2504731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análise realizada é dinâmica, porém não são considerados efeitos de corrente, ondas e vento;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Apenas boias encontradas a bordo são consideradas como remediação para possíveis problemas na configuração da instalação;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Elos de amarra de diâmetro de </a:t>
          </a:r>
          <a:r>
            <a:rPr lang="pt-PT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76mm e peso de 109kg/m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na água são considerados como remediação para possíveis problemas na configuração da instalação;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distância horizontal entre o cabo de sustentação do MCV e o cabo ligado à corcova do flexível foi assumida em 25 m;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O centro de empuxo é considerado na mesma posição do centro de gravidade do MCV;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linha é considerada </a:t>
          </a:r>
          <a:r>
            <a:rPr lang="pt-PT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vazia;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Foi considerada a rigidez à flexão nas condições de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pt-PT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temperatura de máxima profundidade, pressão exterior hidrostática, pressão interior atmosférica e anular seco.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85725</xdr:colOff>
          <xdr:row>8</xdr:row>
          <xdr:rowOff>19050</xdr:rowOff>
        </xdr:from>
        <xdr:to>
          <xdr:col>33</xdr:col>
          <xdr:colOff>19050</xdr:colOff>
          <xdr:row>15</xdr:row>
          <xdr:rowOff>19050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  <a:ext uri="{FF2B5EF4-FFF2-40B4-BE49-F238E27FC236}">
                  <a16:creationId xmlns:a16="http://schemas.microsoft.com/office/drawing/2014/main" id="{00000000-0008-0000-1B00-00000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e Importar Imagens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85725</xdr:colOff>
          <xdr:row>17</xdr:row>
          <xdr:rowOff>28575</xdr:rowOff>
        </xdr:from>
        <xdr:to>
          <xdr:col>32</xdr:col>
          <xdr:colOff>600075</xdr:colOff>
          <xdr:row>24</xdr:row>
          <xdr:rowOff>85725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  <a:ext uri="{FF2B5EF4-FFF2-40B4-BE49-F238E27FC236}">
                  <a16:creationId xmlns:a16="http://schemas.microsoft.com/office/drawing/2014/main" id="{00000000-0008-0000-1B00-00000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Importar Dados Conclusão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324837</xdr:colOff>
      <xdr:row>0</xdr:row>
      <xdr:rowOff>62077</xdr:rowOff>
    </xdr:from>
    <xdr:ext cx="1942117" cy="690397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9137" y="62077"/>
          <a:ext cx="1942117" cy="690397"/>
        </a:xfrm>
        <a:prstGeom prst="rect">
          <a:avLst/>
        </a:prstGeom>
      </xdr:spPr>
    </xdr:pic>
    <xdr:clientData/>
  </xdr:oneCellAnchor>
  <xdr:twoCellAnchor>
    <xdr:from>
      <xdr:col>6</xdr:col>
      <xdr:colOff>212085</xdr:colOff>
      <xdr:row>1</xdr:row>
      <xdr:rowOff>69633</xdr:rowOff>
    </xdr:from>
    <xdr:to>
      <xdr:col>9</xdr:col>
      <xdr:colOff>139826</xdr:colOff>
      <xdr:row>3</xdr:row>
      <xdr:rowOff>149679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SpPr txBox="1"/>
      </xdr:nvSpPr>
      <xdr:spPr>
        <a:xfrm>
          <a:off x="3374385" y="241083"/>
          <a:ext cx="1756541" cy="41342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600" b="1">
              <a:latin typeface="+mj-lt"/>
            </a:rPr>
            <a:t>Nota Técnica</a:t>
          </a:r>
        </a:p>
      </xdr:txBody>
    </xdr:sp>
    <xdr:clientData/>
  </xdr:twoCellAnchor>
  <xdr:twoCellAnchor>
    <xdr:from>
      <xdr:col>23</xdr:col>
      <xdr:colOff>288562</xdr:colOff>
      <xdr:row>1</xdr:row>
      <xdr:rowOff>106511</xdr:rowOff>
    </xdr:from>
    <xdr:to>
      <xdr:col>26</xdr:col>
      <xdr:colOff>0</xdr:colOff>
      <xdr:row>3</xdr:row>
      <xdr:rowOff>68036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 txBox="1"/>
      </xdr:nvSpPr>
      <xdr:spPr>
        <a:xfrm>
          <a:off x="13814062" y="277961"/>
          <a:ext cx="1540238" cy="2949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400">
              <a:latin typeface="+mn-lt"/>
            </a:rPr>
            <a:t>(Confidencial)</a:t>
          </a:r>
        </a:p>
      </xdr:txBody>
    </xdr:sp>
    <xdr:clientData/>
  </xdr:twoCellAnchor>
  <xdr:twoCellAnchor>
    <xdr:from>
      <xdr:col>6</xdr:col>
      <xdr:colOff>212085</xdr:colOff>
      <xdr:row>1</xdr:row>
      <xdr:rowOff>69633</xdr:rowOff>
    </xdr:from>
    <xdr:to>
      <xdr:col>9</xdr:col>
      <xdr:colOff>139826</xdr:colOff>
      <xdr:row>3</xdr:row>
      <xdr:rowOff>149679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SpPr txBox="1"/>
      </xdr:nvSpPr>
      <xdr:spPr>
        <a:xfrm>
          <a:off x="3374385" y="412533"/>
          <a:ext cx="1756541" cy="4038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600" b="1">
              <a:latin typeface="+mj-lt"/>
            </a:rPr>
            <a:t>Nota Técnica</a:t>
          </a:r>
        </a:p>
      </xdr:txBody>
    </xdr:sp>
    <xdr:clientData/>
  </xdr:twoCellAnchor>
  <xdr:twoCellAnchor>
    <xdr:from>
      <xdr:col>23</xdr:col>
      <xdr:colOff>288562</xdr:colOff>
      <xdr:row>1</xdr:row>
      <xdr:rowOff>106511</xdr:rowOff>
    </xdr:from>
    <xdr:to>
      <xdr:col>26</xdr:col>
      <xdr:colOff>0</xdr:colOff>
      <xdr:row>3</xdr:row>
      <xdr:rowOff>68036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SpPr txBox="1"/>
      </xdr:nvSpPr>
      <xdr:spPr>
        <a:xfrm>
          <a:off x="13814062" y="449411"/>
          <a:ext cx="1540238" cy="285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400">
              <a:latin typeface="+mn-lt"/>
            </a:rPr>
            <a:t>(Confidencial)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28576</xdr:colOff>
      <xdr:row>0</xdr:row>
      <xdr:rowOff>95250</xdr:rowOff>
    </xdr:from>
    <xdr:to>
      <xdr:col>4</xdr:col>
      <xdr:colOff>533400</xdr:colOff>
      <xdr:row>2</xdr:row>
      <xdr:rowOff>28575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 txBox="1"/>
      </xdr:nvSpPr>
      <xdr:spPr>
        <a:xfrm>
          <a:off x="1247776" y="95250"/>
          <a:ext cx="1114424" cy="2571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000" b="1">
              <a:latin typeface="+mj-lt"/>
            </a:rPr>
            <a:t>Nota Técnica</a:t>
          </a:r>
        </a:p>
      </xdr:txBody>
    </xdr:sp>
    <xdr:clientData/>
  </xdr:twoCellAnchor>
  <xdr:twoCellAnchor>
    <xdr:from>
      <xdr:col>10</xdr:col>
      <xdr:colOff>171450</xdr:colOff>
      <xdr:row>0</xdr:row>
      <xdr:rowOff>85725</xdr:rowOff>
    </xdr:from>
    <xdr:to>
      <xdr:col>11</xdr:col>
      <xdr:colOff>523875</xdr:colOff>
      <xdr:row>2</xdr:row>
      <xdr:rowOff>49971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 txBox="1"/>
      </xdr:nvSpPr>
      <xdr:spPr>
        <a:xfrm>
          <a:off x="5657850" y="85725"/>
          <a:ext cx="962025" cy="2880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000">
              <a:latin typeface="+mn-lt"/>
            </a:rPr>
            <a:t>(Confidencial)</a:t>
          </a:r>
        </a:p>
      </xdr:txBody>
    </xdr:sp>
    <xdr:clientData/>
  </xdr:twoCellAnchor>
  <xdr:oneCellAnchor>
    <xdr:from>
      <xdr:col>1</xdr:col>
      <xdr:colOff>57150</xdr:colOff>
      <xdr:row>0</xdr:row>
      <xdr:rowOff>57150</xdr:rowOff>
    </xdr:from>
    <xdr:ext cx="1133475" cy="402935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57150"/>
          <a:ext cx="1133475" cy="402935"/>
        </a:xfrm>
        <a:prstGeom prst="rect">
          <a:avLst/>
        </a:prstGeom>
      </xdr:spPr>
    </xdr:pic>
    <xdr:clientData/>
  </xdr:oneCellAnchor>
  <xdr:twoCellAnchor>
    <xdr:from>
      <xdr:col>6</xdr:col>
      <xdr:colOff>19050</xdr:colOff>
      <xdr:row>33</xdr:row>
      <xdr:rowOff>19050</xdr:rowOff>
    </xdr:from>
    <xdr:to>
      <xdr:col>11</xdr:col>
      <xdr:colOff>600075</xdr:colOff>
      <xdr:row>48</xdr:row>
      <xdr:rowOff>152400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 txBox="1"/>
      </xdr:nvSpPr>
      <xdr:spPr>
        <a:xfrm>
          <a:off x="3067050" y="5200650"/>
          <a:ext cx="3629025" cy="2562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análise realizada é dinâmica, porém não são considerados efeitos de corrente, ondas e vento;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Apenas boias encontradas a bordo são consideradas como remediação para possíveis problemas na configuração da instalação;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Elos de amarra de diâmetro de </a:t>
          </a:r>
          <a:r>
            <a:rPr lang="pt-PT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76mm e peso de 109kg/m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na água são considerados como remediação para possíveis problemas na configuração da instalação;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distância horizontal entre o cabo de sustentação do MCV e o cabo ligado à corcova do flexível foi assumida em 25 m;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O centro de empuxo é considerado na mesma posição do centro de gravidade do MCV;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linha é considerada </a:t>
          </a:r>
          <a:r>
            <a:rPr lang="pt-PT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vazia;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Foi considerada a rigidez à flexão nas condições de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pt-PT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temperatura de máxima profundidade, pressão exterior hidrostática, pressão interior atmosférica e anular seco.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4</xdr:row>
          <xdr:rowOff>161925</xdr:rowOff>
        </xdr:from>
        <xdr:to>
          <xdr:col>16</xdr:col>
          <xdr:colOff>609600</xdr:colOff>
          <xdr:row>11</xdr:row>
          <xdr:rowOff>161925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C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e Importar Imagens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14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C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Importar Dados Conclusão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277211</xdr:colOff>
      <xdr:row>1</xdr:row>
      <xdr:rowOff>62078</xdr:rowOff>
    </xdr:from>
    <xdr:ext cx="1942117" cy="69039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6811" y="233528"/>
          <a:ext cx="1942117" cy="690397"/>
        </a:xfrm>
        <a:prstGeom prst="rect">
          <a:avLst/>
        </a:prstGeom>
      </xdr:spPr>
    </xdr:pic>
    <xdr:clientData/>
  </xdr:oneCellAnchor>
  <xdr:twoCellAnchor>
    <xdr:from>
      <xdr:col>6</xdr:col>
      <xdr:colOff>212085</xdr:colOff>
      <xdr:row>2</xdr:row>
      <xdr:rowOff>69633</xdr:rowOff>
    </xdr:from>
    <xdr:to>
      <xdr:col>9</xdr:col>
      <xdr:colOff>139826</xdr:colOff>
      <xdr:row>4</xdr:row>
      <xdr:rowOff>149679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 txBox="1"/>
      </xdr:nvSpPr>
      <xdr:spPr>
        <a:xfrm>
          <a:off x="3869685" y="412533"/>
          <a:ext cx="1756541" cy="4038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600" b="1">
              <a:latin typeface="+mj-lt"/>
            </a:rPr>
            <a:t>Nota Técnica</a:t>
          </a:r>
        </a:p>
      </xdr:txBody>
    </xdr:sp>
    <xdr:clientData/>
  </xdr:twoCellAnchor>
  <xdr:twoCellAnchor>
    <xdr:from>
      <xdr:col>23</xdr:col>
      <xdr:colOff>288562</xdr:colOff>
      <xdr:row>2</xdr:row>
      <xdr:rowOff>106511</xdr:rowOff>
    </xdr:from>
    <xdr:to>
      <xdr:col>26</xdr:col>
      <xdr:colOff>0</xdr:colOff>
      <xdr:row>4</xdr:row>
      <xdr:rowOff>68036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SpPr txBox="1"/>
      </xdr:nvSpPr>
      <xdr:spPr>
        <a:xfrm>
          <a:off x="14309362" y="449411"/>
          <a:ext cx="1540238" cy="285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400">
              <a:latin typeface="+mn-lt"/>
            </a:rPr>
            <a:t>(Confidencial)</a:t>
          </a:r>
        </a:p>
      </xdr:txBody>
    </xdr:sp>
    <xdr:clientData/>
  </xdr:twoCellAnchor>
  <xdr:twoCellAnchor>
    <xdr:from>
      <xdr:col>7</xdr:col>
      <xdr:colOff>88352</xdr:colOff>
      <xdr:row>40</xdr:row>
      <xdr:rowOff>24996</xdr:rowOff>
    </xdr:from>
    <xdr:to>
      <xdr:col>13</xdr:col>
      <xdr:colOff>227133</xdr:colOff>
      <xdr:row>55</xdr:row>
      <xdr:rowOff>100852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SpPr txBox="1"/>
      </xdr:nvSpPr>
      <xdr:spPr>
        <a:xfrm>
          <a:off x="4324176" y="6367525"/>
          <a:ext cx="3769486" cy="242909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análise realizada é dinâmica, porém não são considerados efeitos de corrente, ondas e vento;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Apenas boias encontradas a bordo são consideradas como remediação para possíveis problemas na configuração da instalação;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Elos de amarra de diâmetro de </a:t>
          </a:r>
          <a:r>
            <a:rPr lang="pt-PT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76mm e peso de 109kg/m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na água são considerados como remediação para possíveis problemas na configuração da instalação;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distância horizontal entre o cabo de sustentação do MCV e o cabo ligado à corcova do flexível foi assumida em 25 m;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O centro de empuxo é considerado na mesma posição do centro de gravidade do MCV;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linha é considerada </a:t>
          </a:r>
          <a:r>
            <a:rPr lang="pt-PT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vazia;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Foi considerada a rigidez à flexão nas condições de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pt-PT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temperatura de máxima profundidade, pressão exterior hidrostática, pressão interior atmosférica e anular seco.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85725</xdr:colOff>
          <xdr:row>8</xdr:row>
          <xdr:rowOff>19050</xdr:rowOff>
        </xdr:from>
        <xdr:to>
          <xdr:col>33</xdr:col>
          <xdr:colOff>19050</xdr:colOff>
          <xdr:row>15</xdr:row>
          <xdr:rowOff>19050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D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e Importar Imagens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85725</xdr:colOff>
          <xdr:row>17</xdr:row>
          <xdr:rowOff>28575</xdr:rowOff>
        </xdr:from>
        <xdr:to>
          <xdr:col>32</xdr:col>
          <xdr:colOff>600075</xdr:colOff>
          <xdr:row>24</xdr:row>
          <xdr:rowOff>85725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D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Importar Dados Conclusão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6D1AF3-6749-4AE2-8399-B74E7D4D9DA4}" name="tab_values_get_values_from_rt" displayName="tab_values_get_values_from_rt" ref="Z2:AC47" totalsRowShown="0" headerRowDxfId="276" headerRowBorderDxfId="275" tableBorderDxfId="274" totalsRowBorderDxfId="273">
  <autoFilter ref="Z2:AC47" xr:uid="{5A6D1AF3-6749-4AE2-8399-B74E7D4D9DA4}"/>
  <tableColumns count="4">
    <tableColumn id="1" xr3:uid="{E6578463-229C-4268-99EB-1B35E6F66BDF}" name="Descrição" dataDxfId="272" dataCellStyle="Normal 9"/>
    <tableColumn id="2" xr3:uid="{B4D920DD-B269-4A5F-9520-7B9BBD5CF01A}" name="De" dataDxfId="271" dataCellStyle="Normal 9"/>
    <tableColumn id="3" xr3:uid="{794616BD-8035-49CC-A8DA-B36FD8D7D653}" name="Aba" dataDxfId="270" dataCellStyle="Normal 9"/>
    <tableColumn id="4" xr3:uid="{2888ED87-BB5C-4374-82C2-75C4C6788E7F}" name="Para" dataDxfId="269" dataCellStyle="Normal 9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1B201E2-04A9-47B4-8BD6-C434A82A12C8}" name="tab_new_bs_curve_lan" displayName="tab_new_bs_curve_lan" ref="F17:G57" totalsRowShown="0" headerRowDxfId="268" headerRowBorderDxfId="267" tableBorderDxfId="266" headerRowCellStyle="Normal 2">
  <autoFilter ref="F17:G57" xr:uid="{21B201E2-04A9-47B4-8BD6-C434A82A12C8}"/>
  <tableColumns count="2">
    <tableColumn id="1" xr3:uid="{4F99C78C-B603-4C89-B741-259F9A98641B}" name="IndependentValue" dataDxfId="265"/>
    <tableColumn id="2" xr3:uid="{979F8B6B-435A-4D64-97E9-34460D59EFA5}" name="DependentValue" dataDxfId="264" dataCellStyle="Normal 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712883E-BA1C-4C6F-B0E2-BF6BEB9C383E}" name="tab_new_bs_curve_hid" displayName="tab_new_bs_curve_hid" ref="M17:N57" totalsRowShown="0" headerRowDxfId="263" headerRowBorderDxfId="262" tableBorderDxfId="261" headerRowCellStyle="Normal 2">
  <autoFilter ref="M17:N57" xr:uid="{7712883E-BA1C-4C6F-B0E2-BF6BEB9C383E}"/>
  <tableColumns count="2">
    <tableColumn id="1" xr3:uid="{B2E94BD0-B7EF-4EB0-B5D0-D62DC35B30B5}" name="IndependentValue" dataDxfId="260"/>
    <tableColumn id="2" xr3:uid="{D10F628A-D36C-4CBB-A346-ADDB69704EAD}" name="DependentValue" dataDxfId="259" dataCellStyle="Normal 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A15E28E-DD93-4176-B0AD-C6AB60BBAA71}" name="tab_new_bs_curve_ope" displayName="tab_new_bs_curve_ope" ref="T17:U57" totalsRowShown="0" headerRowDxfId="258" headerRowBorderDxfId="257" tableBorderDxfId="256" headerRowCellStyle="Normal 2">
  <autoFilter ref="T17:U57" xr:uid="{7A15E28E-DD93-4176-B0AD-C6AB60BBAA71}"/>
  <tableColumns count="2">
    <tableColumn id="1" xr3:uid="{188EDCF1-1458-4ECF-803A-8AC45944AE6A}" name="IndependentValue" dataDxfId="255"/>
    <tableColumn id="2" xr3:uid="{07D236F5-0513-4C99-8657-FAFED9EE4B93}" name="DependentValue" dataDxfId="254" dataCellStyle="Normal 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4F2EAFB-7C2D-4EB5-9031-723075000E0D}" name="tab_bs_bend_restrictor" displayName="tab_bs_bend_restrictor" ref="W17:X20" totalsRowShown="0" headerRowDxfId="253" headerRowBorderDxfId="252" tableBorderDxfId="251" headerRowCellStyle="Normal 2">
  <autoFilter ref="W17:X20" xr:uid="{84F2EAFB-7C2D-4EB5-9031-723075000E0D}"/>
  <tableColumns count="2">
    <tableColumn id="1" xr3:uid="{75B8ECF0-829C-4DFA-8337-EF71791B1A0B}" name="IndependentValue"/>
    <tableColumn id="2" xr3:uid="{B9C6947C-730A-4D1D-BB84-69652B7AC889}" name="DependentValue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DB06F4C-C7A1-4C90-BB0F-E5B8F430B9D0}" name="tab_original_bs_curve_lan" displayName="tab_original_bs_curve_lan" ref="B17:D1267" totalsRowShown="0" headerRowBorderDxfId="250" tableBorderDxfId="249">
  <autoFilter ref="B17:D1267" xr:uid="{FDB06F4C-C7A1-4C90-BB0F-E5B8F430B9D0}"/>
  <tableColumns count="3">
    <tableColumn id="1" xr3:uid="{85A0647E-33CF-4843-97BE-D3D0A946CE6A}" name="Curvature _x000a_[1/m]" dataDxfId="248" dataCellStyle="Normal 2 10"/>
    <tableColumn id="2" xr3:uid="{477A6253-F977-4937-A358-B60590EB1D1D}" name="BM _x000a_[N.m]" dataDxfId="247" dataCellStyle="Normal 2 10"/>
    <tableColumn id="3" xr3:uid="{CF80DF08-8E31-4734-9B81-F0FAD68FE41D}" name="BM _x000a_[kN.m]" dataDxfId="246" dataCellStyle="Normal 2">
      <calculatedColumnFormula>C18/1000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779F542-C7EC-4356-814C-588629F033C3}" name="tab_original_bs_curve_hid" displayName="tab_original_bs_curve_hid" ref="I17:K1267" totalsRowShown="0" tableBorderDxfId="245">
  <autoFilter ref="I17:K1267" xr:uid="{1779F542-C7EC-4356-814C-588629F033C3}"/>
  <tableColumns count="3">
    <tableColumn id="1" xr3:uid="{2EB731C5-8A0B-4149-856E-33D13346EE4C}" name="Curvature _x000a_[1/m]" dataDxfId="244" dataCellStyle="Normal 2 10"/>
    <tableColumn id="2" xr3:uid="{B3A67AF3-8E3A-42C6-A495-A72FCDDBC24C}" name="BM _x000a_[N.m]" dataDxfId="243" dataCellStyle="Normal 2 10"/>
    <tableColumn id="3" xr3:uid="{DA412758-B79D-4EE0-96A2-AD23794F0DBD}" name="BM _x000a_[kN.m]" dataDxfId="242" dataCellStyle="Normal 2">
      <calculatedColumnFormula>J18/1000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DA78353-4D2C-45C3-82AD-05CFB86E95E5}" name="tab_original_bs_curve_ope" displayName="tab_original_bs_curve_ope" ref="P17:R1267" totalsRowShown="0" headerRowBorderDxfId="241" tableBorderDxfId="240">
  <autoFilter ref="P17:R1267" xr:uid="{ADA78353-4D2C-45C3-82AD-05CFB86E95E5}"/>
  <tableColumns count="3">
    <tableColumn id="1" xr3:uid="{DC2B636C-167A-4F9C-9A66-B4FDF44909FE}" name="Curvature _x000a_[1/m]" dataDxfId="239" dataCellStyle="Normal 2 10"/>
    <tableColumn id="2" xr3:uid="{A67605FC-59DC-4787-BEE1-5A1B5E84F5E1}" name="BM _x000a_[N.m]" dataDxfId="238" dataCellStyle="Normal 2 10"/>
    <tableColumn id="3" xr3:uid="{0D179C8D-DEA5-44DC-8DE4-4DB1678354DA}" name="BM _x000a_[kN.m]" dataDxfId="237" dataCellStyle="Normal 2">
      <calculatedColumnFormula>Q18/1000</calculatedColumnFormula>
    </tableColumn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8A9DCD5-6E92-45F0-9DF6-D6D2E96A69D3}" name="tab_buoyancy" displayName="tab_buoyancy" ref="AA5:AB55" totalsRowShown="0" headerRowDxfId="236" dataDxfId="234" headerRowBorderDxfId="235" tableBorderDxfId="233" totalsRowBorderDxfId="232">
  <autoFilter ref="AA5:AB55" xr:uid="{9E5DC681-28D6-4633-A8CE-BA675902198D}"/>
  <tableColumns count="2">
    <tableColumn id="1" xr3:uid="{EEFEDFA0-3ABA-44EB-ACFF-93085B1DB3AC}" name="Empuxo" dataDxfId="231" dataCellStyle="Normal 2 10">
      <calculatedColumnFormula>Auxiliar2!AK2</calculatedColumnFormula>
    </tableColumn>
    <tableColumn id="2" xr3:uid="{AEF50034-1E9A-4675-86B1-B8CA61B8C306}" name="Posição em relação ao flange [m]" dataDxfId="230" dataCellStyle="Normal 2 10">
      <calculatedColumnFormula>Auxiliar2!AL2</calculatedColumnFormula>
    </tableColumn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_esforcos" displayName="tab_esforcos" ref="G7:K51" totalsRowShown="0" headerRowDxfId="229" dataDxfId="227" headerRowBorderDxfId="228" tableBorderDxfId="226">
  <autoFilter ref="G7:K51" xr:uid="{00000000-0009-0000-0100-000001000000}"/>
  <tableColumns count="5">
    <tableColumn id="1" xr3:uid="{00000000-0010-0000-0000-000001000000}" name="Valor" dataDxfId="225">
      <calculatedColumnFormula>VALUE(LEFT(F8,SEARCH(" ",F8)-1))</calculatedColumnFormula>
    </tableColumn>
    <tableColumn id="6" xr3:uid="{60B23DED-7FFF-4A6E-A781-12AF78693BB0}" name="Tração" dataDxfId="224"/>
    <tableColumn id="2" xr3:uid="{00000000-0010-0000-0000-000002000000}" name="Cortante" dataDxfId="223"/>
    <tableColumn id="4" xr3:uid="{00000000-0010-0000-0000-000004000000}" name="M. Fletor" dataDxfId="222"/>
    <tableColumn id="5" xr3:uid="{00000000-0010-0000-0000-000005000000}" name="Verificação" dataDxfId="221">
      <calculatedColumnFormula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11" Type="http://schemas.openxmlformats.org/officeDocument/2006/relationships/comments" Target="../comments3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9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0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6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7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8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I137"/>
  <sheetViews>
    <sheetView zoomScale="80" zoomScaleNormal="80" workbookViewId="0">
      <selection sqref="A1:F1"/>
    </sheetView>
  </sheetViews>
  <sheetFormatPr defaultColWidth="0" defaultRowHeight="18" customHeight="1" x14ac:dyDescent="0.2"/>
  <cols>
    <col min="1" max="5" width="16.7109375" style="576" customWidth="1"/>
    <col min="6" max="6" width="50.7109375" style="576" customWidth="1"/>
    <col min="7" max="7" width="1.7109375" style="576" customWidth="1"/>
    <col min="8" max="16384" width="9.140625" style="576" hidden="1"/>
  </cols>
  <sheetData>
    <row r="1" spans="1:7" s="577" customFormat="1" ht="18" customHeight="1" x14ac:dyDescent="0.2">
      <c r="A1" s="783" t="s">
        <v>0</v>
      </c>
      <c r="B1" s="783"/>
      <c r="C1" s="783"/>
      <c r="D1" s="783"/>
      <c r="E1" s="783"/>
      <c r="F1" s="783"/>
      <c r="G1" s="576"/>
    </row>
    <row r="2" spans="1:7" s="577" customFormat="1" ht="15" x14ac:dyDescent="0.2">
      <c r="A2" s="578" t="s">
        <v>1</v>
      </c>
      <c r="B2" s="579" t="s">
        <v>2</v>
      </c>
      <c r="C2" s="580" t="s">
        <v>3</v>
      </c>
      <c r="D2" s="579" t="s">
        <v>4</v>
      </c>
      <c r="E2" s="579" t="s">
        <v>5</v>
      </c>
      <c r="F2" s="579" t="s">
        <v>6</v>
      </c>
      <c r="G2" s="576"/>
    </row>
    <row r="3" spans="1:7" s="577" customFormat="1" ht="18" customHeight="1" x14ac:dyDescent="0.2">
      <c r="A3" s="581">
        <v>1</v>
      </c>
      <c r="B3" s="582"/>
      <c r="C3" s="583" t="s">
        <v>7</v>
      </c>
      <c r="D3" s="584"/>
      <c r="E3" s="584"/>
      <c r="F3" s="585" t="s">
        <v>8</v>
      </c>
      <c r="G3" s="576"/>
    </row>
    <row r="4" spans="1:7" s="577" customFormat="1" ht="18" customHeight="1" x14ac:dyDescent="0.2">
      <c r="A4" s="581">
        <v>2</v>
      </c>
      <c r="B4" s="586">
        <v>42850</v>
      </c>
      <c r="C4" s="581" t="s">
        <v>9</v>
      </c>
      <c r="D4" s="581" t="s">
        <v>10</v>
      </c>
      <c r="E4" s="581" t="s">
        <v>7</v>
      </c>
      <c r="F4" s="581" t="s">
        <v>11</v>
      </c>
      <c r="G4" s="576"/>
    </row>
    <row r="5" spans="1:7" s="577" customFormat="1" ht="18" customHeight="1" x14ac:dyDescent="0.2">
      <c r="A5" s="587">
        <v>3</v>
      </c>
      <c r="B5" s="588">
        <v>42916</v>
      </c>
      <c r="C5" s="587" t="s">
        <v>9</v>
      </c>
      <c r="D5" s="587"/>
      <c r="E5" s="587"/>
      <c r="F5" s="587" t="s">
        <v>12</v>
      </c>
      <c r="G5" s="576"/>
    </row>
    <row r="6" spans="1:7" s="577" customFormat="1" ht="18" customHeight="1" x14ac:dyDescent="0.2">
      <c r="A6" s="587">
        <v>4</v>
      </c>
      <c r="B6" s="588">
        <v>42942</v>
      </c>
      <c r="C6" s="587" t="s">
        <v>9</v>
      </c>
      <c r="D6" s="587"/>
      <c r="E6" s="587"/>
      <c r="F6" s="587" t="s">
        <v>12</v>
      </c>
      <c r="G6" s="576"/>
    </row>
    <row r="7" spans="1:7" s="577" customFormat="1" ht="18" customHeight="1" x14ac:dyDescent="0.2">
      <c r="A7" s="587">
        <v>5</v>
      </c>
      <c r="B7" s="588">
        <v>43000</v>
      </c>
      <c r="C7" s="587" t="s">
        <v>13</v>
      </c>
      <c r="D7" s="587"/>
      <c r="E7" s="587"/>
      <c r="F7" s="587" t="s">
        <v>12</v>
      </c>
      <c r="G7" s="576"/>
    </row>
    <row r="8" spans="1:7" s="577" customFormat="1" ht="18" customHeight="1" x14ac:dyDescent="0.2">
      <c r="A8" s="587">
        <v>6</v>
      </c>
      <c r="B8" s="588">
        <v>42942</v>
      </c>
      <c r="C8" s="587" t="s">
        <v>9</v>
      </c>
      <c r="D8" s="587"/>
      <c r="E8" s="587"/>
      <c r="F8" s="587" t="s">
        <v>12</v>
      </c>
      <c r="G8" s="576"/>
    </row>
    <row r="9" spans="1:7" s="577" customFormat="1" ht="18" customHeight="1" x14ac:dyDescent="0.2">
      <c r="A9" s="587">
        <v>7</v>
      </c>
      <c r="B9" s="588">
        <v>43160</v>
      </c>
      <c r="C9" s="587" t="s">
        <v>14</v>
      </c>
      <c r="D9" s="587"/>
      <c r="E9" s="587"/>
      <c r="F9" s="587" t="s">
        <v>12</v>
      </c>
      <c r="G9" s="576"/>
    </row>
    <row r="10" spans="1:7" s="577" customFormat="1" ht="18" customHeight="1" x14ac:dyDescent="0.2">
      <c r="A10" s="587">
        <v>8</v>
      </c>
      <c r="B10" s="588">
        <v>43452</v>
      </c>
      <c r="C10" s="587" t="s">
        <v>14</v>
      </c>
      <c r="D10" s="587"/>
      <c r="E10" s="587"/>
      <c r="F10" s="587" t="s">
        <v>12</v>
      </c>
      <c r="G10" s="576"/>
    </row>
    <row r="11" spans="1:7" ht="18" customHeight="1" x14ac:dyDescent="0.2">
      <c r="A11" s="587">
        <v>9</v>
      </c>
      <c r="B11" s="588">
        <v>44683</v>
      </c>
      <c r="C11" s="587" t="s">
        <v>15</v>
      </c>
      <c r="D11" s="587"/>
      <c r="E11" s="587"/>
      <c r="F11" s="587" t="s">
        <v>12</v>
      </c>
    </row>
    <row r="12" spans="1:7" ht="18" customHeight="1" x14ac:dyDescent="0.2">
      <c r="A12" s="587">
        <v>10</v>
      </c>
      <c r="B12" s="588" t="s">
        <v>16</v>
      </c>
      <c r="C12" s="587" t="s">
        <v>16</v>
      </c>
      <c r="D12" s="587" t="s">
        <v>16</v>
      </c>
      <c r="E12" s="587" t="s">
        <v>16</v>
      </c>
      <c r="F12" s="587" t="s">
        <v>12</v>
      </c>
    </row>
    <row r="13" spans="1:7" ht="18" customHeight="1" x14ac:dyDescent="0.2">
      <c r="A13" s="587">
        <v>11</v>
      </c>
      <c r="B13" s="588">
        <v>45291</v>
      </c>
      <c r="C13" s="587" t="s">
        <v>17</v>
      </c>
      <c r="D13" s="587"/>
      <c r="E13" s="587"/>
      <c r="F13" s="587" t="s">
        <v>12</v>
      </c>
    </row>
    <row r="14" spans="1:7" ht="18" customHeight="1" x14ac:dyDescent="0.2">
      <c r="A14" s="587">
        <v>12</v>
      </c>
      <c r="B14" s="588">
        <v>45349</v>
      </c>
      <c r="C14" s="587" t="s">
        <v>18</v>
      </c>
      <c r="D14" s="587"/>
      <c r="E14" s="587"/>
      <c r="F14" s="587" t="s">
        <v>12</v>
      </c>
    </row>
    <row r="15" spans="1:7" ht="18" customHeight="1" x14ac:dyDescent="0.2">
      <c r="A15" s="587" t="s">
        <v>19</v>
      </c>
      <c r="B15" s="588">
        <v>45439</v>
      </c>
      <c r="C15" s="587" t="s">
        <v>20</v>
      </c>
      <c r="D15" s="587"/>
      <c r="E15" s="587"/>
      <c r="F15" s="587" t="s">
        <v>12</v>
      </c>
    </row>
    <row r="16" spans="1:7" ht="18" customHeight="1" x14ac:dyDescent="0.2">
      <c r="A16" s="587" t="s">
        <v>21</v>
      </c>
      <c r="B16" s="588">
        <v>45483</v>
      </c>
      <c r="C16" s="587" t="s">
        <v>22</v>
      </c>
      <c r="D16" s="587" t="s">
        <v>20</v>
      </c>
      <c r="E16" s="587"/>
      <c r="F16" s="587" t="s">
        <v>12</v>
      </c>
    </row>
    <row r="17" spans="1:6" ht="18" customHeight="1" x14ac:dyDescent="0.2">
      <c r="A17" s="587" t="s">
        <v>23</v>
      </c>
      <c r="B17" s="588">
        <v>45530</v>
      </c>
      <c r="C17" s="587" t="s">
        <v>24</v>
      </c>
      <c r="D17" s="587" t="s">
        <v>20</v>
      </c>
      <c r="E17" s="587"/>
      <c r="F17" s="587" t="s">
        <v>12</v>
      </c>
    </row>
    <row r="18" spans="1:6" ht="18" customHeight="1" x14ac:dyDescent="0.2">
      <c r="A18" s="587" t="s">
        <v>1601</v>
      </c>
      <c r="B18" s="588">
        <v>45643</v>
      </c>
      <c r="C18" s="587" t="s">
        <v>20</v>
      </c>
      <c r="D18" s="587"/>
      <c r="E18" s="587"/>
      <c r="F18" s="587" t="s">
        <v>12</v>
      </c>
    </row>
    <row r="19" spans="1:6" ht="18" customHeight="1" x14ac:dyDescent="0.2">
      <c r="A19" s="587" t="s">
        <v>1670</v>
      </c>
      <c r="B19" s="588">
        <v>45700</v>
      </c>
      <c r="C19" s="587" t="s">
        <v>20</v>
      </c>
      <c r="D19" s="587"/>
      <c r="E19" s="587"/>
      <c r="F19" s="587" t="s">
        <v>12</v>
      </c>
    </row>
    <row r="20" spans="1:6" ht="18" customHeight="1" x14ac:dyDescent="0.2">
      <c r="A20" s="589"/>
      <c r="B20" s="590"/>
      <c r="C20" s="589"/>
      <c r="D20" s="589"/>
      <c r="E20" s="589"/>
      <c r="F20" s="589"/>
    </row>
    <row r="21" spans="1:6" ht="18" customHeight="1" x14ac:dyDescent="0.2">
      <c r="A21" s="783" t="s">
        <v>1671</v>
      </c>
      <c r="B21" s="783"/>
      <c r="C21" s="783"/>
      <c r="D21" s="783"/>
      <c r="E21" s="783"/>
      <c r="F21" s="783"/>
    </row>
    <row r="22" spans="1:6" ht="18" customHeight="1" x14ac:dyDescent="0.2">
      <c r="A22" s="780" t="s">
        <v>2183</v>
      </c>
      <c r="B22" s="784"/>
      <c r="C22" s="784"/>
      <c r="D22" s="784"/>
      <c r="E22" s="784"/>
      <c r="F22" s="785"/>
    </row>
    <row r="23" spans="1:6" ht="18" customHeight="1" x14ac:dyDescent="0.2">
      <c r="A23" s="780" t="s">
        <v>2184</v>
      </c>
      <c r="B23" s="784"/>
      <c r="C23" s="784"/>
      <c r="D23" s="784"/>
      <c r="E23" s="784"/>
      <c r="F23" s="785"/>
    </row>
    <row r="24" spans="1:6" ht="18" customHeight="1" x14ac:dyDescent="0.2">
      <c r="A24" s="780" t="s">
        <v>2179</v>
      </c>
      <c r="B24" s="784"/>
      <c r="C24" s="784"/>
      <c r="D24" s="784"/>
      <c r="E24" s="784"/>
      <c r="F24" s="785"/>
    </row>
    <row r="25" spans="1:6" ht="18" customHeight="1" x14ac:dyDescent="0.2">
      <c r="A25" s="780" t="s">
        <v>2177</v>
      </c>
      <c r="B25" s="781"/>
      <c r="C25" s="781"/>
      <c r="D25" s="781"/>
      <c r="E25" s="781"/>
      <c r="F25" s="782"/>
    </row>
    <row r="26" spans="1:6" ht="18" customHeight="1" x14ac:dyDescent="0.2">
      <c r="A26" s="780" t="s">
        <v>2185</v>
      </c>
      <c r="B26" s="781"/>
      <c r="C26" s="781"/>
      <c r="D26" s="781"/>
      <c r="E26" s="781"/>
      <c r="F26" s="782"/>
    </row>
    <row r="27" spans="1:6" ht="18" customHeight="1" x14ac:dyDescent="0.2">
      <c r="A27" s="780" t="s">
        <v>1774</v>
      </c>
      <c r="B27" s="781"/>
      <c r="C27" s="781"/>
      <c r="D27" s="781"/>
      <c r="E27" s="781"/>
      <c r="F27" s="782"/>
    </row>
    <row r="28" spans="1:6" ht="18" customHeight="1" x14ac:dyDescent="0.2">
      <c r="A28" s="780" t="s">
        <v>2182</v>
      </c>
      <c r="B28" s="781"/>
      <c r="C28" s="781"/>
      <c r="D28" s="781"/>
      <c r="E28" s="781"/>
      <c r="F28" s="782"/>
    </row>
    <row r="29" spans="1:6" ht="18" customHeight="1" x14ac:dyDescent="0.2">
      <c r="A29" s="780" t="s">
        <v>2186</v>
      </c>
      <c r="B29" s="781"/>
      <c r="C29" s="781"/>
      <c r="D29" s="781"/>
      <c r="E29" s="781"/>
      <c r="F29" s="782"/>
    </row>
    <row r="30" spans="1:6" ht="18" customHeight="1" x14ac:dyDescent="0.2">
      <c r="A30" s="780" t="s">
        <v>1775</v>
      </c>
      <c r="B30" s="781"/>
      <c r="C30" s="781"/>
      <c r="D30" s="781"/>
      <c r="E30" s="781"/>
      <c r="F30" s="782"/>
    </row>
    <row r="31" spans="1:6" ht="18" customHeight="1" x14ac:dyDescent="0.2">
      <c r="A31" s="780" t="s">
        <v>1776</v>
      </c>
      <c r="B31" s="781"/>
      <c r="C31" s="781"/>
      <c r="D31" s="781"/>
      <c r="E31" s="781"/>
      <c r="F31" s="782"/>
    </row>
    <row r="32" spans="1:6" ht="18" customHeight="1" x14ac:dyDescent="0.2">
      <c r="A32" s="780" t="s">
        <v>1777</v>
      </c>
      <c r="B32" s="781"/>
      <c r="C32" s="781"/>
      <c r="D32" s="781"/>
      <c r="E32" s="781"/>
      <c r="F32" s="782"/>
    </row>
    <row r="33" spans="1:9" ht="18" customHeight="1" x14ac:dyDescent="0.2">
      <c r="A33" s="780" t="s">
        <v>2178</v>
      </c>
      <c r="B33" s="781"/>
      <c r="C33" s="781"/>
      <c r="D33" s="781"/>
      <c r="E33" s="781"/>
      <c r="F33" s="782"/>
    </row>
    <row r="34" spans="1:9" ht="18" customHeight="1" x14ac:dyDescent="0.2">
      <c r="A34" s="780" t="s">
        <v>2180</v>
      </c>
      <c r="B34" s="781"/>
      <c r="C34" s="781"/>
      <c r="D34" s="781"/>
      <c r="E34" s="781"/>
      <c r="F34" s="782"/>
    </row>
    <row r="35" spans="1:9" ht="18" customHeight="1" x14ac:dyDescent="0.2">
      <c r="A35" s="780" t="s">
        <v>2181</v>
      </c>
      <c r="B35" s="781"/>
      <c r="C35" s="781"/>
      <c r="D35" s="781"/>
      <c r="E35" s="781"/>
      <c r="F35" s="782"/>
    </row>
    <row r="36" spans="1:9" ht="18" customHeight="1" x14ac:dyDescent="0.2">
      <c r="A36" s="591"/>
      <c r="B36" s="592"/>
      <c r="C36" s="592"/>
      <c r="D36" s="592"/>
      <c r="E36" s="592"/>
      <c r="F36" s="593"/>
    </row>
    <row r="37" spans="1:9" ht="18" customHeight="1" x14ac:dyDescent="0.2">
      <c r="A37" s="783" t="s">
        <v>1600</v>
      </c>
      <c r="B37" s="783"/>
      <c r="C37" s="783"/>
      <c r="D37" s="783"/>
      <c r="E37" s="783"/>
      <c r="F37" s="783"/>
    </row>
    <row r="38" spans="1:9" ht="18" customHeight="1" x14ac:dyDescent="0.2">
      <c r="A38" s="780" t="s">
        <v>1602</v>
      </c>
      <c r="B38" s="784"/>
      <c r="C38" s="784"/>
      <c r="D38" s="784"/>
      <c r="E38" s="784"/>
      <c r="F38" s="785"/>
    </row>
    <row r="39" spans="1:9" ht="18" customHeight="1" x14ac:dyDescent="0.2">
      <c r="A39" s="783" t="s">
        <v>25</v>
      </c>
      <c r="B39" s="783"/>
      <c r="C39" s="783"/>
      <c r="D39" s="783"/>
      <c r="E39" s="783"/>
      <c r="F39" s="783"/>
    </row>
    <row r="40" spans="1:9" ht="18" customHeight="1" x14ac:dyDescent="0.2">
      <c r="A40" s="780" t="s">
        <v>26</v>
      </c>
      <c r="B40" s="784"/>
      <c r="C40" s="784"/>
      <c r="D40" s="784"/>
      <c r="E40" s="784"/>
      <c r="F40" s="785"/>
    </row>
    <row r="41" spans="1:9" ht="18" customHeight="1" x14ac:dyDescent="0.2">
      <c r="A41" s="780" t="s">
        <v>1595</v>
      </c>
      <c r="B41" s="781"/>
      <c r="C41" s="781"/>
      <c r="D41" s="781"/>
      <c r="E41" s="781"/>
      <c r="F41" s="782"/>
      <c r="G41" s="594"/>
      <c r="H41" s="595"/>
      <c r="I41" s="596"/>
    </row>
    <row r="42" spans="1:9" ht="18" customHeight="1" x14ac:dyDescent="0.2">
      <c r="A42" s="783" t="s">
        <v>27</v>
      </c>
      <c r="B42" s="783"/>
      <c r="C42" s="783"/>
      <c r="D42" s="783"/>
      <c r="E42" s="783"/>
      <c r="F42" s="783"/>
    </row>
    <row r="43" spans="1:9" ht="18" customHeight="1" x14ac:dyDescent="0.2">
      <c r="A43" s="786" t="s">
        <v>28</v>
      </c>
      <c r="B43" s="786"/>
      <c r="C43" s="786"/>
      <c r="D43" s="786"/>
      <c r="E43" s="786"/>
      <c r="F43" s="786"/>
    </row>
    <row r="44" spans="1:9" ht="18" customHeight="1" x14ac:dyDescent="0.2">
      <c r="A44" s="786" t="s">
        <v>29</v>
      </c>
      <c r="B44" s="786"/>
      <c r="C44" s="786"/>
      <c r="D44" s="786"/>
      <c r="E44" s="786"/>
      <c r="F44" s="786"/>
    </row>
    <row r="45" spans="1:9" ht="18" customHeight="1" x14ac:dyDescent="0.2">
      <c r="A45" s="786" t="s">
        <v>30</v>
      </c>
      <c r="B45" s="786"/>
      <c r="C45" s="786"/>
      <c r="D45" s="786"/>
      <c r="E45" s="786"/>
      <c r="F45" s="786"/>
    </row>
    <row r="46" spans="1:9" ht="18" customHeight="1" x14ac:dyDescent="0.2">
      <c r="A46" s="786" t="s">
        <v>31</v>
      </c>
      <c r="B46" s="786"/>
      <c r="C46" s="786"/>
      <c r="D46" s="786"/>
      <c r="E46" s="786"/>
      <c r="F46" s="786"/>
    </row>
    <row r="47" spans="1:9" ht="18" customHeight="1" x14ac:dyDescent="0.2">
      <c r="A47" s="780" t="s">
        <v>32</v>
      </c>
      <c r="B47" s="781"/>
      <c r="C47" s="781"/>
      <c r="D47" s="781"/>
      <c r="E47" s="781"/>
      <c r="F47" s="782"/>
    </row>
    <row r="48" spans="1:9" ht="18" customHeight="1" x14ac:dyDescent="0.2">
      <c r="A48" s="780" t="s">
        <v>33</v>
      </c>
      <c r="B48" s="781"/>
      <c r="C48" s="781"/>
      <c r="D48" s="781"/>
      <c r="E48" s="781"/>
      <c r="F48" s="782"/>
    </row>
    <row r="49" spans="1:7" ht="18" customHeight="1" x14ac:dyDescent="0.2">
      <c r="A49" s="783" t="s">
        <v>34</v>
      </c>
      <c r="B49" s="783"/>
      <c r="C49" s="783"/>
      <c r="D49" s="783"/>
      <c r="E49" s="783"/>
      <c r="F49" s="783"/>
    </row>
    <row r="50" spans="1:7" ht="18" customHeight="1" x14ac:dyDescent="0.2">
      <c r="A50" s="780" t="s">
        <v>35</v>
      </c>
      <c r="B50" s="784"/>
      <c r="C50" s="784"/>
      <c r="D50" s="784"/>
      <c r="E50" s="784"/>
      <c r="F50" s="785"/>
    </row>
    <row r="51" spans="1:7" ht="18" customHeight="1" x14ac:dyDescent="0.2">
      <c r="A51" s="783" t="s">
        <v>36</v>
      </c>
      <c r="B51" s="783"/>
      <c r="C51" s="783"/>
      <c r="D51" s="783"/>
      <c r="E51" s="783"/>
      <c r="F51" s="783"/>
    </row>
    <row r="52" spans="1:7" ht="18" customHeight="1" x14ac:dyDescent="0.2">
      <c r="A52" s="780" t="s">
        <v>37</v>
      </c>
      <c r="B52" s="784"/>
      <c r="C52" s="784"/>
      <c r="D52" s="784"/>
      <c r="E52" s="784"/>
      <c r="F52" s="785"/>
    </row>
    <row r="53" spans="1:7" ht="18" customHeight="1" x14ac:dyDescent="0.2">
      <c r="A53" s="780" t="s">
        <v>38</v>
      </c>
      <c r="B53" s="781"/>
      <c r="C53" s="781"/>
      <c r="D53" s="781"/>
      <c r="E53" s="781"/>
      <c r="F53" s="782"/>
    </row>
    <row r="54" spans="1:7" s="577" customFormat="1" ht="18" customHeight="1" x14ac:dyDescent="0.2">
      <c r="A54" s="783" t="s">
        <v>39</v>
      </c>
      <c r="B54" s="783"/>
      <c r="C54" s="783"/>
      <c r="D54" s="783"/>
      <c r="E54" s="783"/>
      <c r="F54" s="783"/>
      <c r="G54" s="576"/>
    </row>
    <row r="55" spans="1:7" s="577" customFormat="1" ht="18" customHeight="1" x14ac:dyDescent="0.2">
      <c r="A55" s="780" t="s">
        <v>40</v>
      </c>
      <c r="B55" s="784"/>
      <c r="C55" s="784"/>
      <c r="D55" s="784"/>
      <c r="E55" s="784"/>
      <c r="F55" s="785"/>
      <c r="G55" s="576"/>
    </row>
    <row r="56" spans="1:7" s="577" customFormat="1" ht="18" customHeight="1" x14ac:dyDescent="0.2">
      <c r="A56" s="780" t="s">
        <v>41</v>
      </c>
      <c r="B56" s="781"/>
      <c r="C56" s="781"/>
      <c r="D56" s="781"/>
      <c r="E56" s="781"/>
      <c r="F56" s="782"/>
      <c r="G56" s="576"/>
    </row>
    <row r="57" spans="1:7" s="577" customFormat="1" ht="18" customHeight="1" x14ac:dyDescent="0.2">
      <c r="A57" s="780" t="s">
        <v>42</v>
      </c>
      <c r="B57" s="781"/>
      <c r="C57" s="781"/>
      <c r="D57" s="781"/>
      <c r="E57" s="781"/>
      <c r="F57" s="782"/>
      <c r="G57" s="576"/>
    </row>
    <row r="58" spans="1:7" s="598" customFormat="1" ht="18" customHeight="1" x14ac:dyDescent="0.2">
      <c r="A58" s="788" t="s">
        <v>43</v>
      </c>
      <c r="B58" s="789"/>
      <c r="C58" s="789"/>
      <c r="D58" s="789"/>
      <c r="E58" s="789"/>
      <c r="F58" s="790"/>
      <c r="G58" s="597"/>
    </row>
    <row r="59" spans="1:7" s="577" customFormat="1" ht="18" customHeight="1" x14ac:dyDescent="0.2">
      <c r="A59" s="791" t="s">
        <v>44</v>
      </c>
      <c r="B59" s="792"/>
      <c r="C59" s="792"/>
      <c r="D59" s="792"/>
      <c r="E59" s="792"/>
      <c r="F59" s="793"/>
      <c r="G59" s="576"/>
    </row>
    <row r="60" spans="1:7" s="577" customFormat="1" ht="18" customHeight="1" x14ac:dyDescent="0.2">
      <c r="A60" s="788" t="s">
        <v>45</v>
      </c>
      <c r="B60" s="789"/>
      <c r="C60" s="789"/>
      <c r="D60" s="789"/>
      <c r="E60" s="789"/>
      <c r="F60" s="790"/>
      <c r="G60" s="576"/>
    </row>
    <row r="61" spans="1:7" s="577" customFormat="1" ht="18" customHeight="1" x14ac:dyDescent="0.2">
      <c r="A61" s="788" t="s">
        <v>46</v>
      </c>
      <c r="B61" s="789"/>
      <c r="C61" s="789"/>
      <c r="D61" s="789"/>
      <c r="E61" s="789"/>
      <c r="F61" s="790"/>
      <c r="G61" s="576"/>
    </row>
    <row r="62" spans="1:7" s="577" customFormat="1" ht="18" customHeight="1" x14ac:dyDescent="0.2">
      <c r="A62" s="788" t="s">
        <v>47</v>
      </c>
      <c r="B62" s="789"/>
      <c r="C62" s="789"/>
      <c r="D62" s="789"/>
      <c r="E62" s="789"/>
      <c r="F62" s="790"/>
      <c r="G62" s="576"/>
    </row>
    <row r="63" spans="1:7" s="577" customFormat="1" ht="18" customHeight="1" x14ac:dyDescent="0.2">
      <c r="A63" s="788" t="s">
        <v>48</v>
      </c>
      <c r="B63" s="789"/>
      <c r="C63" s="789"/>
      <c r="D63" s="789"/>
      <c r="E63" s="789"/>
      <c r="F63" s="790"/>
      <c r="G63" s="576"/>
    </row>
    <row r="64" spans="1:7" s="577" customFormat="1" ht="18" customHeight="1" x14ac:dyDescent="0.2">
      <c r="A64" s="788" t="s">
        <v>49</v>
      </c>
      <c r="B64" s="789"/>
      <c r="C64" s="789"/>
      <c r="D64" s="789"/>
      <c r="E64" s="789"/>
      <c r="F64" s="790"/>
      <c r="G64" s="576"/>
    </row>
    <row r="65" spans="1:7" s="598" customFormat="1" ht="18" customHeight="1" x14ac:dyDescent="0.2">
      <c r="A65" s="788" t="s">
        <v>50</v>
      </c>
      <c r="B65" s="789"/>
      <c r="C65" s="789"/>
      <c r="D65" s="789"/>
      <c r="E65" s="789"/>
      <c r="F65" s="790"/>
      <c r="G65" s="597"/>
    </row>
    <row r="66" spans="1:7" s="598" customFormat="1" ht="18" customHeight="1" x14ac:dyDescent="0.2">
      <c r="A66" s="788" t="s">
        <v>51</v>
      </c>
      <c r="B66" s="789"/>
      <c r="C66" s="789"/>
      <c r="D66" s="789"/>
      <c r="E66" s="789"/>
      <c r="F66" s="790"/>
      <c r="G66" s="597"/>
    </row>
    <row r="67" spans="1:7" s="598" customFormat="1" ht="18" customHeight="1" x14ac:dyDescent="0.2">
      <c r="A67" s="788" t="s">
        <v>52</v>
      </c>
      <c r="B67" s="789"/>
      <c r="C67" s="789"/>
      <c r="D67" s="789"/>
      <c r="E67" s="789"/>
      <c r="F67" s="790"/>
      <c r="G67" s="597"/>
    </row>
    <row r="68" spans="1:7" s="598" customFormat="1" ht="18" customHeight="1" x14ac:dyDescent="0.2">
      <c r="A68" s="787" t="s">
        <v>53</v>
      </c>
      <c r="B68" s="787"/>
      <c r="C68" s="787"/>
      <c r="D68" s="787"/>
      <c r="E68" s="787"/>
      <c r="F68" s="787"/>
      <c r="G68" s="597"/>
    </row>
    <row r="69" spans="1:7" s="598" customFormat="1" ht="18" customHeight="1" x14ac:dyDescent="0.2">
      <c r="A69" s="794" t="s">
        <v>54</v>
      </c>
      <c r="B69" s="795"/>
      <c r="C69" s="795"/>
      <c r="D69" s="795"/>
      <c r="E69" s="795"/>
      <c r="F69" s="796"/>
      <c r="G69" s="597"/>
    </row>
    <row r="70" spans="1:7" s="598" customFormat="1" ht="18" customHeight="1" x14ac:dyDescent="0.2">
      <c r="A70" s="794" t="s">
        <v>55</v>
      </c>
      <c r="B70" s="795"/>
      <c r="C70" s="795"/>
      <c r="D70" s="795"/>
      <c r="E70" s="795"/>
      <c r="F70" s="796"/>
      <c r="G70" s="597"/>
    </row>
    <row r="71" spans="1:7" s="598" customFormat="1" ht="18" customHeight="1" x14ac:dyDescent="0.2">
      <c r="A71" s="794" t="s">
        <v>56</v>
      </c>
      <c r="B71" s="795"/>
      <c r="C71" s="795"/>
      <c r="D71" s="795"/>
      <c r="E71" s="795"/>
      <c r="F71" s="796"/>
      <c r="G71" s="597"/>
    </row>
    <row r="72" spans="1:7" s="598" customFormat="1" ht="18" customHeight="1" x14ac:dyDescent="0.2">
      <c r="A72" s="787" t="s">
        <v>57</v>
      </c>
      <c r="B72" s="787"/>
      <c r="C72" s="787"/>
      <c r="D72" s="787"/>
      <c r="E72" s="787"/>
      <c r="F72" s="787"/>
      <c r="G72" s="597"/>
    </row>
    <row r="73" spans="1:7" s="598" customFormat="1" ht="18" customHeight="1" x14ac:dyDescent="0.2">
      <c r="A73" s="794" t="s">
        <v>58</v>
      </c>
      <c r="B73" s="795"/>
      <c r="C73" s="795"/>
      <c r="D73" s="795"/>
      <c r="E73" s="795"/>
      <c r="F73" s="796"/>
      <c r="G73" s="597"/>
    </row>
    <row r="74" spans="1:7" s="598" customFormat="1" ht="18" customHeight="1" x14ac:dyDescent="0.2">
      <c r="A74" s="788" t="s">
        <v>59</v>
      </c>
      <c r="B74" s="789"/>
      <c r="C74" s="789"/>
      <c r="D74" s="789"/>
      <c r="E74" s="789"/>
      <c r="F74" s="790"/>
      <c r="G74" s="597"/>
    </row>
    <row r="75" spans="1:7" s="598" customFormat="1" ht="18" customHeight="1" x14ac:dyDescent="0.2">
      <c r="A75" s="787" t="s">
        <v>60</v>
      </c>
      <c r="B75" s="787"/>
      <c r="C75" s="787"/>
      <c r="D75" s="787"/>
      <c r="E75" s="787"/>
      <c r="F75" s="787"/>
      <c r="G75" s="597"/>
    </row>
    <row r="76" spans="1:7" s="598" customFormat="1" ht="18" customHeight="1" x14ac:dyDescent="0.2">
      <c r="A76" s="794" t="s">
        <v>61</v>
      </c>
      <c r="B76" s="795"/>
      <c r="C76" s="795"/>
      <c r="D76" s="795"/>
      <c r="E76" s="795"/>
      <c r="F76" s="796"/>
      <c r="G76" s="597"/>
    </row>
    <row r="77" spans="1:7" s="598" customFormat="1" ht="18" customHeight="1" x14ac:dyDescent="0.2">
      <c r="A77" s="788" t="s">
        <v>62</v>
      </c>
      <c r="B77" s="789"/>
      <c r="C77" s="789"/>
      <c r="D77" s="789"/>
      <c r="E77" s="789"/>
      <c r="F77" s="790"/>
      <c r="G77" s="597"/>
    </row>
    <row r="78" spans="1:7" s="598" customFormat="1" ht="18" customHeight="1" x14ac:dyDescent="0.2">
      <c r="A78" s="788" t="s">
        <v>63</v>
      </c>
      <c r="B78" s="789"/>
      <c r="C78" s="789"/>
      <c r="D78" s="789"/>
      <c r="E78" s="789"/>
      <c r="F78" s="790"/>
      <c r="G78" s="597"/>
    </row>
    <row r="79" spans="1:7" s="598" customFormat="1" ht="18" customHeight="1" x14ac:dyDescent="0.2">
      <c r="A79" s="788" t="s">
        <v>64</v>
      </c>
      <c r="B79" s="789"/>
      <c r="C79" s="789"/>
      <c r="D79" s="789"/>
      <c r="E79" s="789"/>
      <c r="F79" s="790"/>
      <c r="G79" s="597"/>
    </row>
    <row r="80" spans="1:7" s="577" customFormat="1" ht="18" customHeight="1" x14ac:dyDescent="0.2">
      <c r="A80" s="788" t="s">
        <v>65</v>
      </c>
      <c r="B80" s="789"/>
      <c r="C80" s="789"/>
      <c r="D80" s="789"/>
      <c r="E80" s="789"/>
      <c r="F80" s="790"/>
      <c r="G80" s="576"/>
    </row>
    <row r="81" spans="1:7" s="577" customFormat="1" ht="18" customHeight="1" x14ac:dyDescent="0.2">
      <c r="A81" s="783" t="s">
        <v>66</v>
      </c>
      <c r="B81" s="783"/>
      <c r="C81" s="783"/>
      <c r="D81" s="783"/>
      <c r="E81" s="783"/>
      <c r="F81" s="783"/>
      <c r="G81" s="576"/>
    </row>
    <row r="82" spans="1:7" s="577" customFormat="1" ht="18" customHeight="1" x14ac:dyDescent="0.2">
      <c r="A82" s="787" t="s">
        <v>67</v>
      </c>
      <c r="B82" s="787"/>
      <c r="C82" s="787"/>
      <c r="D82" s="787"/>
      <c r="E82" s="787"/>
      <c r="F82" s="787"/>
      <c r="G82" s="576"/>
    </row>
    <row r="83" spans="1:7" s="577" customFormat="1" ht="18" customHeight="1" x14ac:dyDescent="0.2">
      <c r="A83" s="787" t="s">
        <v>68</v>
      </c>
      <c r="B83" s="787"/>
      <c r="C83" s="787"/>
      <c r="D83" s="787"/>
      <c r="E83" s="787"/>
      <c r="F83" s="787"/>
      <c r="G83" s="576"/>
    </row>
    <row r="84" spans="1:7" s="577" customFormat="1" ht="18" customHeight="1" x14ac:dyDescent="0.2">
      <c r="A84" s="787" t="s">
        <v>69</v>
      </c>
      <c r="B84" s="787"/>
      <c r="C84" s="787"/>
      <c r="D84" s="787"/>
      <c r="E84" s="787"/>
      <c r="F84" s="787"/>
      <c r="G84" s="576"/>
    </row>
    <row r="85" spans="1:7" s="577" customFormat="1" ht="18" customHeight="1" x14ac:dyDescent="0.2">
      <c r="A85" s="783" t="s">
        <v>70</v>
      </c>
      <c r="B85" s="783"/>
      <c r="C85" s="783"/>
      <c r="D85" s="783"/>
      <c r="E85" s="783"/>
      <c r="F85" s="783"/>
      <c r="G85" s="576"/>
    </row>
    <row r="86" spans="1:7" s="577" customFormat="1" ht="18" customHeight="1" x14ac:dyDescent="0.2">
      <c r="A86" s="788" t="s">
        <v>71</v>
      </c>
      <c r="B86" s="789"/>
      <c r="C86" s="789"/>
      <c r="D86" s="789"/>
      <c r="E86" s="789"/>
      <c r="F86" s="790"/>
      <c r="G86" s="576"/>
    </row>
    <row r="87" spans="1:7" s="577" customFormat="1" ht="18" customHeight="1" x14ac:dyDescent="0.2">
      <c r="A87" s="783" t="s">
        <v>72</v>
      </c>
      <c r="B87" s="783"/>
      <c r="C87" s="783"/>
      <c r="D87" s="783"/>
      <c r="E87" s="783"/>
      <c r="F87" s="783"/>
      <c r="G87" s="576"/>
    </row>
    <row r="88" spans="1:7" s="577" customFormat="1" ht="18" customHeight="1" x14ac:dyDescent="0.2">
      <c r="A88" s="787" t="s">
        <v>73</v>
      </c>
      <c r="B88" s="787"/>
      <c r="C88" s="787"/>
      <c r="D88" s="787"/>
      <c r="E88" s="787"/>
      <c r="F88" s="787"/>
      <c r="G88" s="576"/>
    </row>
    <row r="89" spans="1:7" s="577" customFormat="1" ht="18" customHeight="1" x14ac:dyDescent="0.2">
      <c r="A89" s="787" t="s">
        <v>74</v>
      </c>
      <c r="B89" s="787"/>
      <c r="C89" s="787"/>
      <c r="D89" s="787"/>
      <c r="E89" s="787"/>
      <c r="F89" s="787"/>
      <c r="G89" s="576"/>
    </row>
    <row r="90" spans="1:7" s="577" customFormat="1" ht="18" customHeight="1" x14ac:dyDescent="0.2">
      <c r="A90" s="787" t="s">
        <v>75</v>
      </c>
      <c r="B90" s="787"/>
      <c r="C90" s="787"/>
      <c r="D90" s="787"/>
      <c r="E90" s="787"/>
      <c r="F90" s="787"/>
      <c r="G90" s="576"/>
    </row>
    <row r="91" spans="1:7" s="577" customFormat="1" ht="18" customHeight="1" x14ac:dyDescent="0.2">
      <c r="A91" s="787" t="s">
        <v>76</v>
      </c>
      <c r="B91" s="787"/>
      <c r="C91" s="787"/>
      <c r="D91" s="787"/>
      <c r="E91" s="787"/>
      <c r="F91" s="787"/>
      <c r="G91" s="576"/>
    </row>
    <row r="92" spans="1:7" s="577" customFormat="1" ht="18" customHeight="1" x14ac:dyDescent="0.2">
      <c r="A92" s="783" t="s">
        <v>77</v>
      </c>
      <c r="B92" s="783"/>
      <c r="C92" s="783"/>
      <c r="D92" s="783"/>
      <c r="E92" s="783"/>
      <c r="F92" s="783"/>
      <c r="G92" s="576"/>
    </row>
    <row r="93" spans="1:7" s="577" customFormat="1" ht="18" customHeight="1" x14ac:dyDescent="0.2">
      <c r="A93" s="787" t="s">
        <v>78</v>
      </c>
      <c r="B93" s="787"/>
      <c r="C93" s="787"/>
      <c r="D93" s="787"/>
      <c r="E93" s="787"/>
      <c r="F93" s="787"/>
      <c r="G93" s="576"/>
    </row>
    <row r="94" spans="1:7" s="577" customFormat="1" ht="18" customHeight="1" x14ac:dyDescent="0.2">
      <c r="A94" s="787" t="s">
        <v>79</v>
      </c>
      <c r="B94" s="787"/>
      <c r="C94" s="787"/>
      <c r="D94" s="787"/>
      <c r="E94" s="787"/>
      <c r="F94" s="787"/>
      <c r="G94" s="576"/>
    </row>
    <row r="95" spans="1:7" s="577" customFormat="1" ht="18" customHeight="1" x14ac:dyDescent="0.2">
      <c r="A95" s="787" t="s">
        <v>80</v>
      </c>
      <c r="B95" s="787"/>
      <c r="C95" s="787"/>
      <c r="D95" s="787"/>
      <c r="E95" s="787"/>
      <c r="F95" s="787"/>
      <c r="G95" s="576"/>
    </row>
    <row r="96" spans="1:7" s="577" customFormat="1" ht="18" customHeight="1" x14ac:dyDescent="0.2">
      <c r="A96" s="787" t="s">
        <v>81</v>
      </c>
      <c r="B96" s="787"/>
      <c r="C96" s="787"/>
      <c r="D96" s="787"/>
      <c r="E96" s="787"/>
      <c r="F96" s="787"/>
      <c r="G96" s="576"/>
    </row>
    <row r="97" spans="1:7" s="577" customFormat="1" ht="18" customHeight="1" x14ac:dyDescent="0.2">
      <c r="A97" s="787" t="s">
        <v>82</v>
      </c>
      <c r="B97" s="787"/>
      <c r="C97" s="787"/>
      <c r="D97" s="787"/>
      <c r="E97" s="787"/>
      <c r="F97" s="787"/>
      <c r="G97" s="576"/>
    </row>
    <row r="98" spans="1:7" s="577" customFormat="1" ht="18" customHeight="1" x14ac:dyDescent="0.2">
      <c r="A98" s="787" t="s">
        <v>83</v>
      </c>
      <c r="B98" s="787"/>
      <c r="C98" s="787"/>
      <c r="D98" s="787"/>
      <c r="E98" s="787"/>
      <c r="F98" s="787"/>
      <c r="G98" s="576"/>
    </row>
    <row r="99" spans="1:7" s="577" customFormat="1" ht="18" customHeight="1" x14ac:dyDescent="0.2">
      <c r="A99" s="787" t="s">
        <v>84</v>
      </c>
      <c r="B99" s="787"/>
      <c r="C99" s="787"/>
      <c r="D99" s="787"/>
      <c r="E99" s="787"/>
      <c r="F99" s="787"/>
      <c r="G99" s="576"/>
    </row>
    <row r="100" spans="1:7" s="577" customFormat="1" ht="18" customHeight="1" x14ac:dyDescent="0.2">
      <c r="A100" s="783" t="s">
        <v>85</v>
      </c>
      <c r="B100" s="783"/>
      <c r="C100" s="783"/>
      <c r="D100" s="783"/>
      <c r="E100" s="783"/>
      <c r="F100" s="783"/>
      <c r="G100" s="576"/>
    </row>
    <row r="101" spans="1:7" s="577" customFormat="1" ht="18" customHeight="1" x14ac:dyDescent="0.2">
      <c r="A101" s="787" t="s">
        <v>86</v>
      </c>
      <c r="B101" s="787"/>
      <c r="C101" s="787"/>
      <c r="D101" s="787"/>
      <c r="E101" s="787"/>
      <c r="F101" s="787"/>
      <c r="G101" s="576"/>
    </row>
    <row r="102" spans="1:7" s="577" customFormat="1" ht="18" customHeight="1" x14ac:dyDescent="0.2">
      <c r="A102" s="787" t="s">
        <v>87</v>
      </c>
      <c r="B102" s="787"/>
      <c r="C102" s="787"/>
      <c r="D102" s="787"/>
      <c r="E102" s="787"/>
      <c r="F102" s="787"/>
      <c r="G102" s="576"/>
    </row>
    <row r="103" spans="1:7" s="577" customFormat="1" ht="18" customHeight="1" x14ac:dyDescent="0.2">
      <c r="A103" s="787" t="s">
        <v>88</v>
      </c>
      <c r="B103" s="787"/>
      <c r="C103" s="787"/>
      <c r="D103" s="787"/>
      <c r="E103" s="787"/>
      <c r="F103" s="787"/>
      <c r="G103" s="576"/>
    </row>
    <row r="104" spans="1:7" s="577" customFormat="1" ht="18" customHeight="1" x14ac:dyDescent="0.2">
      <c r="A104" s="787" t="s">
        <v>89</v>
      </c>
      <c r="B104" s="787"/>
      <c r="C104" s="787"/>
      <c r="D104" s="787"/>
      <c r="E104" s="787"/>
      <c r="F104" s="787"/>
      <c r="G104" s="576"/>
    </row>
    <row r="105" spans="1:7" s="577" customFormat="1" ht="18" customHeight="1" x14ac:dyDescent="0.2">
      <c r="A105" s="787" t="s">
        <v>90</v>
      </c>
      <c r="B105" s="787"/>
      <c r="C105" s="787"/>
      <c r="D105" s="787"/>
      <c r="E105" s="787"/>
      <c r="F105" s="787"/>
      <c r="G105" s="576"/>
    </row>
    <row r="106" spans="1:7" s="577" customFormat="1" ht="18" customHeight="1" x14ac:dyDescent="0.2">
      <c r="A106" s="787" t="s">
        <v>91</v>
      </c>
      <c r="B106" s="787"/>
      <c r="C106" s="787"/>
      <c r="D106" s="787"/>
      <c r="E106" s="787"/>
      <c r="F106" s="787"/>
      <c r="G106" s="576"/>
    </row>
    <row r="107" spans="1:7" s="577" customFormat="1" ht="18" customHeight="1" x14ac:dyDescent="0.2">
      <c r="A107" s="787" t="s">
        <v>92</v>
      </c>
      <c r="B107" s="787"/>
      <c r="C107" s="787"/>
      <c r="D107" s="787"/>
      <c r="E107" s="787"/>
      <c r="F107" s="787"/>
      <c r="G107" s="576"/>
    </row>
    <row r="108" spans="1:7" s="577" customFormat="1" ht="18" customHeight="1" x14ac:dyDescent="0.2">
      <c r="A108" s="787" t="s">
        <v>93</v>
      </c>
      <c r="B108" s="787"/>
      <c r="C108" s="787"/>
      <c r="D108" s="787"/>
      <c r="E108" s="787"/>
      <c r="F108" s="787"/>
      <c r="G108" s="576"/>
    </row>
    <row r="109" spans="1:7" s="577" customFormat="1" ht="18" customHeight="1" x14ac:dyDescent="0.2">
      <c r="A109" s="787" t="s">
        <v>94</v>
      </c>
      <c r="B109" s="787"/>
      <c r="C109" s="787"/>
      <c r="D109" s="787"/>
      <c r="E109" s="787"/>
      <c r="F109" s="787"/>
      <c r="G109" s="576"/>
    </row>
    <row r="110" spans="1:7" s="577" customFormat="1" ht="18" customHeight="1" x14ac:dyDescent="0.2">
      <c r="A110" s="787" t="s">
        <v>95</v>
      </c>
      <c r="B110" s="787"/>
      <c r="C110" s="787"/>
      <c r="D110" s="787"/>
      <c r="E110" s="787"/>
      <c r="F110" s="787"/>
      <c r="G110" s="576"/>
    </row>
    <row r="111" spans="1:7" s="577" customFormat="1" ht="18" customHeight="1" x14ac:dyDescent="0.2">
      <c r="A111" s="787" t="s">
        <v>96</v>
      </c>
      <c r="B111" s="787"/>
      <c r="C111" s="787"/>
      <c r="D111" s="787"/>
      <c r="E111" s="787"/>
      <c r="F111" s="787"/>
      <c r="G111" s="576"/>
    </row>
    <row r="112" spans="1:7" s="577" customFormat="1" ht="18" customHeight="1" x14ac:dyDescent="0.2">
      <c r="A112" s="787" t="s">
        <v>97</v>
      </c>
      <c r="B112" s="787"/>
      <c r="C112" s="787"/>
      <c r="D112" s="787"/>
      <c r="E112" s="787"/>
      <c r="F112" s="787"/>
      <c r="G112" s="576"/>
    </row>
    <row r="113" spans="1:7" s="577" customFormat="1" ht="18" customHeight="1" x14ac:dyDescent="0.2">
      <c r="A113" s="783" t="s">
        <v>98</v>
      </c>
      <c r="B113" s="783"/>
      <c r="C113" s="783"/>
      <c r="D113" s="783"/>
      <c r="E113" s="783"/>
      <c r="F113" s="783"/>
      <c r="G113" s="576"/>
    </row>
    <row r="114" spans="1:7" s="577" customFormat="1" ht="18" customHeight="1" x14ac:dyDescent="0.2">
      <c r="A114" s="787" t="s">
        <v>99</v>
      </c>
      <c r="B114" s="787"/>
      <c r="C114" s="787"/>
      <c r="D114" s="787"/>
      <c r="E114" s="787"/>
      <c r="F114" s="787"/>
      <c r="G114" s="576"/>
    </row>
    <row r="115" spans="1:7" s="577" customFormat="1" ht="18" customHeight="1" x14ac:dyDescent="0.2">
      <c r="A115" s="783" t="s">
        <v>100</v>
      </c>
      <c r="B115" s="783"/>
      <c r="C115" s="783"/>
      <c r="D115" s="783"/>
      <c r="E115" s="783"/>
      <c r="F115" s="783"/>
      <c r="G115" s="576"/>
    </row>
    <row r="116" spans="1:7" s="577" customFormat="1" ht="18" customHeight="1" x14ac:dyDescent="0.2">
      <c r="A116" s="787" t="s">
        <v>101</v>
      </c>
      <c r="B116" s="787"/>
      <c r="C116" s="787"/>
      <c r="D116" s="787"/>
      <c r="E116" s="787"/>
      <c r="F116" s="787"/>
      <c r="G116" s="576"/>
    </row>
    <row r="117" spans="1:7" s="577" customFormat="1" ht="18" customHeight="1" x14ac:dyDescent="0.2">
      <c r="A117" s="787" t="s">
        <v>102</v>
      </c>
      <c r="B117" s="787"/>
      <c r="C117" s="787"/>
      <c r="D117" s="787"/>
      <c r="E117" s="787"/>
      <c r="F117" s="787"/>
      <c r="G117" s="576"/>
    </row>
    <row r="118" spans="1:7" s="577" customFormat="1" ht="18" customHeight="1" x14ac:dyDescent="0.2">
      <c r="A118" s="787" t="s">
        <v>103</v>
      </c>
      <c r="B118" s="787"/>
      <c r="C118" s="787"/>
      <c r="D118" s="787"/>
      <c r="E118" s="787"/>
      <c r="F118" s="787"/>
      <c r="G118" s="576"/>
    </row>
    <row r="119" spans="1:7" s="577" customFormat="1" ht="18" customHeight="1" x14ac:dyDescent="0.2">
      <c r="A119" s="787" t="s">
        <v>104</v>
      </c>
      <c r="B119" s="787"/>
      <c r="C119" s="787"/>
      <c r="D119" s="787"/>
      <c r="E119" s="787"/>
      <c r="F119" s="787"/>
      <c r="G119" s="576"/>
    </row>
    <row r="120" spans="1:7" s="577" customFormat="1" ht="18" customHeight="1" x14ac:dyDescent="0.2">
      <c r="A120" s="783" t="s">
        <v>105</v>
      </c>
      <c r="B120" s="783"/>
      <c r="C120" s="783"/>
      <c r="D120" s="783"/>
      <c r="E120" s="783"/>
      <c r="F120" s="783"/>
      <c r="G120" s="576"/>
    </row>
    <row r="121" spans="1:7" s="577" customFormat="1" ht="18" customHeight="1" x14ac:dyDescent="0.2">
      <c r="A121" s="787" t="s">
        <v>106</v>
      </c>
      <c r="B121" s="787"/>
      <c r="C121" s="787"/>
      <c r="D121" s="787"/>
      <c r="E121" s="787"/>
      <c r="F121" s="787"/>
      <c r="G121" s="576"/>
    </row>
    <row r="122" spans="1:7" s="577" customFormat="1" ht="18" customHeight="1" x14ac:dyDescent="0.2">
      <c r="A122" s="787" t="s">
        <v>107</v>
      </c>
      <c r="B122" s="787"/>
      <c r="C122" s="787"/>
      <c r="D122" s="787"/>
      <c r="E122" s="787"/>
      <c r="F122" s="787"/>
      <c r="G122" s="576"/>
    </row>
    <row r="123" spans="1:7" s="577" customFormat="1" ht="18" customHeight="1" x14ac:dyDescent="0.2">
      <c r="A123" s="787" t="s">
        <v>108</v>
      </c>
      <c r="B123" s="787"/>
      <c r="C123" s="787"/>
      <c r="D123" s="787"/>
      <c r="E123" s="787"/>
      <c r="F123" s="787"/>
      <c r="G123" s="576"/>
    </row>
    <row r="124" spans="1:7" s="577" customFormat="1" ht="18" customHeight="1" x14ac:dyDescent="0.2">
      <c r="A124" s="787" t="s">
        <v>109</v>
      </c>
      <c r="B124" s="787"/>
      <c r="C124" s="787"/>
      <c r="D124" s="787"/>
      <c r="E124" s="787"/>
      <c r="F124" s="787"/>
      <c r="G124" s="576"/>
    </row>
    <row r="125" spans="1:7" s="577" customFormat="1" ht="18" customHeight="1" x14ac:dyDescent="0.2">
      <c r="A125" s="787" t="s">
        <v>110</v>
      </c>
      <c r="B125" s="787"/>
      <c r="C125" s="787"/>
      <c r="D125" s="787"/>
      <c r="E125" s="787"/>
      <c r="F125" s="787"/>
      <c r="G125" s="576"/>
    </row>
    <row r="126" spans="1:7" ht="18" customHeight="1" x14ac:dyDescent="0.2">
      <c r="A126" s="783" t="s">
        <v>111</v>
      </c>
      <c r="B126" s="783"/>
      <c r="C126" s="783"/>
      <c r="D126" s="783"/>
      <c r="E126" s="783"/>
      <c r="F126" s="783"/>
    </row>
    <row r="127" spans="1:7" ht="18" customHeight="1" x14ac:dyDescent="0.2">
      <c r="A127" s="787" t="s">
        <v>112</v>
      </c>
      <c r="B127" s="787"/>
      <c r="C127" s="787"/>
      <c r="D127" s="787"/>
      <c r="E127" s="787"/>
      <c r="F127" s="787"/>
    </row>
    <row r="128" spans="1:7" ht="18" customHeight="1" x14ac:dyDescent="0.2">
      <c r="A128" s="787" t="s">
        <v>113</v>
      </c>
      <c r="B128" s="787"/>
      <c r="C128" s="787"/>
      <c r="D128" s="787"/>
      <c r="E128" s="787"/>
      <c r="F128" s="787"/>
    </row>
    <row r="129" spans="1:6" ht="18" customHeight="1" x14ac:dyDescent="0.2">
      <c r="A129" s="787" t="s">
        <v>114</v>
      </c>
      <c r="B129" s="787"/>
      <c r="C129" s="787"/>
      <c r="D129" s="787"/>
      <c r="E129" s="787"/>
      <c r="F129" s="787"/>
    </row>
    <row r="130" spans="1:6" ht="18" customHeight="1" x14ac:dyDescent="0.2">
      <c r="A130" s="787" t="s">
        <v>115</v>
      </c>
      <c r="B130" s="787"/>
      <c r="C130" s="787"/>
      <c r="D130" s="787"/>
      <c r="E130" s="787"/>
      <c r="F130" s="787"/>
    </row>
    <row r="131" spans="1:6" ht="18" customHeight="1" x14ac:dyDescent="0.2">
      <c r="A131" s="787" t="s">
        <v>116</v>
      </c>
      <c r="B131" s="787"/>
      <c r="C131" s="787"/>
      <c r="D131" s="787"/>
      <c r="E131" s="787"/>
      <c r="F131" s="787"/>
    </row>
    <row r="132" spans="1:6" ht="18" customHeight="1" x14ac:dyDescent="0.2">
      <c r="A132" s="787" t="s">
        <v>117</v>
      </c>
      <c r="B132" s="787"/>
      <c r="C132" s="787"/>
      <c r="D132" s="787"/>
      <c r="E132" s="787"/>
      <c r="F132" s="787"/>
    </row>
    <row r="133" spans="1:6" ht="18" customHeight="1" x14ac:dyDescent="0.2">
      <c r="A133" s="787" t="s">
        <v>118</v>
      </c>
      <c r="B133" s="787"/>
      <c r="C133" s="787"/>
      <c r="D133" s="787"/>
      <c r="E133" s="787"/>
      <c r="F133" s="787"/>
    </row>
    <row r="134" spans="1:6" ht="18" customHeight="1" x14ac:dyDescent="0.2">
      <c r="A134" s="787" t="s">
        <v>119</v>
      </c>
      <c r="B134" s="787"/>
      <c r="C134" s="787"/>
      <c r="D134" s="787"/>
      <c r="E134" s="787"/>
      <c r="F134" s="787"/>
    </row>
    <row r="135" spans="1:6" ht="18" customHeight="1" x14ac:dyDescent="0.2">
      <c r="A135" s="787" t="s">
        <v>120</v>
      </c>
      <c r="B135" s="787"/>
      <c r="C135" s="787"/>
      <c r="D135" s="787"/>
      <c r="E135" s="787"/>
      <c r="F135" s="787"/>
    </row>
    <row r="136" spans="1:6" ht="18" customHeight="1" x14ac:dyDescent="0.2">
      <c r="A136" s="787" t="s">
        <v>121</v>
      </c>
      <c r="B136" s="787"/>
      <c r="C136" s="787"/>
      <c r="D136" s="787"/>
      <c r="E136" s="787"/>
      <c r="F136" s="787"/>
    </row>
    <row r="137" spans="1:6" ht="18" customHeight="1" x14ac:dyDescent="0.2">
      <c r="A137" s="787" t="s">
        <v>122</v>
      </c>
      <c r="B137" s="787"/>
      <c r="C137" s="787"/>
      <c r="D137" s="787"/>
      <c r="E137" s="787"/>
      <c r="F137" s="787"/>
    </row>
  </sheetData>
  <mergeCells count="117">
    <mergeCell ref="A50:F50"/>
    <mergeCell ref="A51:F51"/>
    <mergeCell ref="A52:F52"/>
    <mergeCell ref="A53:F53"/>
    <mergeCell ref="A54:F54"/>
    <mergeCell ref="A56:F56"/>
    <mergeCell ref="A57:F57"/>
    <mergeCell ref="A55:F55"/>
    <mergeCell ref="A45:F45"/>
    <mergeCell ref="A49:F49"/>
    <mergeCell ref="A46:F46"/>
    <mergeCell ref="A47:F47"/>
    <mergeCell ref="A82:F82"/>
    <mergeCell ref="A83:F83"/>
    <mergeCell ref="A84:F84"/>
    <mergeCell ref="A85:F85"/>
    <mergeCell ref="A67:F67"/>
    <mergeCell ref="A75:F75"/>
    <mergeCell ref="A76:F76"/>
    <mergeCell ref="A70:F70"/>
    <mergeCell ref="A74:F74"/>
    <mergeCell ref="A68:F68"/>
    <mergeCell ref="A1:F1"/>
    <mergeCell ref="A126:F126"/>
    <mergeCell ref="A115:F115"/>
    <mergeCell ref="A114:F114"/>
    <mergeCell ref="A120:F120"/>
    <mergeCell ref="A121:F121"/>
    <mergeCell ref="A100:F100"/>
    <mergeCell ref="A101:F101"/>
    <mergeCell ref="A102:F102"/>
    <mergeCell ref="A103:F103"/>
    <mergeCell ref="A104:F104"/>
    <mergeCell ref="A105:F105"/>
    <mergeCell ref="A106:F106"/>
    <mergeCell ref="A109:F109"/>
    <mergeCell ref="A107:F107"/>
    <mergeCell ref="A97:F97"/>
    <mergeCell ref="A122:F122"/>
    <mergeCell ref="A123:F123"/>
    <mergeCell ref="A124:F124"/>
    <mergeCell ref="A125:F125"/>
    <mergeCell ref="A108:F108"/>
    <mergeCell ref="A92:F92"/>
    <mergeCell ref="A93:F93"/>
    <mergeCell ref="A118:F118"/>
    <mergeCell ref="A137:F137"/>
    <mergeCell ref="A130:F130"/>
    <mergeCell ref="A131:F131"/>
    <mergeCell ref="A132:F132"/>
    <mergeCell ref="A133:F133"/>
    <mergeCell ref="A134:F134"/>
    <mergeCell ref="A135:F135"/>
    <mergeCell ref="A136:F136"/>
    <mergeCell ref="A127:F127"/>
    <mergeCell ref="A128:F128"/>
    <mergeCell ref="A129:F129"/>
    <mergeCell ref="A119:F119"/>
    <mergeCell ref="A113:F113"/>
    <mergeCell ref="A94:F94"/>
    <mergeCell ref="A95:F95"/>
    <mergeCell ref="A96:F96"/>
    <mergeCell ref="A98:F98"/>
    <mergeCell ref="A99:F99"/>
    <mergeCell ref="A116:F116"/>
    <mergeCell ref="A117:F117"/>
    <mergeCell ref="A110:F110"/>
    <mergeCell ref="A111:F111"/>
    <mergeCell ref="A112:F112"/>
    <mergeCell ref="A91:F91"/>
    <mergeCell ref="A58:F58"/>
    <mergeCell ref="A59:F59"/>
    <mergeCell ref="A60:F60"/>
    <mergeCell ref="A61:F61"/>
    <mergeCell ref="A62:F62"/>
    <mergeCell ref="A73:F73"/>
    <mergeCell ref="A77:F77"/>
    <mergeCell ref="A71:F71"/>
    <mergeCell ref="A87:F87"/>
    <mergeCell ref="A88:F88"/>
    <mergeCell ref="A89:F89"/>
    <mergeCell ref="A63:F63"/>
    <mergeCell ref="A64:F64"/>
    <mergeCell ref="A66:F66"/>
    <mergeCell ref="A72:F72"/>
    <mergeCell ref="A90:F90"/>
    <mergeCell ref="A69:F69"/>
    <mergeCell ref="A86:F86"/>
    <mergeCell ref="A65:F65"/>
    <mergeCell ref="A78:F78"/>
    <mergeCell ref="A80:F80"/>
    <mergeCell ref="A79:F79"/>
    <mergeCell ref="A81:F81"/>
    <mergeCell ref="A35:F35"/>
    <mergeCell ref="A21:F21"/>
    <mergeCell ref="A22:F22"/>
    <mergeCell ref="A23:F23"/>
    <mergeCell ref="A25:F25"/>
    <mergeCell ref="A26:F26"/>
    <mergeCell ref="A48:F48"/>
    <mergeCell ref="A39:F39"/>
    <mergeCell ref="A40:F40"/>
    <mergeCell ref="A42:F42"/>
    <mergeCell ref="A43:F43"/>
    <mergeCell ref="A44:F44"/>
    <mergeCell ref="A41:F41"/>
    <mergeCell ref="A37:F37"/>
    <mergeCell ref="A38:F38"/>
    <mergeCell ref="A24:F24"/>
    <mergeCell ref="A27:F27"/>
    <mergeCell ref="A28:F28"/>
    <mergeCell ref="A29:F29"/>
    <mergeCell ref="A31:F31"/>
    <mergeCell ref="A30:F30"/>
    <mergeCell ref="A32:F32"/>
    <mergeCell ref="A33:F33"/>
    <mergeCell ref="A34:F34"/>
  </mergeCells>
  <phoneticPr fontId="2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0BC3A-20CC-4477-943C-427CFC9A5A21}">
  <sheetPr codeName="Sheet21">
    <pageSetUpPr fitToPage="1"/>
  </sheetPr>
  <dimension ref="A1:W57"/>
  <sheetViews>
    <sheetView zoomScale="80" zoomScaleNormal="80" workbookViewId="0"/>
  </sheetViews>
  <sheetFormatPr defaultColWidth="0" defaultRowHeight="12.75" zeroHeight="1" x14ac:dyDescent="0.2"/>
  <cols>
    <col min="1" max="23" width="9.140625" style="575" customWidth="1"/>
    <col min="24" max="25" width="9.140625" style="575" hidden="1" customWidth="1"/>
    <col min="26" max="16384" width="9.140625" style="575" hidden="1"/>
  </cols>
  <sheetData>
    <row r="1" s="575" customFormat="1" x14ac:dyDescent="0.2"/>
    <row r="2" s="575" customFormat="1" x14ac:dyDescent="0.2"/>
    <row r="3" s="575" customFormat="1" x14ac:dyDescent="0.2"/>
    <row r="4" s="575" customFormat="1" x14ac:dyDescent="0.2"/>
    <row r="5" s="575" customFormat="1" x14ac:dyDescent="0.2"/>
    <row r="6" s="575" customFormat="1" x14ac:dyDescent="0.2"/>
    <row r="7" s="575" customFormat="1" x14ac:dyDescent="0.2"/>
    <row r="8" s="575" customFormat="1" x14ac:dyDescent="0.2"/>
    <row r="9" s="575" customFormat="1" x14ac:dyDescent="0.2"/>
    <row r="10" s="575" customFormat="1" x14ac:dyDescent="0.2"/>
    <row r="11" s="575" customFormat="1" x14ac:dyDescent="0.2"/>
    <row r="12" s="575" customFormat="1" x14ac:dyDescent="0.2"/>
    <row r="13" s="575" customFormat="1" x14ac:dyDescent="0.2"/>
    <row r="14" s="575" customFormat="1" x14ac:dyDescent="0.2"/>
    <row r="15" s="575" customFormat="1" x14ac:dyDescent="0.2"/>
    <row r="16" s="575" customFormat="1" x14ac:dyDescent="0.2"/>
    <row r="17" s="575" customFormat="1" x14ac:dyDescent="0.2"/>
    <row r="18" s="575" customFormat="1" x14ac:dyDescent="0.2"/>
    <row r="19" s="575" customFormat="1" x14ac:dyDescent="0.2"/>
    <row r="20" s="575" customFormat="1" x14ac:dyDescent="0.2"/>
    <row r="21" s="575" customFormat="1" x14ac:dyDescent="0.2"/>
    <row r="22" s="575" customFormat="1" x14ac:dyDescent="0.2"/>
    <row r="23" s="575" customFormat="1" x14ac:dyDescent="0.2"/>
    <row r="24" s="575" customFormat="1" x14ac:dyDescent="0.2"/>
    <row r="25" s="575" customFormat="1" x14ac:dyDescent="0.2"/>
    <row r="26" s="575" customFormat="1" x14ac:dyDescent="0.2"/>
    <row r="27" s="575" customFormat="1" x14ac:dyDescent="0.2"/>
    <row r="28" s="575" customFormat="1" x14ac:dyDescent="0.2"/>
    <row r="29" s="575" customFormat="1" x14ac:dyDescent="0.2"/>
    <row r="30" s="575" customFormat="1" x14ac:dyDescent="0.2"/>
    <row r="31" s="575" customFormat="1" x14ac:dyDescent="0.2"/>
    <row r="32" s="575" customFormat="1" x14ac:dyDescent="0.2"/>
    <row r="33" s="575" customFormat="1" x14ac:dyDescent="0.2"/>
    <row r="34" s="575" customFormat="1" x14ac:dyDescent="0.2"/>
    <row r="35" s="575" customFormat="1" x14ac:dyDescent="0.2"/>
    <row r="36" s="575" customFormat="1" x14ac:dyDescent="0.2"/>
    <row r="37" s="575" customFormat="1" x14ac:dyDescent="0.2"/>
    <row r="38" s="575" customFormat="1" x14ac:dyDescent="0.2"/>
    <row r="39" s="575" customFormat="1" x14ac:dyDescent="0.2"/>
    <row r="40" s="575" customFormat="1" x14ac:dyDescent="0.2"/>
    <row r="41" s="575" customFormat="1" x14ac:dyDescent="0.2"/>
    <row r="42" s="575" customFormat="1" x14ac:dyDescent="0.2"/>
    <row r="43" s="575" customFormat="1" x14ac:dyDescent="0.2"/>
    <row r="44" s="575" customFormat="1" x14ac:dyDescent="0.2"/>
    <row r="45" s="575" customFormat="1" x14ac:dyDescent="0.2"/>
    <row r="46" s="575" customFormat="1" hidden="1" x14ac:dyDescent="0.2"/>
    <row r="47" s="575" customFormat="1" hidden="1" x14ac:dyDescent="0.2"/>
    <row r="48" s="575" customFormat="1" hidden="1" x14ac:dyDescent="0.2"/>
    <row r="49" s="575" customFormat="1" hidden="1" x14ac:dyDescent="0.2"/>
    <row r="50" s="575" customFormat="1" hidden="1" x14ac:dyDescent="0.2"/>
    <row r="51" s="575" customFormat="1" hidden="1" x14ac:dyDescent="0.2"/>
    <row r="52" s="575" customFormat="1" hidden="1" x14ac:dyDescent="0.2"/>
    <row r="53" s="575" customFormat="1" hidden="1" x14ac:dyDescent="0.2"/>
    <row r="54" s="575" customFormat="1" hidden="1" x14ac:dyDescent="0.2"/>
    <row r="55" s="575" customFormat="1" hidden="1" x14ac:dyDescent="0.2"/>
    <row r="56" s="575" customFormat="1" hidden="1" x14ac:dyDescent="0.2"/>
    <row r="57" s="575" customFormat="1" hidden="1" x14ac:dyDescent="0.2"/>
  </sheetData>
  <pageMargins left="0.70866141732283472" right="0.70866141732283472" top="0.74803149606299213" bottom="0.74803149606299213" header="0.31496062992125984" footer="0.31496062992125984"/>
  <pageSetup paperSize="9" scale="46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37FFD-3568-415A-AD57-63DC7722D9D8}">
  <sheetPr codeName="Sheet19"/>
  <dimension ref="A1:AD133"/>
  <sheetViews>
    <sheetView zoomScale="80" zoomScaleNormal="80" workbookViewId="0">
      <selection activeCell="A3" sqref="A3:C50"/>
    </sheetView>
  </sheetViews>
  <sheetFormatPr defaultColWidth="0" defaultRowHeight="15" zeroHeight="1" x14ac:dyDescent="0.2"/>
  <cols>
    <col min="1" max="1" width="40.7109375" style="116" customWidth="1"/>
    <col min="2" max="2" width="30.28515625" style="116" bestFit="1" customWidth="1"/>
    <col min="3" max="3" width="19.7109375" style="116" customWidth="1"/>
    <col min="4" max="4" width="74.5703125" style="116" bestFit="1" customWidth="1"/>
    <col min="5" max="6" width="15.7109375" style="116" customWidth="1"/>
    <col min="7" max="25" width="10.7109375" style="282" customWidth="1"/>
    <col min="26" max="26" width="33.7109375" style="282" customWidth="1"/>
    <col min="27" max="27" width="9.85546875" style="282" customWidth="1"/>
    <col min="28" max="29" width="17.7109375" style="282" customWidth="1"/>
    <col min="30" max="30" width="1.7109375" style="282" customWidth="1"/>
    <col min="31" max="16384" width="10.7109375" style="282" hidden="1"/>
  </cols>
  <sheetData>
    <row r="1" spans="1:29" ht="30" customHeight="1" x14ac:dyDescent="0.2">
      <c r="A1" s="801" t="s">
        <v>132</v>
      </c>
      <c r="B1" s="801"/>
      <c r="C1" s="801"/>
      <c r="D1" s="801"/>
      <c r="E1" s="801" t="s">
        <v>133</v>
      </c>
      <c r="F1" s="801"/>
      <c r="J1" s="143"/>
      <c r="K1" s="143"/>
      <c r="Z1" s="283"/>
      <c r="AA1" s="283"/>
      <c r="AB1" s="283"/>
      <c r="AC1" s="283"/>
    </row>
    <row r="2" spans="1:29" ht="20.100000000000001" customHeight="1" thickBot="1" x14ac:dyDescent="0.25">
      <c r="A2" s="802" t="s">
        <v>136</v>
      </c>
      <c r="B2" s="802"/>
      <c r="C2" s="802"/>
      <c r="D2" s="492" t="s">
        <v>137</v>
      </c>
      <c r="E2" s="492" t="s">
        <v>138</v>
      </c>
      <c r="F2" s="492" t="s">
        <v>139</v>
      </c>
      <c r="M2" s="283"/>
      <c r="N2" s="283"/>
      <c r="O2" s="283"/>
      <c r="P2" s="283"/>
      <c r="Q2" s="283"/>
      <c r="R2" s="283"/>
      <c r="S2" s="283"/>
      <c r="T2" s="283"/>
      <c r="U2" s="283"/>
      <c r="V2" s="283"/>
      <c r="W2" s="283"/>
      <c r="X2" s="283"/>
      <c r="Y2" s="283"/>
      <c r="Z2" s="299" t="s">
        <v>6</v>
      </c>
      <c r="AA2" s="300" t="s">
        <v>134</v>
      </c>
      <c r="AB2" s="300" t="s">
        <v>140</v>
      </c>
      <c r="AC2" s="301" t="s">
        <v>135</v>
      </c>
    </row>
    <row r="3" spans="1:29" ht="20.100000000000001" customHeight="1" thickTop="1" x14ac:dyDescent="0.25">
      <c r="A3" s="734" t="s">
        <v>141</v>
      </c>
      <c r="B3" s="735" t="s">
        <v>142</v>
      </c>
      <c r="C3" s="736">
        <v>2240</v>
      </c>
      <c r="D3" s="614" t="s">
        <v>143</v>
      </c>
      <c r="E3" s="668"/>
      <c r="F3" s="138"/>
      <c r="H3" s="143"/>
      <c r="M3" s="283"/>
      <c r="N3" s="283"/>
      <c r="O3" s="283"/>
      <c r="P3" s="283"/>
      <c r="Q3" s="283"/>
      <c r="R3" s="283"/>
      <c r="S3" s="283"/>
      <c r="T3" s="283"/>
      <c r="U3" s="283"/>
      <c r="V3" s="283"/>
      <c r="W3" s="283"/>
      <c r="X3" s="283"/>
      <c r="Y3" s="283"/>
      <c r="Z3" s="286" t="s">
        <v>144</v>
      </c>
      <c r="AA3" s="58" t="s">
        <v>145</v>
      </c>
      <c r="AB3" s="58" t="s">
        <v>146</v>
      </c>
      <c r="AC3" s="292" t="s">
        <v>147</v>
      </c>
    </row>
    <row r="4" spans="1:29" ht="20.100000000000001" customHeight="1" x14ac:dyDescent="0.25">
      <c r="A4" s="737" t="s">
        <v>148</v>
      </c>
      <c r="B4" s="738" t="s">
        <v>149</v>
      </c>
      <c r="C4" s="739">
        <v>166.2</v>
      </c>
      <c r="D4" s="615" t="s">
        <v>150</v>
      </c>
      <c r="E4" s="669"/>
      <c r="F4" s="139"/>
      <c r="M4" s="283"/>
      <c r="N4" s="283"/>
      <c r="O4" s="283"/>
      <c r="P4" s="283"/>
      <c r="Q4" s="283"/>
      <c r="R4" s="283"/>
      <c r="S4" s="283"/>
      <c r="T4" s="283"/>
      <c r="U4" s="283"/>
      <c r="V4" s="283"/>
      <c r="W4" s="283"/>
      <c r="X4" s="283"/>
      <c r="Y4" s="283"/>
      <c r="Z4" s="287" t="s">
        <v>151</v>
      </c>
      <c r="AA4" s="144" t="s">
        <v>152</v>
      </c>
      <c r="AB4" s="144" t="s">
        <v>146</v>
      </c>
      <c r="AC4" s="293" t="s">
        <v>153</v>
      </c>
    </row>
    <row r="5" spans="1:29" ht="20.100000000000001" customHeight="1" x14ac:dyDescent="0.25">
      <c r="A5" s="740" t="s">
        <v>2197</v>
      </c>
      <c r="B5" s="741" t="s">
        <v>154</v>
      </c>
      <c r="C5" s="739">
        <v>186.81</v>
      </c>
      <c r="D5" s="615" t="s">
        <v>150</v>
      </c>
      <c r="E5" s="669"/>
      <c r="F5" s="139"/>
      <c r="M5" s="283"/>
      <c r="N5" s="283"/>
      <c r="O5" s="283"/>
      <c r="P5" s="283"/>
      <c r="Q5" s="283"/>
      <c r="R5" s="283"/>
      <c r="S5" s="283"/>
      <c r="T5" s="283"/>
      <c r="U5" s="283"/>
      <c r="V5" s="283"/>
      <c r="W5" s="283"/>
      <c r="X5" s="283"/>
      <c r="Y5" s="283"/>
      <c r="Z5" s="286" t="s">
        <v>155</v>
      </c>
      <c r="AA5" s="58" t="s">
        <v>156</v>
      </c>
      <c r="AB5" s="58" t="s">
        <v>146</v>
      </c>
      <c r="AC5" s="292" t="s">
        <v>157</v>
      </c>
    </row>
    <row r="6" spans="1:29" ht="20.100000000000001" customHeight="1" x14ac:dyDescent="0.25">
      <c r="A6" s="742" t="s">
        <v>158</v>
      </c>
      <c r="B6" s="741" t="s">
        <v>159</v>
      </c>
      <c r="C6" s="739">
        <v>98.14</v>
      </c>
      <c r="D6" s="615" t="s">
        <v>150</v>
      </c>
      <c r="E6" s="669"/>
      <c r="F6" s="139"/>
      <c r="M6" s="283"/>
      <c r="N6" s="283"/>
      <c r="O6" s="283"/>
      <c r="P6" s="283"/>
      <c r="Q6" s="283"/>
      <c r="R6" s="283"/>
      <c r="S6" s="283"/>
      <c r="T6" s="283"/>
      <c r="U6" s="283"/>
      <c r="V6" s="283"/>
      <c r="W6" s="283"/>
      <c r="X6" s="283"/>
      <c r="Y6" s="283"/>
      <c r="Z6" s="286" t="s">
        <v>160</v>
      </c>
      <c r="AA6" s="58" t="s">
        <v>161</v>
      </c>
      <c r="AB6" s="58" t="s">
        <v>146</v>
      </c>
      <c r="AC6" s="292" t="s">
        <v>162</v>
      </c>
    </row>
    <row r="7" spans="1:29" ht="20.100000000000001" customHeight="1" x14ac:dyDescent="0.25">
      <c r="A7" s="740" t="s">
        <v>2198</v>
      </c>
      <c r="B7" s="741" t="s">
        <v>163</v>
      </c>
      <c r="C7" s="739">
        <v>118.74</v>
      </c>
      <c r="D7" s="615" t="s">
        <v>150</v>
      </c>
      <c r="E7" s="669"/>
      <c r="F7" s="139"/>
      <c r="M7" s="283"/>
      <c r="N7" s="283"/>
      <c r="O7" s="283"/>
      <c r="P7" s="283"/>
      <c r="Q7" s="283"/>
      <c r="R7" s="283"/>
      <c r="S7" s="283"/>
      <c r="T7" s="283"/>
      <c r="U7" s="283"/>
      <c r="V7" s="283"/>
      <c r="W7" s="283"/>
      <c r="X7" s="283"/>
      <c r="Y7" s="283"/>
      <c r="Z7" s="286" t="s">
        <v>164</v>
      </c>
      <c r="AA7" s="58" t="s">
        <v>165</v>
      </c>
      <c r="AB7" s="58" t="s">
        <v>146</v>
      </c>
      <c r="AC7" s="292" t="s">
        <v>166</v>
      </c>
    </row>
    <row r="8" spans="1:29" ht="20.100000000000001" customHeight="1" x14ac:dyDescent="0.25">
      <c r="A8" s="743"/>
      <c r="B8" s="741" t="s">
        <v>167</v>
      </c>
      <c r="C8" s="744">
        <f>SQRT((4/(PI()*1.025))*((C4/1000)-(C6/1000)))</f>
        <v>0.29076297180076899</v>
      </c>
      <c r="D8" s="615" t="s">
        <v>168</v>
      </c>
      <c r="E8" s="669"/>
      <c r="F8" s="139"/>
      <c r="M8" s="283"/>
      <c r="N8" s="283"/>
      <c r="O8" s="283"/>
      <c r="P8" s="283"/>
      <c r="Q8" s="283"/>
      <c r="R8" s="283"/>
      <c r="S8" s="283"/>
      <c r="T8" s="283"/>
      <c r="U8" s="283"/>
      <c r="V8" s="283"/>
      <c r="W8" s="283"/>
      <c r="X8" s="283"/>
      <c r="Y8" s="283"/>
      <c r="Z8" s="286" t="s">
        <v>125</v>
      </c>
      <c r="AA8" s="58" t="s">
        <v>169</v>
      </c>
      <c r="AB8" s="58" t="s">
        <v>146</v>
      </c>
      <c r="AC8" s="292" t="s">
        <v>170</v>
      </c>
    </row>
    <row r="9" spans="1:29" ht="20.100000000000001" customHeight="1" x14ac:dyDescent="0.25">
      <c r="A9" s="745"/>
      <c r="B9" s="741" t="s">
        <v>171</v>
      </c>
      <c r="C9" s="746">
        <f>SQRT((4/(PI()*1.025))*((C7/1000)-(C6/1000)))</f>
        <v>0.15996565064685772</v>
      </c>
      <c r="D9" s="615" t="s">
        <v>172</v>
      </c>
      <c r="E9" s="669"/>
      <c r="F9" s="139"/>
      <c r="H9" s="143"/>
      <c r="M9" s="283"/>
      <c r="N9" s="283"/>
      <c r="O9" s="283"/>
      <c r="P9" s="283"/>
      <c r="Q9" s="283"/>
      <c r="R9" s="283"/>
      <c r="S9" s="283"/>
      <c r="T9" s="283"/>
      <c r="U9" s="283"/>
      <c r="V9" s="283"/>
      <c r="W9" s="283"/>
      <c r="X9" s="283"/>
      <c r="Y9" s="283"/>
      <c r="Z9" s="286" t="s">
        <v>126</v>
      </c>
      <c r="AA9" s="58" t="s">
        <v>173</v>
      </c>
      <c r="AB9" s="58" t="s">
        <v>146</v>
      </c>
      <c r="AC9" s="292" t="s">
        <v>174</v>
      </c>
    </row>
    <row r="10" spans="1:29" ht="20.100000000000001" customHeight="1" x14ac:dyDescent="0.25">
      <c r="A10" s="745"/>
      <c r="B10" s="741" t="s">
        <v>175</v>
      </c>
      <c r="C10" s="739">
        <v>291.33999999999997</v>
      </c>
      <c r="D10" s="615" t="s">
        <v>150</v>
      </c>
      <c r="E10" s="669"/>
      <c r="F10" s="139"/>
      <c r="H10" s="143"/>
      <c r="M10" s="283"/>
      <c r="N10" s="283"/>
      <c r="O10" s="283"/>
      <c r="P10" s="283"/>
      <c r="Q10" s="283"/>
      <c r="R10" s="283"/>
      <c r="S10" s="283"/>
      <c r="T10" s="283"/>
      <c r="U10" s="283"/>
      <c r="V10" s="283"/>
      <c r="W10" s="283"/>
      <c r="X10" s="283"/>
      <c r="Y10" s="283"/>
      <c r="Z10" s="286" t="s">
        <v>127</v>
      </c>
      <c r="AA10" s="58" t="s">
        <v>176</v>
      </c>
      <c r="AB10" s="58" t="s">
        <v>146</v>
      </c>
      <c r="AC10" s="292" t="s">
        <v>177</v>
      </c>
    </row>
    <row r="11" spans="1:29" ht="20.100000000000001" customHeight="1" x14ac:dyDescent="0.25">
      <c r="A11" s="745"/>
      <c r="B11" s="741" t="s">
        <v>2199</v>
      </c>
      <c r="C11" s="739">
        <v>6</v>
      </c>
      <c r="D11" s="615" t="s">
        <v>150</v>
      </c>
      <c r="E11" s="669"/>
      <c r="F11" s="139"/>
      <c r="H11" s="143"/>
      <c r="M11" s="283"/>
      <c r="N11" s="283"/>
      <c r="O11" s="283"/>
      <c r="P11" s="283"/>
      <c r="Q11" s="283"/>
      <c r="R11" s="283"/>
      <c r="S11" s="283"/>
      <c r="T11" s="283"/>
      <c r="U11" s="283"/>
      <c r="V11" s="283"/>
      <c r="W11" s="283"/>
      <c r="X11" s="283"/>
      <c r="Y11" s="283"/>
      <c r="Z11" s="286" t="s">
        <v>128</v>
      </c>
      <c r="AA11" s="58" t="s">
        <v>178</v>
      </c>
      <c r="AB11" s="58" t="s">
        <v>146</v>
      </c>
      <c r="AC11" s="292" t="s">
        <v>179</v>
      </c>
    </row>
    <row r="12" spans="1:29" ht="20.100000000000001" customHeight="1" x14ac:dyDescent="0.25">
      <c r="A12" s="745"/>
      <c r="B12" s="741" t="s">
        <v>180</v>
      </c>
      <c r="C12" s="739">
        <v>1.89</v>
      </c>
      <c r="D12" s="615" t="s">
        <v>1657</v>
      </c>
      <c r="E12" s="669"/>
      <c r="F12" s="139"/>
      <c r="M12" s="283"/>
      <c r="N12" s="283"/>
      <c r="O12" s="283"/>
      <c r="P12" s="283"/>
      <c r="Q12" s="283"/>
      <c r="R12" s="283"/>
      <c r="S12" s="283"/>
      <c r="T12" s="283"/>
      <c r="U12" s="283"/>
      <c r="V12" s="283"/>
      <c r="W12" s="283"/>
      <c r="X12" s="283"/>
      <c r="Y12" s="283"/>
      <c r="Z12" s="286" t="s">
        <v>129</v>
      </c>
      <c r="AA12" s="58" t="s">
        <v>181</v>
      </c>
      <c r="AB12" s="58" t="s">
        <v>146</v>
      </c>
      <c r="AC12" s="292" t="s">
        <v>182</v>
      </c>
    </row>
    <row r="13" spans="1:29" ht="20.100000000000001" customHeight="1" x14ac:dyDescent="0.25">
      <c r="A13" s="745"/>
      <c r="B13" s="741" t="s">
        <v>183</v>
      </c>
      <c r="C13" s="739">
        <v>2.4</v>
      </c>
      <c r="D13" s="616" t="s">
        <v>1742</v>
      </c>
      <c r="E13" s="669"/>
      <c r="F13" s="139"/>
      <c r="M13" s="283"/>
      <c r="N13" s="283"/>
      <c r="O13" s="283"/>
      <c r="P13" s="283"/>
      <c r="Q13" s="283"/>
      <c r="R13" s="283"/>
      <c r="S13" s="283"/>
      <c r="T13" s="283"/>
      <c r="U13" s="283"/>
      <c r="V13" s="283"/>
      <c r="W13" s="283"/>
      <c r="X13" s="283"/>
      <c r="Y13" s="283"/>
      <c r="Z13" s="286" t="s">
        <v>130</v>
      </c>
      <c r="AA13" s="58" t="s">
        <v>184</v>
      </c>
      <c r="AB13" s="58" t="s">
        <v>146</v>
      </c>
      <c r="AC13" s="292" t="s">
        <v>185</v>
      </c>
    </row>
    <row r="14" spans="1:29" ht="20.100000000000001" customHeight="1" x14ac:dyDescent="0.25">
      <c r="A14" s="745"/>
      <c r="B14" s="747" t="s">
        <v>2200</v>
      </c>
      <c r="C14" s="748">
        <v>40.411999999999999</v>
      </c>
      <c r="D14" s="615" t="s">
        <v>186</v>
      </c>
      <c r="E14" s="669"/>
      <c r="F14" s="139"/>
      <c r="H14" s="143"/>
      <c r="M14" s="283"/>
      <c r="N14" s="283"/>
      <c r="O14" s="283"/>
      <c r="P14" s="283"/>
      <c r="Q14" s="283"/>
      <c r="R14" s="143"/>
      <c r="S14" s="283"/>
      <c r="T14" s="283"/>
      <c r="U14" s="283"/>
      <c r="V14" s="283"/>
      <c r="W14" s="283"/>
      <c r="X14" s="283"/>
      <c r="Y14" s="283"/>
      <c r="Z14" s="288" t="s">
        <v>131</v>
      </c>
      <c r="AA14" s="58" t="s">
        <v>1641</v>
      </c>
      <c r="AB14" s="58" t="s">
        <v>146</v>
      </c>
      <c r="AC14" s="292" t="s">
        <v>1642</v>
      </c>
    </row>
    <row r="15" spans="1:29" ht="20.100000000000001" customHeight="1" x14ac:dyDescent="0.25">
      <c r="A15" s="745"/>
      <c r="B15" s="747" t="s">
        <v>2201</v>
      </c>
      <c r="C15" s="749">
        <v>1685</v>
      </c>
      <c r="D15" s="615" t="s">
        <v>1658</v>
      </c>
      <c r="E15" s="669"/>
      <c r="F15" s="139"/>
      <c r="M15" s="283"/>
      <c r="N15" s="283"/>
      <c r="O15" s="283"/>
      <c r="P15" s="283"/>
      <c r="Q15" s="283"/>
      <c r="R15" s="283"/>
      <c r="S15" s="283"/>
      <c r="T15" s="283"/>
      <c r="U15" s="283"/>
      <c r="V15" s="283"/>
      <c r="W15" s="283"/>
      <c r="X15" s="283"/>
      <c r="Y15" s="283"/>
      <c r="Z15" s="289" t="s">
        <v>187</v>
      </c>
      <c r="AA15" s="145" t="s">
        <v>188</v>
      </c>
      <c r="AB15" s="145" t="s">
        <v>189</v>
      </c>
      <c r="AC15" s="294" t="s">
        <v>190</v>
      </c>
    </row>
    <row r="16" spans="1:29" ht="20.100000000000001" customHeight="1" x14ac:dyDescent="0.25">
      <c r="A16" s="745"/>
      <c r="B16" s="750" t="s">
        <v>194</v>
      </c>
      <c r="C16" s="751"/>
      <c r="D16" s="615" t="s">
        <v>195</v>
      </c>
      <c r="E16" s="669"/>
      <c r="F16" s="139"/>
      <c r="M16" s="797"/>
      <c r="N16" s="797"/>
      <c r="O16" s="797"/>
      <c r="P16" s="797"/>
      <c r="Q16" s="797"/>
      <c r="R16" s="797"/>
      <c r="S16" s="797"/>
      <c r="T16" s="797"/>
      <c r="U16" s="797"/>
      <c r="V16" s="797"/>
      <c r="W16" s="283"/>
      <c r="X16" s="283"/>
      <c r="Y16" s="283"/>
      <c r="Z16" s="289" t="s">
        <v>192</v>
      </c>
      <c r="AA16" s="145" t="s">
        <v>161</v>
      </c>
      <c r="AB16" s="145" t="s">
        <v>189</v>
      </c>
      <c r="AC16" s="294" t="s">
        <v>193</v>
      </c>
    </row>
    <row r="17" spans="1:29" ht="20.100000000000001" customHeight="1" thickBot="1" x14ac:dyDescent="0.3">
      <c r="A17" s="745"/>
      <c r="B17" s="752" t="s">
        <v>2202</v>
      </c>
      <c r="C17" s="749">
        <v>563380</v>
      </c>
      <c r="D17" s="617" t="s">
        <v>1659</v>
      </c>
      <c r="E17" s="670"/>
      <c r="F17" s="140"/>
      <c r="M17" s="283"/>
      <c r="N17" s="283"/>
      <c r="O17" s="283"/>
      <c r="P17" s="283"/>
      <c r="Q17" s="283"/>
      <c r="R17" s="283"/>
      <c r="S17" s="283"/>
      <c r="T17" s="283"/>
      <c r="U17" s="283"/>
      <c r="V17" s="283"/>
      <c r="W17" s="283"/>
      <c r="X17" s="283"/>
      <c r="Y17" s="283"/>
      <c r="Z17" s="289" t="s">
        <v>196</v>
      </c>
      <c r="AA17" s="145" t="s">
        <v>197</v>
      </c>
      <c r="AB17" s="145" t="s">
        <v>189</v>
      </c>
      <c r="AC17" s="294" t="s">
        <v>198</v>
      </c>
    </row>
    <row r="18" spans="1:29" ht="20.100000000000001" customHeight="1" x14ac:dyDescent="0.25">
      <c r="A18" s="504" t="s">
        <v>200</v>
      </c>
      <c r="B18" s="625" t="s">
        <v>201</v>
      </c>
      <c r="C18" s="736">
        <v>5781</v>
      </c>
      <c r="D18" s="618" t="s">
        <v>202</v>
      </c>
      <c r="E18" s="671"/>
      <c r="F18" s="141"/>
      <c r="M18" s="283"/>
      <c r="N18" s="283"/>
      <c r="O18" s="283"/>
      <c r="P18" s="283"/>
      <c r="Q18" s="283"/>
      <c r="R18" s="283"/>
      <c r="S18" s="283"/>
      <c r="T18" s="283"/>
      <c r="U18" s="283"/>
      <c r="V18" s="283"/>
      <c r="W18" s="283"/>
      <c r="X18" s="283"/>
      <c r="Y18" s="283"/>
      <c r="Z18" s="289" t="s">
        <v>123</v>
      </c>
      <c r="AA18" s="145" t="s">
        <v>157</v>
      </c>
      <c r="AB18" s="145" t="s">
        <v>189</v>
      </c>
      <c r="AC18" s="294" t="s">
        <v>199</v>
      </c>
    </row>
    <row r="19" spans="1:29" ht="20.100000000000001" customHeight="1" x14ac:dyDescent="0.25">
      <c r="A19" s="500" t="s">
        <v>148</v>
      </c>
      <c r="B19" s="135" t="s">
        <v>206</v>
      </c>
      <c r="C19" s="753">
        <v>1552</v>
      </c>
      <c r="D19" s="619" t="s">
        <v>308</v>
      </c>
      <c r="E19" s="669"/>
      <c r="F19" s="139"/>
      <c r="H19" s="143"/>
      <c r="M19" s="283"/>
      <c r="N19" s="283"/>
      <c r="O19" s="283"/>
      <c r="P19" s="283"/>
      <c r="Q19" s="283"/>
      <c r="R19" s="283"/>
      <c r="S19" s="283"/>
      <c r="T19" s="283"/>
      <c r="U19" s="283"/>
      <c r="V19" s="283"/>
      <c r="W19" s="283"/>
      <c r="X19" s="283"/>
      <c r="Y19" s="283"/>
      <c r="Z19" s="289" t="s">
        <v>203</v>
      </c>
      <c r="AA19" s="145" t="s">
        <v>204</v>
      </c>
      <c r="AB19" s="145" t="s">
        <v>189</v>
      </c>
      <c r="AC19" s="294" t="s">
        <v>205</v>
      </c>
    </row>
    <row r="20" spans="1:29" ht="20.100000000000001" customHeight="1" x14ac:dyDescent="0.25">
      <c r="A20" s="740" t="s">
        <v>2203</v>
      </c>
      <c r="B20" s="135" t="s">
        <v>209</v>
      </c>
      <c r="C20" s="753">
        <f>C19*0.87</f>
        <v>1350.24</v>
      </c>
      <c r="D20" s="615" t="s">
        <v>1668</v>
      </c>
      <c r="E20" s="669"/>
      <c r="F20" s="139"/>
      <c r="H20" s="143"/>
      <c r="M20" s="283"/>
      <c r="N20" s="283"/>
      <c r="O20" s="283"/>
      <c r="P20" s="283"/>
      <c r="Q20" s="283"/>
      <c r="R20" s="283"/>
      <c r="S20" s="283"/>
      <c r="T20" s="283"/>
      <c r="U20" s="283"/>
      <c r="V20" s="283"/>
      <c r="W20" s="283"/>
      <c r="X20" s="283"/>
      <c r="Y20" s="283"/>
      <c r="Z20" s="289" t="s">
        <v>207</v>
      </c>
      <c r="AA20" s="145" t="s">
        <v>208</v>
      </c>
      <c r="AB20" s="145" t="s">
        <v>189</v>
      </c>
      <c r="AC20" s="294" t="s">
        <v>178</v>
      </c>
    </row>
    <row r="21" spans="1:29" ht="20.100000000000001" customHeight="1" x14ac:dyDescent="0.25">
      <c r="A21" s="742" t="s">
        <v>158</v>
      </c>
      <c r="B21" s="135" t="s">
        <v>213</v>
      </c>
      <c r="C21" s="754">
        <f>(($C$19/1000)/($C$18/1000))</f>
        <v>0.26846566338003808</v>
      </c>
      <c r="D21" s="615" t="s">
        <v>1660</v>
      </c>
      <c r="E21" s="669"/>
      <c r="F21" s="139"/>
      <c r="J21" s="190"/>
      <c r="M21" s="283"/>
      <c r="N21" s="283"/>
      <c r="O21" s="283"/>
      <c r="P21" s="283"/>
      <c r="Q21" s="283"/>
      <c r="R21" s="283"/>
      <c r="S21" s="283"/>
      <c r="T21" s="283"/>
      <c r="U21" s="283"/>
      <c r="V21" s="283"/>
      <c r="W21" s="283"/>
      <c r="X21" s="283"/>
      <c r="Y21" s="283"/>
      <c r="Z21" s="289" t="s">
        <v>210</v>
      </c>
      <c r="AA21" s="145" t="s">
        <v>211</v>
      </c>
      <c r="AB21" s="145" t="s">
        <v>189</v>
      </c>
      <c r="AC21" s="294" t="s">
        <v>212</v>
      </c>
    </row>
    <row r="22" spans="1:29" ht="20.100000000000001" customHeight="1" x14ac:dyDescent="0.25">
      <c r="A22" s="740" t="s">
        <v>2198</v>
      </c>
      <c r="B22" s="135" t="s">
        <v>217</v>
      </c>
      <c r="C22" s="754">
        <f>(($C$20/1000)/($C$18/1000))</f>
        <v>0.23356512714063313</v>
      </c>
      <c r="D22" s="615" t="s">
        <v>1668</v>
      </c>
      <c r="E22" s="669"/>
      <c r="F22" s="139"/>
      <c r="M22" s="283"/>
      <c r="N22" s="283"/>
      <c r="O22" s="283"/>
      <c r="P22" s="283"/>
      <c r="Q22" s="283"/>
      <c r="R22" s="283"/>
      <c r="S22" s="283"/>
      <c r="T22" s="283"/>
      <c r="U22" s="283"/>
      <c r="V22" s="283"/>
      <c r="W22" s="283"/>
      <c r="X22" s="283"/>
      <c r="Y22" s="283"/>
      <c r="Z22" s="289" t="s">
        <v>214</v>
      </c>
      <c r="AA22" s="145" t="s">
        <v>215</v>
      </c>
      <c r="AB22" s="145" t="s">
        <v>189</v>
      </c>
      <c r="AC22" s="294" t="s">
        <v>216</v>
      </c>
    </row>
    <row r="23" spans="1:29" ht="20.100000000000001" customHeight="1" x14ac:dyDescent="0.25">
      <c r="A23" s="505" t="s">
        <v>221</v>
      </c>
      <c r="B23" s="135" t="s">
        <v>167</v>
      </c>
      <c r="C23" s="746">
        <f>SQRT(((4/PI()/1.025)*(C21-C22))+(C25/1000)^2)</f>
        <v>0.37592807806225836</v>
      </c>
      <c r="D23" s="615" t="s">
        <v>222</v>
      </c>
      <c r="E23" s="669"/>
      <c r="F23" s="139"/>
      <c r="M23" s="283"/>
      <c r="N23" s="283"/>
      <c r="O23" s="283"/>
      <c r="P23" s="283"/>
      <c r="Q23" s="283"/>
      <c r="R23" s="283"/>
      <c r="S23" s="283"/>
      <c r="T23" s="283"/>
      <c r="U23" s="283"/>
      <c r="V23" s="283"/>
      <c r="W23" s="283"/>
      <c r="X23" s="283"/>
      <c r="Y23" s="283"/>
      <c r="Z23" s="289" t="s">
        <v>218</v>
      </c>
      <c r="AA23" s="145" t="s">
        <v>219</v>
      </c>
      <c r="AB23" s="145" t="s">
        <v>189</v>
      </c>
      <c r="AC23" s="294" t="s">
        <v>220</v>
      </c>
    </row>
    <row r="24" spans="1:29" ht="20.100000000000001" customHeight="1" x14ac:dyDescent="0.25">
      <c r="A24" s="755" t="s">
        <v>2204</v>
      </c>
      <c r="B24" s="756" t="s">
        <v>226</v>
      </c>
      <c r="C24" s="749">
        <v>472</v>
      </c>
      <c r="D24" s="615" t="s">
        <v>1665</v>
      </c>
      <c r="E24" s="669"/>
      <c r="F24" s="139"/>
      <c r="M24" s="283"/>
      <c r="N24" s="283"/>
      <c r="O24" s="283"/>
      <c r="P24" s="283"/>
      <c r="Q24" s="283"/>
      <c r="R24" s="283"/>
      <c r="S24" s="283"/>
      <c r="T24" s="283"/>
      <c r="U24" s="283"/>
      <c r="V24" s="283"/>
      <c r="W24" s="283"/>
      <c r="X24" s="283"/>
      <c r="Y24" s="283"/>
      <c r="Z24" s="286" t="s">
        <v>141</v>
      </c>
      <c r="AA24" s="58" t="s">
        <v>223</v>
      </c>
      <c r="AB24" s="58" t="s">
        <v>224</v>
      </c>
      <c r="AC24" s="292" t="s">
        <v>225</v>
      </c>
    </row>
    <row r="25" spans="1:29" ht="20.100000000000001" customHeight="1" x14ac:dyDescent="0.25">
      <c r="A25" s="502"/>
      <c r="B25" s="756" t="s">
        <v>230</v>
      </c>
      <c r="C25" s="749">
        <v>313</v>
      </c>
      <c r="D25" s="615" t="s">
        <v>1666</v>
      </c>
      <c r="E25" s="669"/>
      <c r="F25" s="139"/>
      <c r="M25" s="283"/>
      <c r="N25" s="283"/>
      <c r="O25" s="283"/>
      <c r="P25" s="283"/>
      <c r="Q25" s="283"/>
      <c r="R25" s="283"/>
      <c r="S25" s="283"/>
      <c r="T25" s="283"/>
      <c r="U25" s="283"/>
      <c r="V25" s="283"/>
      <c r="W25" s="283"/>
      <c r="X25" s="283"/>
      <c r="Y25" s="283"/>
      <c r="Z25" s="286" t="s">
        <v>227</v>
      </c>
      <c r="AA25" s="58" t="s">
        <v>228</v>
      </c>
      <c r="AB25" s="58" t="s">
        <v>224</v>
      </c>
      <c r="AC25" s="292" t="s">
        <v>229</v>
      </c>
    </row>
    <row r="26" spans="1:29" ht="20.100000000000001" customHeight="1" x14ac:dyDescent="0.25">
      <c r="A26" s="502"/>
      <c r="B26" s="756" t="s">
        <v>175</v>
      </c>
      <c r="C26" s="753">
        <v>338</v>
      </c>
      <c r="D26" s="615" t="s">
        <v>1667</v>
      </c>
      <c r="E26" s="669"/>
      <c r="F26" s="139"/>
      <c r="M26" s="283"/>
      <c r="N26" s="283"/>
      <c r="O26" s="283"/>
      <c r="P26" s="283"/>
      <c r="Q26" s="283"/>
      <c r="R26" s="283"/>
      <c r="S26" s="283"/>
      <c r="T26" s="283"/>
      <c r="U26" s="283"/>
      <c r="V26" s="283"/>
      <c r="W26" s="283"/>
      <c r="X26" s="283"/>
      <c r="Y26" s="283"/>
      <c r="Z26" s="286" t="s">
        <v>231</v>
      </c>
      <c r="AA26" s="58" t="s">
        <v>232</v>
      </c>
      <c r="AB26" s="58" t="s">
        <v>224</v>
      </c>
      <c r="AC26" s="292" t="s">
        <v>219</v>
      </c>
    </row>
    <row r="27" spans="1:29" ht="20.100000000000001" customHeight="1" x14ac:dyDescent="0.25">
      <c r="A27" s="502"/>
      <c r="B27" s="135" t="s">
        <v>234</v>
      </c>
      <c r="C27" s="757">
        <v>4.1399999999999997</v>
      </c>
      <c r="D27" s="615" t="s">
        <v>235</v>
      </c>
      <c r="E27" s="669"/>
      <c r="F27" s="139"/>
      <c r="M27" s="283"/>
      <c r="N27" s="283"/>
      <c r="O27" s="283"/>
      <c r="P27" s="283"/>
      <c r="Q27" s="283"/>
      <c r="R27" s="283"/>
      <c r="S27" s="283"/>
      <c r="T27" s="283"/>
      <c r="U27" s="283"/>
      <c r="V27" s="283"/>
      <c r="W27" s="283"/>
      <c r="X27" s="283"/>
      <c r="Y27" s="283"/>
      <c r="Z27" s="286" t="s">
        <v>1645</v>
      </c>
      <c r="AA27" s="58" t="s">
        <v>1643</v>
      </c>
      <c r="AB27" s="58" t="s">
        <v>224</v>
      </c>
      <c r="AC27" s="292" t="s">
        <v>1644</v>
      </c>
    </row>
    <row r="28" spans="1:29" ht="20.100000000000001" customHeight="1" x14ac:dyDescent="0.25">
      <c r="A28" s="502"/>
      <c r="B28" s="135" t="s">
        <v>239</v>
      </c>
      <c r="C28" s="753">
        <v>70</v>
      </c>
      <c r="D28" s="619" t="s">
        <v>308</v>
      </c>
      <c r="E28" s="669"/>
      <c r="F28" s="139"/>
      <c r="M28" s="283"/>
      <c r="N28" s="283"/>
      <c r="O28" s="283"/>
      <c r="P28" s="283"/>
      <c r="Q28" s="283"/>
      <c r="R28" s="283"/>
      <c r="S28" s="283"/>
      <c r="T28" s="283"/>
      <c r="U28" s="283"/>
      <c r="V28" s="283"/>
      <c r="W28" s="283"/>
      <c r="X28" s="283"/>
      <c r="Y28" s="283"/>
      <c r="Z28" s="286" t="s">
        <v>236</v>
      </c>
      <c r="AA28" s="58" t="s">
        <v>237</v>
      </c>
      <c r="AB28" s="58" t="s">
        <v>224</v>
      </c>
      <c r="AC28" s="292" t="s">
        <v>238</v>
      </c>
    </row>
    <row r="29" spans="1:29" ht="20.100000000000001" customHeight="1" x14ac:dyDescent="0.25">
      <c r="A29" s="502"/>
      <c r="B29" s="135" t="s">
        <v>243</v>
      </c>
      <c r="C29" s="753">
        <v>34</v>
      </c>
      <c r="D29" s="619" t="s">
        <v>308</v>
      </c>
      <c r="E29" s="669"/>
      <c r="F29" s="139"/>
      <c r="M29" s="283"/>
      <c r="N29" s="283"/>
      <c r="O29" s="283"/>
      <c r="P29" s="283"/>
      <c r="Q29" s="283"/>
      <c r="R29" s="283"/>
      <c r="S29" s="283"/>
      <c r="T29" s="283"/>
      <c r="U29" s="283"/>
      <c r="V29" s="283"/>
      <c r="W29" s="283"/>
      <c r="X29" s="283"/>
      <c r="Y29" s="283"/>
      <c r="Z29" s="286" t="s">
        <v>240</v>
      </c>
      <c r="AA29" s="58" t="s">
        <v>241</v>
      </c>
      <c r="AB29" s="58" t="s">
        <v>224</v>
      </c>
      <c r="AC29" s="292" t="s">
        <v>242</v>
      </c>
    </row>
    <row r="30" spans="1:29" ht="20.100000000000001" customHeight="1" x14ac:dyDescent="0.2">
      <c r="A30" s="502"/>
      <c r="B30" s="135" t="s">
        <v>247</v>
      </c>
      <c r="C30" s="483">
        <f>IF(A24="Aço",207*1000000*PI(),IF(A24="PU",7*10^6*PI(),"Selecionar Material"))</f>
        <v>650309679.29308712</v>
      </c>
      <c r="D30" s="615" t="s">
        <v>248</v>
      </c>
      <c r="E30" s="672"/>
      <c r="F30" s="132"/>
      <c r="M30" s="283"/>
      <c r="N30" s="283"/>
      <c r="O30" s="283"/>
      <c r="P30" s="283"/>
      <c r="Q30" s="283"/>
      <c r="R30" s="283"/>
      <c r="S30" s="283"/>
      <c r="T30" s="283"/>
      <c r="U30" s="283"/>
      <c r="V30" s="283"/>
      <c r="W30" s="283"/>
      <c r="X30" s="283"/>
      <c r="Y30" s="283"/>
      <c r="Z30" s="286" t="s">
        <v>244</v>
      </c>
      <c r="AA30" s="58" t="s">
        <v>245</v>
      </c>
      <c r="AB30" s="58" t="s">
        <v>224</v>
      </c>
      <c r="AC30" s="292" t="s">
        <v>246</v>
      </c>
    </row>
    <row r="31" spans="1:29" ht="20.100000000000001" customHeight="1" x14ac:dyDescent="0.2">
      <c r="A31" s="502"/>
      <c r="B31" s="135" t="s">
        <v>252</v>
      </c>
      <c r="C31" s="484">
        <f>(C30*(((C24/1000)^4)-((C25/1000)^4))/64)</f>
        <v>406797.01009192056</v>
      </c>
      <c r="D31" s="615" t="s">
        <v>253</v>
      </c>
      <c r="E31" s="669"/>
      <c r="F31" s="139"/>
      <c r="M31" s="283"/>
      <c r="N31" s="283"/>
      <c r="O31" s="283"/>
      <c r="P31" s="283"/>
      <c r="Q31" s="283"/>
      <c r="R31" s="283"/>
      <c r="S31" s="283"/>
      <c r="T31" s="283"/>
      <c r="U31" s="283"/>
      <c r="V31" s="283"/>
      <c r="W31" s="283"/>
      <c r="X31" s="283"/>
      <c r="Y31" s="283"/>
      <c r="Z31" s="286" t="s">
        <v>249</v>
      </c>
      <c r="AA31" s="58" t="s">
        <v>250</v>
      </c>
      <c r="AB31" s="58" t="s">
        <v>224</v>
      </c>
      <c r="AC31" s="292" t="s">
        <v>251</v>
      </c>
    </row>
    <row r="32" spans="1:29" ht="20.100000000000001" customHeight="1" x14ac:dyDescent="0.2">
      <c r="A32" s="502"/>
      <c r="B32" s="135" t="s">
        <v>257</v>
      </c>
      <c r="C32" s="485">
        <v>10</v>
      </c>
      <c r="D32" s="615" t="s">
        <v>1661</v>
      </c>
      <c r="E32" s="669"/>
      <c r="F32" s="139"/>
      <c r="J32" s="191"/>
      <c r="K32" s="191"/>
      <c r="L32" s="191"/>
      <c r="M32" s="191"/>
      <c r="N32" s="191"/>
      <c r="O32" s="283"/>
      <c r="P32" s="283"/>
      <c r="Q32" s="283"/>
      <c r="R32" s="283"/>
      <c r="S32" s="283"/>
      <c r="T32" s="283"/>
      <c r="U32" s="283"/>
      <c r="V32" s="283"/>
      <c r="W32" s="283"/>
      <c r="X32" s="283"/>
      <c r="Y32" s="283"/>
      <c r="Z32" s="286" t="s">
        <v>254</v>
      </c>
      <c r="AA32" s="58" t="s">
        <v>255</v>
      </c>
      <c r="AB32" s="58" t="s">
        <v>224</v>
      </c>
      <c r="AC32" s="292" t="s">
        <v>256</v>
      </c>
    </row>
    <row r="33" spans="1:29" ht="20.100000000000001" customHeight="1" x14ac:dyDescent="0.2">
      <c r="A33" s="502"/>
      <c r="B33" s="135" t="s">
        <v>191</v>
      </c>
      <c r="C33" s="485">
        <v>10</v>
      </c>
      <c r="D33" s="615" t="s">
        <v>1661</v>
      </c>
      <c r="E33" s="669"/>
      <c r="F33" s="139"/>
      <c r="H33" s="143"/>
      <c r="M33" s="283"/>
      <c r="N33" s="283"/>
      <c r="O33" s="283"/>
      <c r="P33" s="283"/>
      <c r="Q33" s="283"/>
      <c r="R33" s="283"/>
      <c r="S33" s="283"/>
      <c r="T33" s="283"/>
      <c r="U33" s="283"/>
      <c r="V33" s="283"/>
      <c r="W33" s="283"/>
      <c r="X33" s="283"/>
      <c r="Y33" s="283"/>
      <c r="Z33" s="286" t="s">
        <v>254</v>
      </c>
      <c r="AA33" s="58" t="s">
        <v>258</v>
      </c>
      <c r="AB33" s="58" t="s">
        <v>224</v>
      </c>
      <c r="AC33" s="292" t="s">
        <v>259</v>
      </c>
    </row>
    <row r="34" spans="1:29" ht="20.100000000000001" customHeight="1" x14ac:dyDescent="0.2">
      <c r="A34" s="502"/>
      <c r="B34" s="135" t="s">
        <v>263</v>
      </c>
      <c r="C34" s="482">
        <f>(1/C27)</f>
        <v>0.24154589371980678</v>
      </c>
      <c r="D34" s="615" t="s">
        <v>264</v>
      </c>
      <c r="E34" s="669"/>
      <c r="F34" s="139"/>
      <c r="M34" s="283"/>
      <c r="N34" s="283"/>
      <c r="O34" s="283"/>
      <c r="P34" s="283"/>
      <c r="Q34" s="283"/>
      <c r="R34" s="283"/>
      <c r="S34" s="283"/>
      <c r="T34" s="283"/>
      <c r="U34" s="283"/>
      <c r="V34" s="283"/>
      <c r="W34" s="283"/>
      <c r="X34" s="283"/>
      <c r="Y34" s="283"/>
      <c r="Z34" s="288" t="s">
        <v>1646</v>
      </c>
      <c r="AA34" s="145" t="s">
        <v>1647</v>
      </c>
      <c r="AB34" s="145" t="s">
        <v>224</v>
      </c>
      <c r="AC34" s="294" t="s">
        <v>453</v>
      </c>
    </row>
    <row r="35" spans="1:29" ht="20.100000000000001" customHeight="1" x14ac:dyDescent="0.2">
      <c r="A35" s="502"/>
      <c r="B35" s="626" t="s">
        <v>268</v>
      </c>
      <c r="C35" s="486">
        <v>0.01</v>
      </c>
      <c r="D35" s="615" t="s">
        <v>264</v>
      </c>
      <c r="E35" s="669"/>
      <c r="F35" s="139"/>
      <c r="M35" s="283"/>
      <c r="N35" s="283"/>
      <c r="O35" s="283"/>
      <c r="P35" s="283"/>
      <c r="Q35" s="283"/>
      <c r="R35" s="283"/>
      <c r="S35" s="283"/>
      <c r="T35" s="283"/>
      <c r="U35" s="283"/>
      <c r="V35" s="283"/>
      <c r="W35" s="283"/>
      <c r="X35" s="283"/>
      <c r="Y35" s="283"/>
      <c r="Z35" s="289" t="s">
        <v>260</v>
      </c>
      <c r="AA35" s="145" t="s">
        <v>261</v>
      </c>
      <c r="AB35" s="145" t="s">
        <v>224</v>
      </c>
      <c r="AC35" s="294" t="s">
        <v>262</v>
      </c>
    </row>
    <row r="36" spans="1:29" ht="20.100000000000001" customHeight="1" x14ac:dyDescent="0.2">
      <c r="A36" s="502"/>
      <c r="B36" s="135" t="s">
        <v>272</v>
      </c>
      <c r="C36" s="482">
        <f>1+C34</f>
        <v>1.2415458937198067</v>
      </c>
      <c r="D36" s="615" t="s">
        <v>264</v>
      </c>
      <c r="E36" s="669"/>
      <c r="F36" s="139"/>
      <c r="M36" s="283"/>
      <c r="N36" s="283"/>
      <c r="O36" s="283"/>
      <c r="P36" s="283"/>
      <c r="Q36" s="283"/>
      <c r="R36" s="283"/>
      <c r="S36" s="283"/>
      <c r="T36" s="283"/>
      <c r="U36" s="283"/>
      <c r="V36" s="283"/>
      <c r="W36" s="283"/>
      <c r="X36" s="283"/>
      <c r="Y36" s="283"/>
      <c r="Z36" s="289" t="s">
        <v>265</v>
      </c>
      <c r="AA36" s="145" t="s">
        <v>266</v>
      </c>
      <c r="AB36" s="145" t="s">
        <v>224</v>
      </c>
      <c r="AC36" s="294" t="s">
        <v>267</v>
      </c>
    </row>
    <row r="37" spans="1:29" ht="20.100000000000001" customHeight="1" thickBot="1" x14ac:dyDescent="0.25">
      <c r="A37" s="503"/>
      <c r="B37" s="136" t="s">
        <v>276</v>
      </c>
      <c r="C37" s="494">
        <f>C31*((1+1/C27)-(1/C27))+0.01</f>
        <v>406797.02009192057</v>
      </c>
      <c r="D37" s="617" t="s">
        <v>1662</v>
      </c>
      <c r="E37" s="670"/>
      <c r="F37" s="140"/>
      <c r="M37" s="283"/>
      <c r="N37" s="283"/>
      <c r="O37" s="283"/>
      <c r="P37" s="283"/>
      <c r="Q37" s="283"/>
      <c r="R37" s="283"/>
      <c r="S37" s="283"/>
      <c r="T37" s="283"/>
      <c r="U37" s="283"/>
      <c r="V37" s="283"/>
      <c r="W37" s="283"/>
      <c r="X37" s="283"/>
      <c r="Y37" s="283"/>
      <c r="Z37" s="286" t="s">
        <v>269</v>
      </c>
      <c r="AA37" s="58" t="s">
        <v>270</v>
      </c>
      <c r="AB37" s="58" t="s">
        <v>224</v>
      </c>
      <c r="AC37" s="292" t="s">
        <v>271</v>
      </c>
    </row>
    <row r="38" spans="1:29" ht="20.100000000000001" customHeight="1" x14ac:dyDescent="0.25">
      <c r="A38" s="734" t="s">
        <v>2205</v>
      </c>
      <c r="B38" s="741" t="s">
        <v>201</v>
      </c>
      <c r="C38" s="758">
        <v>2219</v>
      </c>
      <c r="D38" s="620" t="s">
        <v>308</v>
      </c>
      <c r="E38" s="671"/>
      <c r="F38" s="141"/>
      <c r="M38" s="283"/>
      <c r="N38" s="283"/>
      <c r="O38" s="283"/>
      <c r="P38" s="283"/>
      <c r="Q38" s="283"/>
      <c r="R38" s="283"/>
      <c r="S38" s="283"/>
      <c r="T38" s="283"/>
      <c r="U38" s="283"/>
      <c r="V38" s="283"/>
      <c r="W38" s="283"/>
      <c r="X38" s="283"/>
      <c r="Y38" s="283"/>
      <c r="Z38" s="287" t="s">
        <v>273</v>
      </c>
      <c r="AA38" s="144" t="s">
        <v>274</v>
      </c>
      <c r="AB38" s="144" t="s">
        <v>224</v>
      </c>
      <c r="AC38" s="293" t="s">
        <v>275</v>
      </c>
    </row>
    <row r="39" spans="1:29" ht="20.100000000000001" customHeight="1" x14ac:dyDescent="0.25">
      <c r="A39" s="737" t="s">
        <v>148</v>
      </c>
      <c r="B39" s="738" t="s">
        <v>206</v>
      </c>
      <c r="C39" s="739">
        <v>2600</v>
      </c>
      <c r="D39" s="621" t="s">
        <v>308</v>
      </c>
      <c r="E39" s="669"/>
      <c r="F39" s="139"/>
      <c r="M39" s="283"/>
      <c r="N39" s="283"/>
      <c r="O39" s="283"/>
      <c r="P39" s="283"/>
      <c r="Q39" s="283"/>
      <c r="R39" s="283"/>
      <c r="S39" s="283"/>
      <c r="T39" s="283"/>
      <c r="U39" s="283"/>
      <c r="V39" s="283"/>
      <c r="W39" s="283"/>
      <c r="X39" s="283"/>
      <c r="Y39" s="283"/>
      <c r="Z39" s="288" t="s">
        <v>1654</v>
      </c>
      <c r="AA39" s="144" t="s">
        <v>1656</v>
      </c>
      <c r="AB39" s="144" t="s">
        <v>224</v>
      </c>
      <c r="AC39" s="293" t="s">
        <v>1655</v>
      </c>
    </row>
    <row r="40" spans="1:29" ht="20.100000000000001" customHeight="1" x14ac:dyDescent="0.25">
      <c r="A40" s="740" t="s">
        <v>2206</v>
      </c>
      <c r="B40" s="738" t="s">
        <v>209</v>
      </c>
      <c r="C40" s="739">
        <f>C39*0.87</f>
        <v>2262</v>
      </c>
      <c r="D40" s="615" t="s">
        <v>286</v>
      </c>
      <c r="E40" s="669"/>
      <c r="F40" s="139"/>
      <c r="M40" s="283"/>
      <c r="N40" s="283"/>
      <c r="O40" s="283"/>
      <c r="P40" s="283"/>
      <c r="Q40" s="283"/>
      <c r="R40" s="283"/>
      <c r="S40" s="283"/>
      <c r="T40" s="283"/>
      <c r="U40" s="283"/>
      <c r="V40" s="283"/>
      <c r="W40" s="283"/>
      <c r="X40" s="283"/>
      <c r="Y40" s="283"/>
      <c r="Z40" s="290" t="s">
        <v>1648</v>
      </c>
      <c r="AA40" s="144" t="s">
        <v>1650</v>
      </c>
      <c r="AB40" s="144" t="s">
        <v>224</v>
      </c>
      <c r="AC40" s="293" t="s">
        <v>1653</v>
      </c>
    </row>
    <row r="41" spans="1:29" ht="20.100000000000001" customHeight="1" x14ac:dyDescent="0.25">
      <c r="A41" s="742" t="s">
        <v>158</v>
      </c>
      <c r="B41" s="738" t="s">
        <v>213</v>
      </c>
      <c r="C41" s="754">
        <f>(C39/1000)/(C38/1000)</f>
        <v>1.1716989634970709</v>
      </c>
      <c r="D41" s="615" t="s">
        <v>1660</v>
      </c>
      <c r="E41" s="669"/>
      <c r="F41" s="139"/>
      <c r="M41" s="283"/>
      <c r="N41" s="283"/>
      <c r="O41" s="283"/>
      <c r="P41" s="283"/>
      <c r="Q41" s="283"/>
      <c r="R41" s="283"/>
      <c r="S41" s="283"/>
      <c r="T41" s="283"/>
      <c r="U41" s="283"/>
      <c r="V41" s="283"/>
      <c r="W41" s="283"/>
      <c r="X41" s="283"/>
      <c r="Y41" s="283"/>
      <c r="Z41" s="290" t="s">
        <v>1651</v>
      </c>
      <c r="AA41" s="144" t="s">
        <v>1652</v>
      </c>
      <c r="AB41" s="144" t="s">
        <v>224</v>
      </c>
      <c r="AC41" s="293" t="s">
        <v>1649</v>
      </c>
    </row>
    <row r="42" spans="1:29" ht="20.100000000000001" customHeight="1" x14ac:dyDescent="0.25">
      <c r="A42" s="740" t="s">
        <v>2207</v>
      </c>
      <c r="B42" s="738" t="s">
        <v>217</v>
      </c>
      <c r="C42" s="754">
        <f>(C40/1000)/(C38/1000)</f>
        <v>1.0193780982424516</v>
      </c>
      <c r="D42" s="622" t="s">
        <v>1660</v>
      </c>
      <c r="E42" s="669"/>
      <c r="F42" s="139"/>
      <c r="M42" s="283"/>
      <c r="N42" s="283"/>
      <c r="O42" s="283"/>
      <c r="P42" s="283"/>
      <c r="Q42" s="283"/>
      <c r="R42" s="283"/>
      <c r="S42" s="283"/>
      <c r="T42" s="283"/>
      <c r="U42" s="283"/>
      <c r="V42" s="283"/>
      <c r="W42" s="283"/>
      <c r="X42" s="283"/>
      <c r="Y42" s="283"/>
      <c r="Z42" s="287" t="s">
        <v>277</v>
      </c>
      <c r="AA42" s="144" t="s">
        <v>278</v>
      </c>
      <c r="AB42" s="144" t="s">
        <v>224</v>
      </c>
      <c r="AC42" s="293" t="s">
        <v>279</v>
      </c>
    </row>
    <row r="43" spans="1:29" ht="20.100000000000001" customHeight="1" x14ac:dyDescent="0.25">
      <c r="A43" s="759"/>
      <c r="B43" s="741" t="s">
        <v>167</v>
      </c>
      <c r="C43" s="746">
        <f>SQRT(((4/PI()/1.025)*(C41-C42))+(C45/1000)^2)</f>
        <v>0.46090827946403307</v>
      </c>
      <c r="D43" s="615" t="s">
        <v>222</v>
      </c>
      <c r="E43" s="669"/>
      <c r="F43" s="139"/>
      <c r="M43" s="283"/>
      <c r="N43" s="283"/>
      <c r="O43" s="283"/>
      <c r="P43" s="283"/>
      <c r="Q43" s="283"/>
      <c r="R43" s="283"/>
      <c r="S43" s="283"/>
      <c r="T43" s="283"/>
      <c r="U43" s="283"/>
      <c r="V43" s="283"/>
      <c r="W43" s="283"/>
      <c r="X43" s="283"/>
      <c r="Y43" s="283"/>
      <c r="Z43" s="287" t="s">
        <v>280</v>
      </c>
      <c r="AA43" s="144" t="s">
        <v>281</v>
      </c>
      <c r="AB43" s="144" t="s">
        <v>224</v>
      </c>
      <c r="AC43" s="293" t="s">
        <v>282</v>
      </c>
    </row>
    <row r="44" spans="1:29" ht="20.100000000000001" customHeight="1" x14ac:dyDescent="0.25">
      <c r="A44" s="759"/>
      <c r="B44" s="741" t="s">
        <v>226</v>
      </c>
      <c r="C44" s="749">
        <v>301.8</v>
      </c>
      <c r="D44" s="623" t="s">
        <v>295</v>
      </c>
      <c r="E44" s="669"/>
      <c r="F44" s="139"/>
      <c r="M44" s="283"/>
      <c r="N44" s="283"/>
      <c r="O44" s="283"/>
      <c r="P44" s="283"/>
      <c r="Q44" s="283"/>
      <c r="R44" s="283"/>
      <c r="S44" s="283"/>
      <c r="T44" s="283"/>
      <c r="U44" s="283"/>
      <c r="V44" s="283"/>
      <c r="W44" s="283"/>
      <c r="X44" s="283"/>
      <c r="Y44" s="283"/>
      <c r="Z44" s="291" t="s">
        <v>283</v>
      </c>
      <c r="AA44" s="146" t="s">
        <v>284</v>
      </c>
      <c r="AB44" s="146" t="s">
        <v>224</v>
      </c>
      <c r="AC44" s="295" t="s">
        <v>285</v>
      </c>
    </row>
    <row r="45" spans="1:29" ht="20.100000000000001" customHeight="1" x14ac:dyDescent="0.25">
      <c r="A45" s="759"/>
      <c r="B45" s="741" t="s">
        <v>230</v>
      </c>
      <c r="C45" s="753">
        <v>152.4</v>
      </c>
      <c r="D45" s="615" t="s">
        <v>296</v>
      </c>
      <c r="E45" s="669"/>
      <c r="F45" s="139"/>
      <c r="M45" s="283"/>
      <c r="N45" s="283"/>
      <c r="O45" s="283"/>
      <c r="P45" s="283"/>
      <c r="Q45" s="283"/>
      <c r="R45" s="283"/>
      <c r="S45" s="283"/>
      <c r="T45" s="283"/>
      <c r="U45" s="283"/>
      <c r="V45" s="283"/>
      <c r="W45" s="283"/>
      <c r="X45" s="283"/>
      <c r="Y45" s="283"/>
      <c r="Z45" s="291" t="s">
        <v>287</v>
      </c>
      <c r="AA45" s="146" t="s">
        <v>288</v>
      </c>
      <c r="AB45" s="146" t="s">
        <v>224</v>
      </c>
      <c r="AC45" s="295" t="s">
        <v>166</v>
      </c>
    </row>
    <row r="46" spans="1:29" ht="20.100000000000001" customHeight="1" x14ac:dyDescent="0.25">
      <c r="A46" s="759"/>
      <c r="B46" s="760" t="s">
        <v>175</v>
      </c>
      <c r="C46" s="753">
        <v>590</v>
      </c>
      <c r="D46" s="615" t="s">
        <v>233</v>
      </c>
      <c r="E46" s="669"/>
      <c r="F46" s="139"/>
      <c r="M46" s="283"/>
      <c r="N46" s="283"/>
      <c r="O46" s="283"/>
      <c r="P46" s="283"/>
      <c r="Q46" s="283"/>
      <c r="R46" s="283"/>
      <c r="S46" s="283"/>
      <c r="T46" s="283"/>
      <c r="U46" s="283"/>
      <c r="V46" s="283"/>
      <c r="W46" s="283"/>
      <c r="X46" s="283"/>
      <c r="Y46" s="283"/>
      <c r="Z46" s="291" t="s">
        <v>289</v>
      </c>
      <c r="AA46" s="146" t="s">
        <v>290</v>
      </c>
      <c r="AB46" s="146" t="s">
        <v>224</v>
      </c>
      <c r="AC46" s="295" t="s">
        <v>291</v>
      </c>
    </row>
    <row r="47" spans="1:29" ht="20.100000000000001" customHeight="1" x14ac:dyDescent="0.2">
      <c r="A47" s="502"/>
      <c r="B47" s="135" t="s">
        <v>247</v>
      </c>
      <c r="C47" s="483">
        <f>207*1000000*PI()</f>
        <v>650309679.29308712</v>
      </c>
      <c r="D47" s="615" t="s">
        <v>248</v>
      </c>
      <c r="E47" s="672"/>
      <c r="F47" s="132"/>
      <c r="M47" s="283"/>
      <c r="N47" s="283"/>
      <c r="O47" s="283"/>
      <c r="P47" s="283"/>
      <c r="Q47" s="283"/>
      <c r="R47" s="283"/>
      <c r="S47" s="283"/>
      <c r="T47" s="283"/>
      <c r="U47" s="283"/>
      <c r="V47" s="283"/>
      <c r="W47" s="283"/>
      <c r="X47" s="283"/>
      <c r="Y47" s="283"/>
      <c r="Z47" s="296" t="s">
        <v>292</v>
      </c>
      <c r="AA47" s="297" t="s">
        <v>293</v>
      </c>
      <c r="AB47" s="297" t="s">
        <v>224</v>
      </c>
      <c r="AC47" s="298" t="s">
        <v>294</v>
      </c>
    </row>
    <row r="48" spans="1:29" ht="20.100000000000001" customHeight="1" x14ac:dyDescent="0.2">
      <c r="A48" s="502"/>
      <c r="B48" s="135" t="s">
        <v>252</v>
      </c>
      <c r="C48" s="487">
        <f>(C47*(((C44/1000)^4)-((C45/1000)^4))/64)</f>
        <v>78816.727166176031</v>
      </c>
      <c r="D48" s="622" t="s">
        <v>1660</v>
      </c>
      <c r="E48" s="669"/>
      <c r="F48" s="139"/>
    </row>
    <row r="49" spans="1:8" ht="20.100000000000001" customHeight="1" x14ac:dyDescent="0.2">
      <c r="A49" s="502"/>
      <c r="B49" s="135" t="s">
        <v>257</v>
      </c>
      <c r="C49" s="485">
        <f>(C47*(((C44/1000)^2)-((C45/1000)^2))/4)</f>
        <v>11032094.014109271</v>
      </c>
      <c r="D49" s="622" t="s">
        <v>1660</v>
      </c>
      <c r="E49" s="669"/>
      <c r="F49" s="139"/>
    </row>
    <row r="50" spans="1:8" ht="20.100000000000001" customHeight="1" thickBot="1" x14ac:dyDescent="0.25">
      <c r="A50" s="503"/>
      <c r="B50" s="136" t="s">
        <v>191</v>
      </c>
      <c r="C50" s="496">
        <f>((C47/(2*(1+0.3)))*((((C44/1000)^4)-((C45/1000)^4))/32))</f>
        <v>60628.251666289252</v>
      </c>
      <c r="D50" s="624" t="s">
        <v>1660</v>
      </c>
      <c r="E50" s="670"/>
      <c r="F50" s="140"/>
    </row>
    <row r="51" spans="1:8" ht="20.100000000000001" customHeight="1" x14ac:dyDescent="0.2">
      <c r="A51" s="506" t="s">
        <v>297</v>
      </c>
      <c r="B51" s="625" t="s">
        <v>201</v>
      </c>
      <c r="C51" s="493"/>
      <c r="D51" s="620" t="s">
        <v>308</v>
      </c>
      <c r="E51" s="671"/>
      <c r="F51" s="141"/>
    </row>
    <row r="52" spans="1:8" ht="20.100000000000001" customHeight="1" x14ac:dyDescent="0.2">
      <c r="A52" s="500" t="s">
        <v>148</v>
      </c>
      <c r="B52" s="135" t="s">
        <v>206</v>
      </c>
      <c r="C52" s="479"/>
      <c r="D52" s="621" t="s">
        <v>308</v>
      </c>
      <c r="E52" s="669"/>
      <c r="F52" s="139"/>
    </row>
    <row r="53" spans="1:8" ht="20.100000000000001" customHeight="1" x14ac:dyDescent="0.2">
      <c r="A53" s="501"/>
      <c r="B53" s="135" t="s">
        <v>209</v>
      </c>
      <c r="C53" s="479"/>
      <c r="D53" s="615" t="s">
        <v>286</v>
      </c>
      <c r="E53" s="669"/>
      <c r="F53" s="139"/>
    </row>
    <row r="54" spans="1:8" ht="20.100000000000001" customHeight="1" x14ac:dyDescent="0.2">
      <c r="A54" s="500" t="s">
        <v>158</v>
      </c>
      <c r="B54" s="135" t="s">
        <v>213</v>
      </c>
      <c r="C54" s="488" t="e">
        <f>(C52/1000)/(C51/1000)</f>
        <v>#DIV/0!</v>
      </c>
      <c r="D54" s="615" t="s">
        <v>1660</v>
      </c>
      <c r="E54" s="669"/>
      <c r="F54" s="139"/>
    </row>
    <row r="55" spans="1:8" ht="20.100000000000001" customHeight="1" x14ac:dyDescent="0.2">
      <c r="A55" s="501"/>
      <c r="B55" s="135" t="s">
        <v>217</v>
      </c>
      <c r="C55" s="488" t="e">
        <f>(C53/1000)/(C51/1000)</f>
        <v>#DIV/0!</v>
      </c>
      <c r="D55" s="622" t="s">
        <v>1660</v>
      </c>
      <c r="E55" s="669"/>
      <c r="F55" s="139"/>
    </row>
    <row r="56" spans="1:8" ht="20.100000000000001" customHeight="1" x14ac:dyDescent="0.2">
      <c r="A56" s="502"/>
      <c r="B56" s="135" t="s">
        <v>167</v>
      </c>
      <c r="C56" s="488" t="e">
        <f>2*SQRT((C54*(1-(7.85-1.025)/7.85))/(1.025*PI())+(C58/2000)^2)</f>
        <v>#DIV/0!</v>
      </c>
      <c r="D56" s="622" t="s">
        <v>1660</v>
      </c>
      <c r="E56" s="669"/>
      <c r="F56" s="139"/>
      <c r="H56" s="143"/>
    </row>
    <row r="57" spans="1:8" ht="20.100000000000001" customHeight="1" x14ac:dyDescent="0.2">
      <c r="A57" s="502"/>
      <c r="B57" s="135" t="s">
        <v>226</v>
      </c>
      <c r="C57" s="489"/>
      <c r="D57" s="623" t="s">
        <v>295</v>
      </c>
      <c r="E57" s="672"/>
      <c r="F57" s="139"/>
    </row>
    <row r="58" spans="1:8" ht="20.100000000000001" customHeight="1" x14ac:dyDescent="0.2">
      <c r="A58" s="502"/>
      <c r="B58" s="135" t="s">
        <v>230</v>
      </c>
      <c r="C58" s="478"/>
      <c r="D58" s="615" t="s">
        <v>296</v>
      </c>
      <c r="E58" s="672"/>
      <c r="F58" s="139"/>
    </row>
    <row r="59" spans="1:8" ht="20.100000000000001" customHeight="1" x14ac:dyDescent="0.2">
      <c r="A59" s="502"/>
      <c r="B59" s="135" t="s">
        <v>175</v>
      </c>
      <c r="C59" s="478"/>
      <c r="D59" s="615" t="s">
        <v>233</v>
      </c>
      <c r="E59" s="672"/>
      <c r="F59" s="139"/>
    </row>
    <row r="60" spans="1:8" ht="20.100000000000001" customHeight="1" x14ac:dyDescent="0.2">
      <c r="A60" s="502"/>
      <c r="B60" s="135" t="s">
        <v>247</v>
      </c>
      <c r="C60" s="483">
        <f>207*1000000*PI()</f>
        <v>650309679.29308712</v>
      </c>
      <c r="D60" s="615" t="s">
        <v>248</v>
      </c>
      <c r="E60" s="672"/>
      <c r="F60" s="132"/>
    </row>
    <row r="61" spans="1:8" ht="20.100000000000001" customHeight="1" x14ac:dyDescent="0.2">
      <c r="A61" s="502"/>
      <c r="B61" s="135" t="s">
        <v>252</v>
      </c>
      <c r="C61" s="490">
        <f>(C60*(((C57/1000)^4)-((C58/1000)^4))/64)</f>
        <v>0</v>
      </c>
      <c r="D61" s="622" t="s">
        <v>1660</v>
      </c>
      <c r="E61" s="672"/>
      <c r="F61" s="139"/>
    </row>
    <row r="62" spans="1:8" ht="20.100000000000001" customHeight="1" x14ac:dyDescent="0.2">
      <c r="A62" s="502"/>
      <c r="B62" s="135" t="s">
        <v>257</v>
      </c>
      <c r="C62" s="491">
        <f>(C60*(((C57/1000)^2)-((C58/1000)^2))/4)</f>
        <v>0</v>
      </c>
      <c r="D62" s="622" t="s">
        <v>1660</v>
      </c>
      <c r="E62" s="672"/>
      <c r="F62" s="139"/>
    </row>
    <row r="63" spans="1:8" ht="20.100000000000001" customHeight="1" thickBot="1" x14ac:dyDescent="0.25">
      <c r="A63" s="503"/>
      <c r="B63" s="627" t="s">
        <v>191</v>
      </c>
      <c r="C63" s="497">
        <f>((C60/(2*(1+0.3)))*((((C57/1000)^4)-((C58/1000)^4))/32))</f>
        <v>0</v>
      </c>
      <c r="D63" s="624" t="s">
        <v>1660</v>
      </c>
      <c r="E63" s="673"/>
      <c r="F63" s="142"/>
    </row>
    <row r="64" spans="1:8" ht="20.100000000000001" customHeight="1" x14ac:dyDescent="0.2">
      <c r="A64" s="507" t="s">
        <v>298</v>
      </c>
      <c r="B64" s="625" t="s">
        <v>201</v>
      </c>
      <c r="C64" s="495"/>
      <c r="D64" s="620" t="s">
        <v>299</v>
      </c>
      <c r="E64" s="674"/>
      <c r="F64" s="134"/>
    </row>
    <row r="65" spans="1:6" ht="20.100000000000001" customHeight="1" x14ac:dyDescent="0.2">
      <c r="A65" s="500" t="s">
        <v>300</v>
      </c>
      <c r="B65" s="135" t="s">
        <v>206</v>
      </c>
      <c r="C65" s="479"/>
      <c r="D65" s="621" t="s">
        <v>308</v>
      </c>
      <c r="E65" s="672"/>
      <c r="F65" s="132"/>
    </row>
    <row r="66" spans="1:6" ht="20.100000000000001" customHeight="1" x14ac:dyDescent="0.2">
      <c r="A66" s="501"/>
      <c r="B66" s="135" t="s">
        <v>209</v>
      </c>
      <c r="C66" s="479"/>
      <c r="D66" s="615" t="s">
        <v>286</v>
      </c>
      <c r="E66" s="672"/>
      <c r="F66" s="132"/>
    </row>
    <row r="67" spans="1:6" ht="20.100000000000001" customHeight="1" x14ac:dyDescent="0.2">
      <c r="A67" s="508" t="s">
        <v>158</v>
      </c>
      <c r="B67" s="135" t="s">
        <v>213</v>
      </c>
      <c r="C67" s="482" t="e">
        <f>(C65/1000)/(C64/1000)</f>
        <v>#DIV/0!</v>
      </c>
      <c r="D67" s="615" t="s">
        <v>1660</v>
      </c>
      <c r="E67" s="672"/>
      <c r="F67" s="132"/>
    </row>
    <row r="68" spans="1:6" ht="20.100000000000001" customHeight="1" x14ac:dyDescent="0.2">
      <c r="A68" s="509" t="str">
        <f>$A$22</f>
        <v>1</v>
      </c>
      <c r="B68" s="135" t="s">
        <v>217</v>
      </c>
      <c r="C68" s="482" t="e">
        <f>(C66/1000)/(C64/1000)</f>
        <v>#DIV/0!</v>
      </c>
      <c r="D68" s="622" t="s">
        <v>1660</v>
      </c>
      <c r="E68" s="672"/>
      <c r="F68" s="132"/>
    </row>
    <row r="69" spans="1:6" ht="20.100000000000001" customHeight="1" x14ac:dyDescent="0.2">
      <c r="A69" s="502"/>
      <c r="B69" s="135" t="s">
        <v>167</v>
      </c>
      <c r="C69" s="480" t="e">
        <f>SQRT(((4/PI()/1.025)*(C67-C68))+(C71/1000)^2)</f>
        <v>#DIV/0!</v>
      </c>
      <c r="D69" s="615" t="s">
        <v>1660</v>
      </c>
      <c r="E69" s="672"/>
      <c r="F69" s="132"/>
    </row>
    <row r="70" spans="1:6" ht="20.100000000000001" customHeight="1" x14ac:dyDescent="0.2">
      <c r="A70" s="502"/>
      <c r="B70" s="135" t="s">
        <v>226</v>
      </c>
      <c r="C70" s="481"/>
      <c r="D70" s="615" t="s">
        <v>1663</v>
      </c>
      <c r="E70" s="672"/>
      <c r="F70" s="132"/>
    </row>
    <row r="71" spans="1:6" ht="20.100000000000001" customHeight="1" x14ac:dyDescent="0.2">
      <c r="A71" s="502"/>
      <c r="B71" s="135" t="s">
        <v>230</v>
      </c>
      <c r="C71" s="478"/>
      <c r="D71" s="615" t="s">
        <v>1664</v>
      </c>
      <c r="E71" s="672"/>
      <c r="F71" s="132"/>
    </row>
    <row r="72" spans="1:6" ht="20.100000000000001" customHeight="1" x14ac:dyDescent="0.2">
      <c r="A72" s="502"/>
      <c r="B72" s="135" t="s">
        <v>175</v>
      </c>
      <c r="C72" s="478"/>
      <c r="D72" s="615" t="s">
        <v>233</v>
      </c>
      <c r="E72" s="672"/>
      <c r="F72" s="132"/>
    </row>
    <row r="73" spans="1:6" ht="20.100000000000001" customHeight="1" x14ac:dyDescent="0.2">
      <c r="A73" s="502"/>
      <c r="B73" s="135" t="s">
        <v>247</v>
      </c>
      <c r="C73" s="483">
        <f>207*1000000*PI()</f>
        <v>650309679.29308712</v>
      </c>
      <c r="D73" s="615" t="s">
        <v>301</v>
      </c>
      <c r="E73" s="672"/>
      <c r="F73" s="132"/>
    </row>
    <row r="74" spans="1:6" ht="20.100000000000001" customHeight="1" x14ac:dyDescent="0.2">
      <c r="A74" s="502"/>
      <c r="B74" s="135" t="s">
        <v>252</v>
      </c>
      <c r="C74" s="490">
        <f>(C73*(((C70/1000)^4)-((C71/1000)^4))/64)</f>
        <v>0</v>
      </c>
      <c r="D74" s="622" t="s">
        <v>1660</v>
      </c>
      <c r="E74" s="672"/>
      <c r="F74" s="132"/>
    </row>
    <row r="75" spans="1:6" ht="20.100000000000001" customHeight="1" x14ac:dyDescent="0.2">
      <c r="A75" s="502"/>
      <c r="B75" s="135" t="s">
        <v>257</v>
      </c>
      <c r="C75" s="491">
        <f>(C73*(((C70/1000)^2)-((C71/1000)^2))/4)</f>
        <v>0</v>
      </c>
      <c r="D75" s="622" t="s">
        <v>1660</v>
      </c>
      <c r="E75" s="672"/>
      <c r="F75" s="132"/>
    </row>
    <row r="76" spans="1:6" ht="20.100000000000001" customHeight="1" thickBot="1" x14ac:dyDescent="0.25">
      <c r="A76" s="503"/>
      <c r="B76" s="136" t="s">
        <v>302</v>
      </c>
      <c r="C76" s="496">
        <f>((C73/(2*(1+0.3)))*((((C70/1000)^4)-((C71/1000)^4))/32))</f>
        <v>0</v>
      </c>
      <c r="D76" s="624" t="s">
        <v>1660</v>
      </c>
      <c r="E76" s="675"/>
      <c r="F76" s="133"/>
    </row>
    <row r="77" spans="1:6" ht="20.100000000000001" customHeight="1" thickBot="1" x14ac:dyDescent="0.25">
      <c r="A77" s="798" t="s">
        <v>303</v>
      </c>
      <c r="B77" s="799"/>
      <c r="C77" s="800"/>
      <c r="D77" s="499"/>
      <c r="E77" s="498"/>
      <c r="F77" s="137"/>
    </row>
    <row r="78" spans="1:6" ht="20.100000000000001" customHeight="1" x14ac:dyDescent="0.2">
      <c r="A78" s="552"/>
      <c r="B78" s="552"/>
      <c r="C78" s="552"/>
      <c r="D78" s="552"/>
      <c r="E78" s="552"/>
      <c r="F78" s="552"/>
    </row>
    <row r="79" spans="1:6" ht="20.100000000000001" customHeight="1" x14ac:dyDescent="0.2"/>
    <row r="80" spans="1:6" ht="20.100000000000001" hidden="1" customHeight="1" x14ac:dyDescent="0.2"/>
    <row r="81" spans="7:22" ht="20.100000000000001" hidden="1" customHeight="1" x14ac:dyDescent="0.2"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</row>
    <row r="82" spans="7:22" ht="20.100000000000001" hidden="1" customHeight="1" x14ac:dyDescent="0.2"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</row>
    <row r="83" spans="7:22" ht="20.100000000000001" hidden="1" customHeight="1" x14ac:dyDescent="0.2"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</row>
    <row r="84" spans="7:22" ht="20.100000000000001" hidden="1" customHeight="1" x14ac:dyDescent="0.2"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</row>
    <row r="85" spans="7:22" ht="20.100000000000001" hidden="1" customHeight="1" x14ac:dyDescent="0.2"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</row>
    <row r="86" spans="7:22" ht="20.100000000000001" hidden="1" customHeight="1" x14ac:dyDescent="0.2"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</row>
    <row r="87" spans="7:22" ht="20.100000000000001" hidden="1" customHeight="1" x14ac:dyDescent="0.2"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</row>
    <row r="88" spans="7:22" ht="20.100000000000001" hidden="1" customHeight="1" x14ac:dyDescent="0.2"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</row>
    <row r="89" spans="7:22" ht="20.100000000000001" hidden="1" customHeight="1" x14ac:dyDescent="0.2"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</row>
    <row r="90" spans="7:22" ht="20.100000000000001" hidden="1" customHeight="1" x14ac:dyDescent="0.2"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</row>
    <row r="91" spans="7:22" ht="20.100000000000001" hidden="1" customHeight="1" x14ac:dyDescent="0.2"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</row>
    <row r="92" spans="7:22" ht="20.100000000000001" hidden="1" customHeight="1" x14ac:dyDescent="0.2"/>
    <row r="93" spans="7:22" ht="20.100000000000001" hidden="1" customHeight="1" x14ac:dyDescent="0.2"/>
    <row r="94" spans="7:22" ht="20.100000000000001" hidden="1" customHeight="1" x14ac:dyDescent="0.2"/>
    <row r="95" spans="7:22" ht="20.100000000000001" hidden="1" customHeight="1" x14ac:dyDescent="0.2"/>
    <row r="96" spans="7:22" ht="20.100000000000001" hidden="1" customHeight="1" x14ac:dyDescent="0.2"/>
    <row r="97" ht="20.100000000000001" hidden="1" customHeight="1" x14ac:dyDescent="0.2"/>
    <row r="98" ht="20.100000000000001" hidden="1" customHeight="1" x14ac:dyDescent="0.2"/>
    <row r="99" ht="20.100000000000001" hidden="1" customHeight="1" x14ac:dyDescent="0.2"/>
    <row r="100" ht="20.100000000000001" hidden="1" customHeight="1" x14ac:dyDescent="0.2"/>
    <row r="101" ht="20.100000000000001" hidden="1" customHeight="1" x14ac:dyDescent="0.2"/>
    <row r="102" ht="20.100000000000001" hidden="1" customHeight="1" x14ac:dyDescent="0.2"/>
    <row r="103" ht="20.100000000000001" hidden="1" customHeight="1" x14ac:dyDescent="0.2"/>
    <row r="104" ht="20.100000000000001" hidden="1" customHeight="1" x14ac:dyDescent="0.2"/>
    <row r="105" ht="20.100000000000001" hidden="1" customHeight="1" x14ac:dyDescent="0.2"/>
    <row r="106" ht="20.100000000000001" hidden="1" customHeight="1" x14ac:dyDescent="0.2"/>
    <row r="107" ht="20.100000000000001" hidden="1" customHeight="1" x14ac:dyDescent="0.2"/>
    <row r="108" ht="20.100000000000001" hidden="1" customHeight="1" x14ac:dyDescent="0.2"/>
    <row r="109" ht="20.100000000000001" hidden="1" customHeight="1" x14ac:dyDescent="0.2"/>
    <row r="110" ht="20.100000000000001" hidden="1" customHeight="1" x14ac:dyDescent="0.2"/>
    <row r="111" ht="20.100000000000001" hidden="1" customHeight="1" x14ac:dyDescent="0.2"/>
    <row r="112" ht="20.100000000000001" hidden="1" customHeight="1" x14ac:dyDescent="0.2"/>
    <row r="113" spans="8:8" ht="20.100000000000001" hidden="1" customHeight="1" x14ac:dyDescent="0.2"/>
    <row r="114" spans="8:8" ht="20.100000000000001" hidden="1" customHeight="1" x14ac:dyDescent="0.2"/>
    <row r="115" spans="8:8" ht="20.100000000000001" hidden="1" customHeight="1" x14ac:dyDescent="0.2"/>
    <row r="116" spans="8:8" ht="20.100000000000001" hidden="1" customHeight="1" x14ac:dyDescent="0.2"/>
    <row r="117" spans="8:8" ht="20.100000000000001" hidden="1" customHeight="1" x14ac:dyDescent="0.2"/>
    <row r="118" spans="8:8" ht="20.100000000000001" hidden="1" customHeight="1" x14ac:dyDescent="0.2"/>
    <row r="119" spans="8:8" ht="20.100000000000001" hidden="1" customHeight="1" x14ac:dyDescent="0.2"/>
    <row r="120" spans="8:8" ht="20.100000000000001" hidden="1" customHeight="1" x14ac:dyDescent="0.2"/>
    <row r="121" spans="8:8" ht="20.100000000000001" hidden="1" customHeight="1" x14ac:dyDescent="0.2"/>
    <row r="122" spans="8:8" ht="20.100000000000001" hidden="1" customHeight="1" x14ac:dyDescent="0.2">
      <c r="H122" s="143"/>
    </row>
    <row r="123" spans="8:8" ht="20.100000000000001" hidden="1" customHeight="1" x14ac:dyDescent="0.2"/>
    <row r="124" spans="8:8" ht="20.100000000000001" hidden="1" customHeight="1" x14ac:dyDescent="0.2"/>
    <row r="125" spans="8:8" ht="20.100000000000001" hidden="1" customHeight="1" x14ac:dyDescent="0.2"/>
    <row r="126" spans="8:8" ht="20.100000000000001" hidden="1" customHeight="1" x14ac:dyDescent="0.2"/>
    <row r="127" spans="8:8" ht="20.100000000000001" hidden="1" customHeight="1" x14ac:dyDescent="0.2"/>
    <row r="128" spans="8:8" ht="20.100000000000001" hidden="1" customHeight="1" x14ac:dyDescent="0.2"/>
    <row r="129" spans="8:8" ht="20.100000000000001" hidden="1" customHeight="1" x14ac:dyDescent="0.2"/>
    <row r="130" spans="8:8" ht="20.100000000000001" hidden="1" customHeight="1" x14ac:dyDescent="0.2"/>
    <row r="131" spans="8:8" ht="20.100000000000001" hidden="1" customHeight="1" x14ac:dyDescent="0.2"/>
    <row r="132" spans="8:8" ht="20.100000000000001" hidden="1" customHeight="1" x14ac:dyDescent="0.2"/>
    <row r="133" spans="8:8" ht="20.100000000000001" hidden="1" customHeight="1" x14ac:dyDescent="0.2">
      <c r="H133" s="143"/>
    </row>
  </sheetData>
  <mergeCells count="5">
    <mergeCell ref="M16:V16"/>
    <mergeCell ref="A77:C77"/>
    <mergeCell ref="A1:D1"/>
    <mergeCell ref="E1:F1"/>
    <mergeCell ref="A2:C2"/>
  </mergeCells>
  <conditionalFormatting sqref="E3:E76">
    <cfRule type="cellIs" dxfId="220" priority="3" operator="equal">
      <formula>"not ok"</formula>
    </cfRule>
    <cfRule type="cellIs" dxfId="219" priority="4" operator="equal">
      <formula>"ok"</formula>
    </cfRule>
  </conditionalFormatting>
  <conditionalFormatting sqref="A8">
    <cfRule type="cellIs" dxfId="218" priority="1" operator="equal">
      <formula>"ok"</formula>
    </cfRule>
    <cfRule type="cellIs" dxfId="217" priority="2" operator="equal">
      <formula>"KO"</formula>
    </cfRule>
  </conditionalFormatting>
  <dataValidations count="5">
    <dataValidation type="decimal" errorStyle="warning" operator="greaterThanOrEqual" allowBlank="1" showInputMessage="1" showErrorMessage="1" errorTitle="Atenção" error="O valor inserido é menor que 100 mm, verifique a unidade de medida!" sqref="C64 C51" xr:uid="{BFEF068C-F810-459C-982E-B8892F293A3A}">
      <formula1>100</formula1>
    </dataValidation>
    <dataValidation type="list" allowBlank="1" showInputMessage="1" showErrorMessage="1" sqref="E3:E76" xr:uid="{96F4B733-ABD5-4AF7-A0D9-BD90FA397C12}">
      <formula1>"ok, not ok"</formula1>
    </dataValidation>
    <dataValidation type="list" allowBlank="1" showInputMessage="1" showErrorMessage="1" sqref="A24" xr:uid="{E6922D1F-1D3B-4049-A448-5A75330413F8}">
      <formula1>"Aço,PU"</formula1>
    </dataValidation>
    <dataValidation errorStyle="information" operator="greaterThanOrEqual" allowBlank="1" showInputMessage="1" showErrorMessage="1" error="ATENÇÃO: MBR de travamento da vértebra é menor que o MBR de instalação da linha!_x000a_" sqref="C28:C29" xr:uid="{153F2A22-B8AE-4054-BB58-D420DCDF163C}"/>
    <dataValidation type="decimal" errorStyle="information" operator="greaterThanOrEqual" allowBlank="1" showInputMessage="1" showErrorMessage="1" error="ATENÇÃO: MBR de travamento da vértebra é menor que o MBR de instalação da linha!_x000a_" sqref="C27" xr:uid="{05177398-7769-4FF9-BEB7-725D5DFB9F9F}">
      <formula1>C13</formula1>
    </dataValidation>
  </dataValidations>
  <pageMargins left="0.7" right="0.7" top="0.75" bottom="0.75" header="0.3" footer="0.3"/>
  <pageSetup paperSize="9" orientation="portrait" r:id="rId1"/>
  <ignoredErrors>
    <ignoredError sqref="C54:C56 C67:C69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4" r:id="rId4" name="Button 8">
              <controlPr defaultSize="0" print="0" autoFill="0" autoPict="0" macro="[0]!GetDataFromRtSpreadsheet">
                <anchor moveWithCells="1">
                  <from>
                    <xdr:col>0</xdr:col>
                    <xdr:colOff>76200</xdr:colOff>
                    <xdr:row>0</xdr:row>
                    <xdr:rowOff>57150</xdr:rowOff>
                  </from>
                  <to>
                    <xdr:col>1</xdr:col>
                    <xdr:colOff>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20E09-507D-4C00-802B-368DC8D3F2A8}">
  <sheetPr codeName="Sheet20"/>
  <dimension ref="A1:S42"/>
  <sheetViews>
    <sheetView zoomScale="80" zoomScaleNormal="80" workbookViewId="0">
      <selection activeCell="G23" sqref="G23:H25"/>
    </sheetView>
  </sheetViews>
  <sheetFormatPr defaultColWidth="0" defaultRowHeight="0" customHeight="1" zeroHeight="1" x14ac:dyDescent="0.2"/>
  <cols>
    <col min="1" max="1" width="15.7109375" style="148" customWidth="1"/>
    <col min="2" max="2" width="40.7109375" style="148" customWidth="1"/>
    <col min="3" max="5" width="15.7109375" style="148" customWidth="1"/>
    <col min="6" max="6" width="22.28515625" style="148" customWidth="1"/>
    <col min="7" max="12" width="15.7109375" style="148" customWidth="1"/>
    <col min="13" max="13" width="9.28515625" style="148" customWidth="1"/>
    <col min="14" max="18" width="15.7109375" style="148" customWidth="1"/>
    <col min="19" max="19" width="1.7109375" style="148" customWidth="1"/>
    <col min="20" max="16384" width="9.140625" style="148" hidden="1"/>
  </cols>
  <sheetData>
    <row r="1" spans="1:18" ht="20.100000000000001" customHeight="1" x14ac:dyDescent="0.2">
      <c r="A1" s="118"/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</row>
    <row r="2" spans="1:18" ht="20.100000000000001" customHeight="1" thickBot="1" x14ac:dyDescent="0.25">
      <c r="A2" s="806" t="s">
        <v>304</v>
      </c>
      <c r="B2" s="807"/>
      <c r="C2" s="440" t="s">
        <v>124</v>
      </c>
      <c r="D2" s="440" t="s">
        <v>305</v>
      </c>
      <c r="E2" s="118"/>
      <c r="F2" s="118"/>
      <c r="G2" s="118"/>
      <c r="H2" s="118"/>
      <c r="I2" s="806" t="s">
        <v>306</v>
      </c>
      <c r="J2" s="807"/>
      <c r="K2" s="808"/>
      <c r="M2" s="118"/>
      <c r="Q2" s="147"/>
      <c r="R2" s="118"/>
    </row>
    <row r="3" spans="1:18" ht="20.100000000000001" customHeight="1" thickTop="1" x14ac:dyDescent="0.25">
      <c r="A3" s="126" t="s">
        <v>160</v>
      </c>
      <c r="B3" s="761" t="s">
        <v>2208</v>
      </c>
      <c r="C3" s="471"/>
      <c r="D3" s="125"/>
      <c r="E3" s="118"/>
      <c r="F3" s="118"/>
      <c r="G3" s="118"/>
      <c r="H3" s="118"/>
      <c r="I3" s="126">
        <v>0.25</v>
      </c>
      <c r="J3" s="126">
        <v>0.25</v>
      </c>
      <c r="K3" s="126">
        <v>1.2</v>
      </c>
      <c r="M3" s="118"/>
      <c r="Q3" s="119"/>
      <c r="R3" s="118"/>
    </row>
    <row r="4" spans="1:18" ht="20.100000000000001" customHeight="1" x14ac:dyDescent="0.25">
      <c r="A4" s="128" t="s">
        <v>158</v>
      </c>
      <c r="B4" s="762" t="s">
        <v>128</v>
      </c>
      <c r="C4" s="666"/>
      <c r="D4" s="452"/>
      <c r="E4" s="118"/>
      <c r="F4" s="118"/>
      <c r="G4" s="118"/>
      <c r="H4" s="118"/>
      <c r="I4" s="128">
        <v>-0.25</v>
      </c>
      <c r="J4" s="128">
        <v>0.25</v>
      </c>
      <c r="K4" s="128">
        <v>1.2</v>
      </c>
      <c r="M4" s="118"/>
      <c r="Q4" s="119"/>
      <c r="R4" s="118"/>
    </row>
    <row r="5" spans="1:18" ht="20.100000000000001" customHeight="1" x14ac:dyDescent="0.25">
      <c r="A5" s="128" t="s">
        <v>307</v>
      </c>
      <c r="B5" s="763" t="s">
        <v>2209</v>
      </c>
      <c r="C5" s="471"/>
      <c r="D5" s="125"/>
      <c r="E5" s="118"/>
      <c r="F5" s="118"/>
      <c r="G5" s="118"/>
      <c r="H5" s="118"/>
      <c r="I5" s="128">
        <v>-0.25</v>
      </c>
      <c r="J5" s="128">
        <v>-0.25</v>
      </c>
      <c r="K5" s="128">
        <v>1.2</v>
      </c>
      <c r="M5" s="118"/>
      <c r="Q5" s="119"/>
      <c r="R5" s="118"/>
    </row>
    <row r="6" spans="1:18" ht="20.100000000000001" customHeight="1" x14ac:dyDescent="0.25">
      <c r="A6" s="128" t="s">
        <v>308</v>
      </c>
      <c r="B6" s="764" t="s">
        <v>2210</v>
      </c>
      <c r="C6" s="471"/>
      <c r="D6" s="125"/>
      <c r="E6" s="118"/>
      <c r="F6" s="118"/>
      <c r="G6" s="118"/>
      <c r="H6" s="118"/>
      <c r="I6" s="128">
        <v>0.25</v>
      </c>
      <c r="J6" s="128">
        <v>-0.25</v>
      </c>
      <c r="K6" s="128">
        <v>1.2</v>
      </c>
      <c r="M6" s="118"/>
      <c r="Q6" s="119"/>
      <c r="R6" s="118"/>
    </row>
    <row r="7" spans="1:18" ht="20.100000000000001" customHeight="1" x14ac:dyDescent="0.25">
      <c r="A7" s="128" t="s">
        <v>309</v>
      </c>
      <c r="B7" s="765" t="s">
        <v>2211</v>
      </c>
      <c r="C7" s="471"/>
      <c r="D7" s="125"/>
      <c r="E7" s="118"/>
      <c r="F7" s="118"/>
      <c r="G7" s="118"/>
      <c r="H7" s="118"/>
      <c r="I7" s="128">
        <v>0.5</v>
      </c>
      <c r="J7" s="128">
        <v>0.5</v>
      </c>
      <c r="K7" s="128">
        <v>0</v>
      </c>
      <c r="M7" s="118"/>
      <c r="Q7" s="119"/>
      <c r="R7" s="118"/>
    </row>
    <row r="8" spans="1:18" ht="20.100000000000001" customHeight="1" x14ac:dyDescent="0.25">
      <c r="A8" s="128" t="s">
        <v>310</v>
      </c>
      <c r="B8" s="762">
        <v>3810</v>
      </c>
      <c r="C8" s="666"/>
      <c r="D8" s="453"/>
      <c r="E8" s="118"/>
      <c r="F8" s="118"/>
      <c r="G8" s="118"/>
      <c r="H8" s="118"/>
      <c r="I8" s="128">
        <v>-0.5</v>
      </c>
      <c r="J8" s="128">
        <v>0.5</v>
      </c>
      <c r="K8" s="128">
        <v>0</v>
      </c>
      <c r="M8" s="118"/>
      <c r="Q8" s="119"/>
      <c r="R8" s="118"/>
    </row>
    <row r="9" spans="1:18" ht="20.100000000000001" customHeight="1" x14ac:dyDescent="0.2">
      <c r="A9" s="128" t="s">
        <v>311</v>
      </c>
      <c r="B9" s="766">
        <v>502</v>
      </c>
      <c r="C9" s="666"/>
      <c r="D9" s="453"/>
      <c r="E9" s="118"/>
      <c r="F9" s="118"/>
      <c r="G9" s="118"/>
      <c r="H9" s="118"/>
      <c r="I9" s="128">
        <v>-0.5</v>
      </c>
      <c r="J9" s="128">
        <v>-0.5</v>
      </c>
      <c r="K9" s="128">
        <v>0</v>
      </c>
      <c r="M9" s="118"/>
      <c r="Q9" s="119"/>
      <c r="R9" s="118"/>
    </row>
    <row r="10" spans="1:18" ht="20.100000000000001" customHeight="1" x14ac:dyDescent="0.2">
      <c r="A10" s="128" t="s">
        <v>312</v>
      </c>
      <c r="B10" s="766">
        <v>907</v>
      </c>
      <c r="C10" s="666"/>
      <c r="D10" s="453"/>
      <c r="E10" s="118"/>
      <c r="F10" s="118"/>
      <c r="G10" s="118"/>
      <c r="H10" s="118"/>
      <c r="I10" s="128">
        <v>0.5</v>
      </c>
      <c r="J10" s="128">
        <v>-0.5</v>
      </c>
      <c r="K10" s="128">
        <v>0</v>
      </c>
      <c r="M10" s="118"/>
      <c r="Q10" s="119"/>
      <c r="R10" s="118"/>
    </row>
    <row r="11" spans="1:18" ht="20.100000000000001" customHeight="1" x14ac:dyDescent="0.2">
      <c r="A11" s="128" t="s">
        <v>313</v>
      </c>
      <c r="B11" s="766">
        <v>681</v>
      </c>
      <c r="C11" s="666"/>
      <c r="D11" s="453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</row>
    <row r="12" spans="1:18" ht="20.100000000000001" customHeight="1" x14ac:dyDescent="0.2">
      <c r="A12" s="128" t="s">
        <v>314</v>
      </c>
      <c r="B12" s="766">
        <v>864</v>
      </c>
      <c r="C12" s="666"/>
      <c r="D12" s="453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</row>
    <row r="13" spans="1:18" ht="20.100000000000001" customHeight="1" x14ac:dyDescent="0.2">
      <c r="A13" s="128" t="s">
        <v>315</v>
      </c>
      <c r="B13" s="766">
        <v>2037</v>
      </c>
      <c r="C13" s="666"/>
      <c r="D13" s="453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22"/>
      <c r="P13" s="118"/>
      <c r="Q13" s="118"/>
      <c r="R13" s="118"/>
    </row>
    <row r="14" spans="1:18" ht="20.100000000000001" customHeight="1" thickBot="1" x14ac:dyDescent="0.25">
      <c r="A14" s="128" t="s">
        <v>316</v>
      </c>
      <c r="B14" s="767">
        <v>839</v>
      </c>
      <c r="C14" s="666"/>
      <c r="D14" s="453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</row>
    <row r="15" spans="1:18" ht="20.100000000000001" customHeight="1" x14ac:dyDescent="0.2">
      <c r="A15" s="128" t="s">
        <v>2167</v>
      </c>
      <c r="B15" s="454">
        <v>0</v>
      </c>
      <c r="C15" s="666"/>
      <c r="D15" s="453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</row>
    <row r="16" spans="1:18" ht="20.100000000000001" customHeight="1" x14ac:dyDescent="0.2">
      <c r="A16" s="118"/>
      <c r="B16" s="118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18"/>
    </row>
    <row r="17" spans="1:18" ht="20.100000000000001" customHeight="1" thickBot="1" x14ac:dyDescent="0.25">
      <c r="A17" s="806" t="s">
        <v>318</v>
      </c>
      <c r="B17" s="807"/>
      <c r="C17" s="808"/>
      <c r="D17" s="733" t="s">
        <v>124</v>
      </c>
      <c r="E17" s="733" t="s">
        <v>305</v>
      </c>
      <c r="F17" s="118"/>
      <c r="G17" s="806" t="s">
        <v>317</v>
      </c>
      <c r="H17" s="808"/>
      <c r="I17" s="117"/>
      <c r="J17" s="117"/>
      <c r="K17" s="118"/>
      <c r="L17" s="118"/>
      <c r="M17" s="118"/>
    </row>
    <row r="18" spans="1:18" ht="20.100000000000001" customHeight="1" thickTop="1" x14ac:dyDescent="0.2">
      <c r="A18" s="809" t="s">
        <v>319</v>
      </c>
      <c r="B18" s="125" t="s">
        <v>320</v>
      </c>
      <c r="C18" s="129">
        <f>C19</f>
        <v>5043</v>
      </c>
      <c r="D18" s="471"/>
      <c r="E18" s="455"/>
      <c r="F18" s="118"/>
      <c r="G18" s="465" t="s">
        <v>142</v>
      </c>
      <c r="H18" s="467">
        <f>Values!C3</f>
        <v>2240</v>
      </c>
      <c r="I18" s="122"/>
      <c r="J18" s="122"/>
      <c r="K18" s="122"/>
      <c r="L18" s="118"/>
      <c r="M18" s="118"/>
    </row>
    <row r="19" spans="1:18" ht="20.100000000000001" customHeight="1" x14ac:dyDescent="0.25">
      <c r="A19" s="810"/>
      <c r="B19" s="123" t="s">
        <v>322</v>
      </c>
      <c r="C19" s="768">
        <v>5043</v>
      </c>
      <c r="D19" s="666"/>
      <c r="E19" s="456"/>
      <c r="F19" s="118"/>
      <c r="G19" s="466" t="s">
        <v>321</v>
      </c>
      <c r="H19" s="468">
        <f>+H18-(B8/1000)-(B9/1000)</f>
        <v>2235.6880000000001</v>
      </c>
      <c r="I19" s="118"/>
      <c r="J19" s="118"/>
      <c r="K19" s="118"/>
      <c r="L19" s="118"/>
      <c r="M19" s="118"/>
    </row>
    <row r="20" spans="1:18" ht="20.100000000000001" customHeight="1" x14ac:dyDescent="0.2">
      <c r="A20" s="811"/>
      <c r="B20" s="124" t="s">
        <v>323</v>
      </c>
      <c r="C20" s="130">
        <v>9.9999999999999995E-7</v>
      </c>
      <c r="D20" s="666"/>
      <c r="E20" s="456"/>
      <c r="F20" s="118"/>
      <c r="G20" s="118"/>
      <c r="H20" s="118"/>
      <c r="I20" s="118"/>
      <c r="J20" s="118"/>
      <c r="K20" s="118"/>
      <c r="L20" s="118"/>
      <c r="M20" s="118"/>
    </row>
    <row r="21" spans="1:18" ht="20.100000000000001" customHeight="1" thickBot="1" x14ac:dyDescent="0.25">
      <c r="A21" s="803" t="s">
        <v>325</v>
      </c>
      <c r="B21" s="123" t="s">
        <v>326</v>
      </c>
      <c r="C21" s="131">
        <f>+(B13/1000)-(B11/1000)</f>
        <v>1.3559999999999999</v>
      </c>
      <c r="D21" s="666"/>
      <c r="E21" s="456"/>
      <c r="F21" s="118"/>
      <c r="G21" s="806" t="s">
        <v>324</v>
      </c>
      <c r="H21" s="807"/>
      <c r="I21" s="808"/>
      <c r="J21" s="732" t="s">
        <v>124</v>
      </c>
      <c r="K21" s="733" t="s">
        <v>305</v>
      </c>
      <c r="L21" s="118"/>
      <c r="M21" s="118"/>
    </row>
    <row r="22" spans="1:18" ht="20.100000000000001" customHeight="1" thickTop="1" x14ac:dyDescent="0.2">
      <c r="A22" s="804"/>
      <c r="B22" s="123" t="s">
        <v>2170</v>
      </c>
      <c r="C22" s="131">
        <f>IF(ISBLANK(B15), 0, B15/1000)</f>
        <v>0</v>
      </c>
      <c r="D22" s="666"/>
      <c r="E22" s="456"/>
      <c r="F22" s="118"/>
      <c r="G22" s="126">
        <v>0</v>
      </c>
      <c r="H22" s="127">
        <f>B8</f>
        <v>3810</v>
      </c>
      <c r="I22" s="460">
        <f>H18</f>
        <v>2240</v>
      </c>
      <c r="J22" s="471"/>
      <c r="K22" s="463"/>
      <c r="L22" s="118"/>
      <c r="M22" s="118"/>
    </row>
    <row r="23" spans="1:18" ht="20.100000000000001" customHeight="1" x14ac:dyDescent="0.25">
      <c r="A23" s="805"/>
      <c r="B23" s="123" t="s">
        <v>2171</v>
      </c>
      <c r="C23" s="131">
        <f>+(B14/1000)-(B12/1000)</f>
        <v>-2.5000000000000022E-2</v>
      </c>
      <c r="D23" s="666"/>
      <c r="E23" s="456"/>
      <c r="F23" s="118"/>
      <c r="G23" s="769">
        <v>5</v>
      </c>
      <c r="H23" s="770">
        <v>3810</v>
      </c>
      <c r="I23" s="461">
        <f>IF(OR(H23=0,H23=""),$I22,$I$22+((H23/1000)-($H$22/1000)))</f>
        <v>2240</v>
      </c>
      <c r="J23" s="666"/>
      <c r="K23" s="464"/>
      <c r="L23" s="118"/>
      <c r="M23" s="118"/>
    </row>
    <row r="24" spans="1:18" ht="20.100000000000001" customHeight="1" x14ac:dyDescent="0.25">
      <c r="A24" s="803" t="s">
        <v>327</v>
      </c>
      <c r="B24" s="123" t="s">
        <v>2168</v>
      </c>
      <c r="C24" s="131">
        <f>+(B13/1000)+(B9/1000)</f>
        <v>2.5389999999999997</v>
      </c>
      <c r="D24" s="666"/>
      <c r="E24" s="456"/>
      <c r="F24" s="118"/>
      <c r="G24" s="769">
        <v>10</v>
      </c>
      <c r="H24" s="770">
        <v>3810</v>
      </c>
      <c r="I24" s="461">
        <f>IF(OR(H24=0,H24=""),$I23,$I$22+((H24/1000)-($H$22/1000)))</f>
        <v>2240</v>
      </c>
      <c r="J24" s="666"/>
      <c r="K24" s="464"/>
      <c r="L24" s="118"/>
      <c r="M24" s="118"/>
    </row>
    <row r="25" spans="1:18" ht="20.100000000000001" customHeight="1" thickBot="1" x14ac:dyDescent="0.3">
      <c r="A25" s="804"/>
      <c r="B25" s="123" t="s">
        <v>2172</v>
      </c>
      <c r="C25" s="131">
        <v>0</v>
      </c>
      <c r="D25" s="666"/>
      <c r="E25" s="456"/>
      <c r="F25" s="118"/>
      <c r="G25" s="771">
        <v>15</v>
      </c>
      <c r="H25" s="772">
        <v>3810</v>
      </c>
      <c r="I25" s="461">
        <f>IF(OR(H25=0,H25=""),$I24,$I$22+((H25/1000)-($H$22/1000)))</f>
        <v>2240</v>
      </c>
      <c r="J25" s="666"/>
      <c r="K25" s="464"/>
      <c r="L25" s="118"/>
      <c r="M25" s="118"/>
      <c r="N25" s="118"/>
      <c r="O25" s="118"/>
      <c r="P25" s="118"/>
      <c r="Q25" s="118"/>
      <c r="R25" s="118"/>
    </row>
    <row r="26" spans="1:18" ht="20.100000000000001" customHeight="1" x14ac:dyDescent="0.2">
      <c r="A26" s="805"/>
      <c r="B26" s="123" t="s">
        <v>329</v>
      </c>
      <c r="C26" s="131">
        <f>+(B14/1000)-(B10/1000)</f>
        <v>-6.800000000000006E-2</v>
      </c>
      <c r="D26" s="666"/>
      <c r="E26" s="456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</row>
    <row r="27" spans="1:18" ht="20.100000000000001" customHeight="1" x14ac:dyDescent="0.2">
      <c r="A27" s="803" t="s">
        <v>328</v>
      </c>
      <c r="B27" s="123" t="s">
        <v>2169</v>
      </c>
      <c r="C27" s="131">
        <f>+(B13/1000)</f>
        <v>2.0369999999999999</v>
      </c>
      <c r="D27" s="666"/>
      <c r="E27" s="456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</row>
    <row r="28" spans="1:18" ht="20.100000000000001" customHeight="1" x14ac:dyDescent="0.2">
      <c r="A28" s="804"/>
      <c r="B28" s="123" t="s">
        <v>2173</v>
      </c>
      <c r="C28" s="131">
        <v>0</v>
      </c>
      <c r="D28" s="666"/>
      <c r="E28" s="456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</row>
    <row r="29" spans="1:18" ht="20.100000000000001" customHeight="1" x14ac:dyDescent="0.2">
      <c r="A29" s="805"/>
      <c r="B29" s="123" t="s">
        <v>2174</v>
      </c>
      <c r="C29" s="131">
        <f>+(B14/1000)</f>
        <v>0.83899999999999997</v>
      </c>
      <c r="D29" s="666"/>
      <c r="E29" s="456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</row>
    <row r="30" spans="1:18" ht="20.100000000000001" customHeight="1" x14ac:dyDescent="0.2">
      <c r="A30" s="457" t="s">
        <v>330</v>
      </c>
      <c r="B30" s="123" t="s">
        <v>331</v>
      </c>
      <c r="C30" s="131">
        <f>H18-((B8/1000)-(B13/1000))</f>
        <v>2238.2269999999999</v>
      </c>
      <c r="D30" s="666"/>
      <c r="E30" s="123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</row>
    <row r="31" spans="1:18" ht="20.100000000000001" customHeight="1" x14ac:dyDescent="0.2">
      <c r="A31" s="458" t="s">
        <v>332</v>
      </c>
      <c r="B31" s="123" t="s">
        <v>333</v>
      </c>
      <c r="C31" s="459">
        <v>60</v>
      </c>
      <c r="D31" s="666"/>
      <c r="E31" s="123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</row>
    <row r="32" spans="1:18" ht="20.100000000000001" customHeight="1" x14ac:dyDescent="0.2">
      <c r="A32" s="118"/>
      <c r="B32" s="118" t="s">
        <v>1669</v>
      </c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</row>
    <row r="33" spans="1:18" ht="20.100000000000001" customHeight="1" x14ac:dyDescent="0.2">
      <c r="A33" s="118"/>
      <c r="B33" s="118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</row>
    <row r="34" spans="1:18" ht="20.100000000000001" customHeight="1" x14ac:dyDescent="0.2">
      <c r="A34" s="118"/>
      <c r="B34" s="118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</row>
    <row r="35" spans="1:18" ht="20.100000000000001" customHeight="1" x14ac:dyDescent="0.2">
      <c r="A35" s="118"/>
      <c r="B35" s="118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</row>
    <row r="36" spans="1:18" ht="20.100000000000001" customHeight="1" x14ac:dyDescent="0.2">
      <c r="A36" s="118"/>
      <c r="B36" s="118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</row>
    <row r="37" spans="1:18" ht="20.100000000000001" customHeight="1" x14ac:dyDescent="0.2">
      <c r="A37" s="118"/>
      <c r="B37" s="118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</row>
    <row r="38" spans="1:18" ht="20.100000000000001" customHeight="1" x14ac:dyDescent="0.2">
      <c r="A38" s="118"/>
      <c r="B38" s="118"/>
      <c r="C38" s="118"/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</row>
    <row r="39" spans="1:18" ht="20.100000000000001" customHeight="1" x14ac:dyDescent="0.2">
      <c r="A39" s="118"/>
      <c r="B39" s="118"/>
      <c r="C39" s="118"/>
      <c r="D39" s="118"/>
      <c r="E39" s="118"/>
      <c r="F39" s="118"/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</row>
    <row r="40" spans="1:18" ht="20.100000000000001" customHeight="1" x14ac:dyDescent="0.2">
      <c r="A40" s="118"/>
      <c r="B40" s="118"/>
      <c r="C40" s="118"/>
      <c r="D40" s="118"/>
      <c r="E40" s="118"/>
    </row>
    <row r="41" spans="1:18" ht="0" hidden="1" customHeight="1" x14ac:dyDescent="0.2">
      <c r="A41" s="118"/>
      <c r="B41" s="118"/>
      <c r="C41" s="118"/>
      <c r="D41" s="118"/>
      <c r="E41" s="118"/>
    </row>
    <row r="42" spans="1:18" ht="0" hidden="1" customHeight="1" x14ac:dyDescent="0.2">
      <c r="A42" s="118"/>
      <c r="B42" s="118"/>
      <c r="C42" s="118"/>
      <c r="D42" s="118"/>
      <c r="E42" s="118"/>
    </row>
  </sheetData>
  <mergeCells count="9">
    <mergeCell ref="A27:A29"/>
    <mergeCell ref="A2:B2"/>
    <mergeCell ref="G17:H17"/>
    <mergeCell ref="A17:C17"/>
    <mergeCell ref="A18:A20"/>
    <mergeCell ref="G21:I21"/>
    <mergeCell ref="I2:K2"/>
    <mergeCell ref="A21:A23"/>
    <mergeCell ref="A24:A26"/>
  </mergeCells>
  <conditionalFormatting sqref="J22:J25 C3:C15 D18:D31">
    <cfRule type="cellIs" dxfId="216" priority="1" operator="equal">
      <formula>"not ok"</formula>
    </cfRule>
    <cfRule type="cellIs" dxfId="215" priority="2" operator="equal">
      <formula>"ok"</formula>
    </cfRule>
  </conditionalFormatting>
  <dataValidations count="3">
    <dataValidation allowBlank="1" showErrorMessage="1" prompt="O conteúdo desta célula não deve ser alterado." sqref="C18 H19 H22 I22:I25 C20:C30" xr:uid="{18A015DD-B6DA-49F2-9B81-74096A98648B}"/>
    <dataValidation type="list" allowBlank="1" showInputMessage="1" showErrorMessage="1" sqref="C3:C15 D18:D31" xr:uid="{9003EF24-CE02-4D30-A956-A5B84497566C}">
      <formula1>"ok, not ok"</formula1>
    </dataValidation>
    <dataValidation type="list" allowBlank="1" showErrorMessage="1" prompt="O conteúdo desta célula não deve ser alterado." sqref="J22:J25" xr:uid="{CDBB17D7-87EA-4137-A4A1-E449CA922820}">
      <formula1>"ok, not ok"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AN1267"/>
  <sheetViews>
    <sheetView zoomScale="80" zoomScaleNormal="80" workbookViewId="0">
      <selection activeCell="D9" sqref="D9"/>
    </sheetView>
  </sheetViews>
  <sheetFormatPr defaultColWidth="0" defaultRowHeight="15" customHeight="1" x14ac:dyDescent="0.2"/>
  <cols>
    <col min="1" max="1" width="1.7109375" style="210" customWidth="1"/>
    <col min="2" max="4" width="12.7109375" style="51" customWidth="1"/>
    <col min="5" max="5" width="5.7109375" style="118" customWidth="1"/>
    <col min="6" max="7" width="20.7109375" style="118" customWidth="1"/>
    <col min="8" max="8" width="2.7109375" style="210" customWidth="1"/>
    <col min="9" max="11" width="12.7109375" style="51" customWidth="1"/>
    <col min="12" max="12" width="5.7109375" style="118" customWidth="1"/>
    <col min="13" max="14" width="20.7109375" style="118" customWidth="1"/>
    <col min="15" max="15" width="2.7109375" style="210" customWidth="1"/>
    <col min="16" max="18" width="12.7109375" style="51" customWidth="1"/>
    <col min="19" max="19" width="5.7109375" style="118" customWidth="1"/>
    <col min="20" max="21" width="20.7109375" style="118" customWidth="1"/>
    <col min="22" max="22" width="2.7109375" style="210" customWidth="1"/>
    <col min="23" max="24" width="20.7109375" style="118" customWidth="1"/>
    <col min="25" max="25" width="2.7109375" style="210" customWidth="1"/>
    <col min="26" max="32" width="9.140625" style="210" customWidth="1"/>
    <col min="33" max="40" width="0" style="210" hidden="1" customWidth="1"/>
    <col min="41" max="16384" width="9.140625" style="210" hidden="1"/>
  </cols>
  <sheetData>
    <row r="1" spans="1:24" ht="30" customHeight="1" x14ac:dyDescent="0.2">
      <c r="B1" s="817" t="s">
        <v>1766</v>
      </c>
      <c r="C1" s="817"/>
      <c r="D1" s="817"/>
      <c r="E1" s="817"/>
      <c r="F1" s="817"/>
      <c r="G1" s="817"/>
      <c r="I1" s="817" t="s">
        <v>1782</v>
      </c>
      <c r="J1" s="817"/>
      <c r="K1" s="817"/>
      <c r="L1" s="817"/>
      <c r="M1" s="817"/>
      <c r="N1" s="817"/>
      <c r="P1" s="817" t="s">
        <v>1781</v>
      </c>
      <c r="Q1" s="817"/>
      <c r="R1" s="817"/>
      <c r="S1" s="817"/>
      <c r="T1" s="817"/>
      <c r="U1" s="817"/>
      <c r="W1" s="817" t="s">
        <v>1780</v>
      </c>
      <c r="X1" s="817"/>
    </row>
    <row r="2" spans="1:24" ht="12.75" x14ac:dyDescent="0.2">
      <c r="B2" s="118"/>
      <c r="C2" s="118"/>
      <c r="D2" s="118"/>
      <c r="I2" s="118"/>
      <c r="J2" s="118"/>
      <c r="K2" s="118"/>
      <c r="P2" s="118"/>
      <c r="Q2" s="118"/>
      <c r="R2" s="118"/>
    </row>
    <row r="3" spans="1:24" ht="13.5" thickBot="1" x14ac:dyDescent="0.25">
      <c r="B3" s="818" t="s">
        <v>1616</v>
      </c>
      <c r="C3" s="819"/>
      <c r="D3" s="820"/>
      <c r="I3" s="818" t="s">
        <v>1615</v>
      </c>
      <c r="J3" s="819"/>
      <c r="K3" s="820"/>
      <c r="P3" s="818" t="s">
        <v>1617</v>
      </c>
      <c r="Q3" s="819"/>
      <c r="R3" s="820"/>
    </row>
    <row r="4" spans="1:24" ht="13.5" thickTop="1" x14ac:dyDescent="0.2">
      <c r="B4" s="823" t="s">
        <v>334</v>
      </c>
      <c r="C4" s="823"/>
      <c r="D4" s="469">
        <v>40</v>
      </c>
      <c r="I4" s="823" t="s">
        <v>334</v>
      </c>
      <c r="J4" s="823"/>
      <c r="K4" s="469">
        <v>40</v>
      </c>
      <c r="O4" s="214"/>
      <c r="P4" s="823" t="s">
        <v>334</v>
      </c>
      <c r="Q4" s="823"/>
      <c r="R4" s="469">
        <v>40</v>
      </c>
    </row>
    <row r="5" spans="1:24" ht="12.75" x14ac:dyDescent="0.2">
      <c r="B5" s="821" t="s">
        <v>335</v>
      </c>
      <c r="C5" s="821"/>
      <c r="D5" s="471" t="s">
        <v>1618</v>
      </c>
      <c r="H5" s="213"/>
      <c r="I5" s="821" t="s">
        <v>335</v>
      </c>
      <c r="J5" s="821"/>
      <c r="K5" s="471" t="s">
        <v>1618</v>
      </c>
      <c r="O5" s="214"/>
      <c r="P5" s="821" t="s">
        <v>335</v>
      </c>
      <c r="Q5" s="821"/>
      <c r="R5" s="471" t="s">
        <v>1618</v>
      </c>
    </row>
    <row r="6" spans="1:24" ht="12.75" x14ac:dyDescent="0.2">
      <c r="B6" s="821" t="s">
        <v>336</v>
      </c>
      <c r="C6" s="821"/>
      <c r="D6" s="470"/>
      <c r="H6" s="213"/>
      <c r="I6" s="821" t="s">
        <v>336</v>
      </c>
      <c r="J6" s="821"/>
      <c r="K6" s="470"/>
      <c r="O6" s="214"/>
      <c r="P6" s="821" t="s">
        <v>336</v>
      </c>
      <c r="Q6" s="821"/>
      <c r="R6" s="470"/>
    </row>
    <row r="7" spans="1:24" ht="12.75" x14ac:dyDescent="0.2">
      <c r="B7" s="813" t="s">
        <v>1864</v>
      </c>
      <c r="C7" s="814"/>
      <c r="D7" s="471" t="s">
        <v>1866</v>
      </c>
      <c r="H7" s="213"/>
      <c r="I7" s="813" t="s">
        <v>1864</v>
      </c>
      <c r="J7" s="814"/>
      <c r="K7" s="471" t="s">
        <v>1866</v>
      </c>
      <c r="O7" s="214"/>
      <c r="P7" s="813" t="s">
        <v>1864</v>
      </c>
      <c r="Q7" s="814"/>
      <c r="R7" s="471" t="s">
        <v>1866</v>
      </c>
    </row>
    <row r="8" spans="1:24" ht="12.75" x14ac:dyDescent="0.2">
      <c r="B8" s="813" t="s">
        <v>1863</v>
      </c>
      <c r="C8" s="814"/>
      <c r="D8" s="469">
        <v>1.0249999999999999</v>
      </c>
      <c r="H8" s="213"/>
      <c r="I8" s="813" t="s">
        <v>1863</v>
      </c>
      <c r="J8" s="814"/>
      <c r="K8" s="469">
        <v>1.0249999999999999</v>
      </c>
      <c r="O8" s="214"/>
      <c r="P8" s="813" t="s">
        <v>1863</v>
      </c>
      <c r="Q8" s="814"/>
      <c r="R8" s="469">
        <v>1.0249999999999999</v>
      </c>
    </row>
    <row r="9" spans="1:24" ht="12.75" x14ac:dyDescent="0.2">
      <c r="B9" s="813" t="s">
        <v>1865</v>
      </c>
      <c r="C9" s="814"/>
      <c r="D9" s="471" t="s">
        <v>2212</v>
      </c>
      <c r="H9" s="213"/>
      <c r="I9" s="813" t="s">
        <v>1865</v>
      </c>
      <c r="J9" s="814"/>
      <c r="K9" s="126" t="str">
        <f>IF(ISTEXT(D9), D9, "")</f>
        <v>Alagado</v>
      </c>
      <c r="O9" s="214"/>
      <c r="P9" s="813" t="s">
        <v>1865</v>
      </c>
      <c r="Q9" s="814"/>
      <c r="R9" s="126" t="str">
        <f>IF(ISTEXT(D9), D9, "")</f>
        <v>Alagado</v>
      </c>
    </row>
    <row r="10" spans="1:24" ht="12.75" x14ac:dyDescent="0.2">
      <c r="B10" s="211"/>
      <c r="C10" s="211"/>
      <c r="D10" s="211"/>
      <c r="E10" s="51"/>
      <c r="F10" s="51"/>
      <c r="G10" s="51"/>
      <c r="H10" s="213"/>
      <c r="I10" s="211"/>
      <c r="J10" s="211"/>
      <c r="K10" s="211"/>
      <c r="L10" s="51"/>
      <c r="M10" s="51"/>
      <c r="N10" s="51"/>
      <c r="O10" s="214"/>
      <c r="P10" s="211"/>
      <c r="Q10" s="211"/>
      <c r="R10" s="211"/>
      <c r="S10" s="51"/>
      <c r="T10" s="51"/>
      <c r="U10" s="51"/>
    </row>
    <row r="11" spans="1:24" ht="12.75" x14ac:dyDescent="0.2">
      <c r="E11" s="51"/>
      <c r="F11" s="51"/>
      <c r="G11" s="51"/>
      <c r="H11" s="213"/>
      <c r="I11" s="211"/>
      <c r="J11" s="211"/>
      <c r="K11" s="211"/>
      <c r="L11" s="51"/>
      <c r="M11" s="51"/>
      <c r="N11" s="51"/>
      <c r="O11" s="214"/>
      <c r="P11" s="211"/>
      <c r="Q11" s="211"/>
      <c r="R11" s="211"/>
      <c r="S11" s="51"/>
      <c r="T11" s="51"/>
      <c r="U11" s="51"/>
    </row>
    <row r="12" spans="1:24" ht="12.75" x14ac:dyDescent="0.2">
      <c r="E12" s="51"/>
      <c r="F12" s="51"/>
      <c r="G12" s="51"/>
      <c r="H12" s="213"/>
      <c r="I12" s="211"/>
      <c r="J12" s="211"/>
      <c r="K12" s="211"/>
      <c r="L12" s="51"/>
      <c r="M12" s="51"/>
      <c r="N12" s="51"/>
      <c r="O12" s="214"/>
      <c r="P12" s="211"/>
      <c r="Q12" s="211"/>
      <c r="R12" s="211"/>
      <c r="S12" s="51"/>
      <c r="T12" s="51"/>
      <c r="U12" s="51"/>
    </row>
    <row r="13" spans="1:24" ht="13.5" thickBot="1" x14ac:dyDescent="0.25">
      <c r="B13" s="462" t="s">
        <v>124</v>
      </c>
      <c r="C13" s="806" t="s">
        <v>305</v>
      </c>
      <c r="D13" s="808"/>
      <c r="E13" s="51"/>
      <c r="F13" s="51"/>
      <c r="G13" s="51"/>
      <c r="H13" s="213"/>
      <c r="I13" s="546" t="s">
        <v>124</v>
      </c>
      <c r="J13" s="806" t="s">
        <v>305</v>
      </c>
      <c r="K13" s="808"/>
      <c r="L13" s="51"/>
      <c r="M13" s="51"/>
      <c r="N13" s="51"/>
      <c r="O13" s="214"/>
      <c r="P13" s="546" t="s">
        <v>124</v>
      </c>
      <c r="Q13" s="806" t="s">
        <v>305</v>
      </c>
      <c r="R13" s="808"/>
      <c r="S13" s="51"/>
      <c r="T13" s="51"/>
      <c r="U13" s="51"/>
      <c r="W13" s="462" t="s">
        <v>124</v>
      </c>
      <c r="X13" s="440" t="s">
        <v>305</v>
      </c>
    </row>
    <row r="14" spans="1:24" ht="13.5" thickTop="1" x14ac:dyDescent="0.2">
      <c r="B14" s="126"/>
      <c r="C14" s="815"/>
      <c r="D14" s="816"/>
      <c r="E14" s="51"/>
      <c r="F14" s="51"/>
      <c r="G14" s="51"/>
      <c r="H14" s="213"/>
      <c r="I14" s="126"/>
      <c r="J14" s="815"/>
      <c r="K14" s="816"/>
      <c r="L14" s="51"/>
      <c r="M14" s="51"/>
      <c r="N14" s="51"/>
      <c r="O14" s="214"/>
      <c r="P14" s="126"/>
      <c r="Q14" s="815"/>
      <c r="R14" s="816"/>
      <c r="S14" s="51"/>
      <c r="T14" s="51"/>
      <c r="U14" s="51"/>
      <c r="W14" s="126"/>
      <c r="X14" s="472"/>
    </row>
    <row r="15" spans="1:24" ht="12.75" x14ac:dyDescent="0.2">
      <c r="B15" s="211"/>
      <c r="C15" s="211"/>
      <c r="D15" s="211"/>
      <c r="E15" s="51"/>
      <c r="F15" s="51"/>
      <c r="G15" s="51"/>
      <c r="H15" s="213"/>
      <c r="L15" s="51"/>
      <c r="M15" s="51"/>
      <c r="N15" s="51"/>
      <c r="O15" s="214"/>
      <c r="S15" s="51"/>
      <c r="T15" s="51"/>
      <c r="U15" s="51"/>
    </row>
    <row r="16" spans="1:24" ht="15" customHeight="1" x14ac:dyDescent="0.2">
      <c r="A16" s="213"/>
      <c r="B16" s="812" t="s">
        <v>1612</v>
      </c>
      <c r="C16" s="812"/>
      <c r="D16" s="812"/>
      <c r="F16" s="812" t="s">
        <v>1609</v>
      </c>
      <c r="G16" s="812"/>
      <c r="H16" s="213"/>
      <c r="I16" s="812" t="s">
        <v>1613</v>
      </c>
      <c r="J16" s="812"/>
      <c r="K16" s="812"/>
      <c r="M16" s="812" t="s">
        <v>1610</v>
      </c>
      <c r="N16" s="812"/>
      <c r="P16" s="812" t="s">
        <v>1614</v>
      </c>
      <c r="Q16" s="812"/>
      <c r="R16" s="812"/>
      <c r="T16" s="812" t="s">
        <v>1611</v>
      </c>
      <c r="U16" s="812"/>
      <c r="W16" s="812" t="s">
        <v>1608</v>
      </c>
      <c r="X16" s="812"/>
    </row>
    <row r="17" spans="2:24" ht="31.5" customHeight="1" thickBot="1" x14ac:dyDescent="0.25">
      <c r="B17" s="612" t="s">
        <v>1605</v>
      </c>
      <c r="C17" s="613" t="s">
        <v>1606</v>
      </c>
      <c r="D17" s="474" t="s">
        <v>1607</v>
      </c>
      <c r="F17" s="217" t="s">
        <v>1603</v>
      </c>
      <c r="G17" s="209" t="s">
        <v>1604</v>
      </c>
      <c r="H17" s="213"/>
      <c r="I17" s="612" t="s">
        <v>1605</v>
      </c>
      <c r="J17" s="628" t="s">
        <v>1606</v>
      </c>
      <c r="K17" s="477" t="s">
        <v>1607</v>
      </c>
      <c r="M17" s="217" t="s">
        <v>1603</v>
      </c>
      <c r="N17" s="209" t="s">
        <v>1604</v>
      </c>
      <c r="P17" s="612" t="s">
        <v>1605</v>
      </c>
      <c r="Q17" s="613" t="s">
        <v>1606</v>
      </c>
      <c r="R17" s="477" t="s">
        <v>1607</v>
      </c>
      <c r="T17" s="217" t="s">
        <v>1603</v>
      </c>
      <c r="U17" s="209" t="s">
        <v>1604</v>
      </c>
      <c r="W17" s="217" t="s">
        <v>1603</v>
      </c>
      <c r="X17" s="209" t="s">
        <v>1604</v>
      </c>
    </row>
    <row r="18" spans="2:24" ht="15" customHeight="1" thickTop="1" x14ac:dyDescent="0.2">
      <c r="B18" s="610">
        <v>0</v>
      </c>
      <c r="C18" s="611">
        <v>0</v>
      </c>
      <c r="D18" s="475">
        <f t="shared" ref="D18:D81" si="0">C18/1000</f>
        <v>0</v>
      </c>
      <c r="F18" s="225">
        <v>0</v>
      </c>
      <c r="G18" s="215">
        <v>0</v>
      </c>
      <c r="H18" s="213"/>
      <c r="I18" s="775">
        <v>0</v>
      </c>
      <c r="J18" s="611">
        <v>0</v>
      </c>
      <c r="K18" s="475">
        <f t="shared" ref="K18:K81" si="1">J18/1000</f>
        <v>0</v>
      </c>
      <c r="M18" s="225">
        <v>0</v>
      </c>
      <c r="N18" s="215">
        <v>0</v>
      </c>
      <c r="P18" s="775">
        <v>0</v>
      </c>
      <c r="Q18" s="611">
        <v>0</v>
      </c>
      <c r="R18" s="475">
        <f t="shared" ref="R18:R81" si="2">Q18/1000</f>
        <v>0</v>
      </c>
      <c r="T18" s="225">
        <v>0</v>
      </c>
      <c r="U18" s="215">
        <v>0</v>
      </c>
      <c r="W18" s="219">
        <v>0</v>
      </c>
      <c r="X18" s="221">
        <v>0</v>
      </c>
    </row>
    <row r="19" spans="2:24" ht="15" customHeight="1" x14ac:dyDescent="0.2">
      <c r="B19" s="773">
        <v>3.0000000000000001E-3</v>
      </c>
      <c r="C19" s="774">
        <v>1322</v>
      </c>
      <c r="D19" s="476">
        <f t="shared" si="0"/>
        <v>1.3220000000000001</v>
      </c>
      <c r="F19" s="226">
        <v>3.0000000000000001E-3</v>
      </c>
      <c r="G19" s="216">
        <v>1.3220000000000001</v>
      </c>
      <c r="H19" s="213"/>
      <c r="I19" s="773">
        <v>3.0000000000000001E-3</v>
      </c>
      <c r="J19" s="473">
        <v>9583</v>
      </c>
      <c r="K19" s="476">
        <f t="shared" si="1"/>
        <v>9.5830000000000002</v>
      </c>
      <c r="M19" s="226">
        <v>3.0000000000000001E-3</v>
      </c>
      <c r="N19" s="216">
        <v>9.5830000000000002</v>
      </c>
      <c r="P19" s="773">
        <v>3.0000000000000001E-3</v>
      </c>
      <c r="Q19" s="473">
        <v>9865</v>
      </c>
      <c r="R19" s="476">
        <f t="shared" si="2"/>
        <v>9.8650000000000002</v>
      </c>
      <c r="T19" s="226">
        <v>3.0000000000000001E-3</v>
      </c>
      <c r="U19" s="216">
        <v>9.8650000000000002</v>
      </c>
      <c r="W19" s="220">
        <f>Values!C34</f>
        <v>0.24154589371980678</v>
      </c>
      <c r="X19" s="216">
        <v>0.01</v>
      </c>
    </row>
    <row r="20" spans="2:24" ht="15" customHeight="1" x14ac:dyDescent="0.2">
      <c r="B20" s="773">
        <v>6.0000000000000001E-3</v>
      </c>
      <c r="C20" s="774">
        <v>1531</v>
      </c>
      <c r="D20" s="476">
        <f t="shared" si="0"/>
        <v>1.5309999999999999</v>
      </c>
      <c r="F20" s="226">
        <v>6.0000000000000001E-3</v>
      </c>
      <c r="G20" s="216">
        <v>1.5309999999999999</v>
      </c>
      <c r="H20" s="213"/>
      <c r="I20" s="773">
        <v>6.0000000000000001E-3</v>
      </c>
      <c r="J20" s="473">
        <v>16080</v>
      </c>
      <c r="K20" s="476">
        <f t="shared" si="1"/>
        <v>16.079999999999998</v>
      </c>
      <c r="M20" s="226">
        <v>6.0000000000000001E-3</v>
      </c>
      <c r="N20" s="216">
        <v>16.079999999999998</v>
      </c>
      <c r="P20" s="773">
        <v>6.0000000000000001E-3</v>
      </c>
      <c r="Q20" s="473">
        <v>16570</v>
      </c>
      <c r="R20" s="476">
        <f t="shared" si="2"/>
        <v>16.57</v>
      </c>
      <c r="T20" s="226">
        <v>6.0000000000000001E-3</v>
      </c>
      <c r="U20" s="216">
        <v>16.57</v>
      </c>
      <c r="W20" s="222">
        <f>W19+1</f>
        <v>1.2415458937198067</v>
      </c>
      <c r="X20" s="223">
        <f>Values!C37</f>
        <v>406797.02009192057</v>
      </c>
    </row>
    <row r="21" spans="2:24" ht="15" customHeight="1" x14ac:dyDescent="0.2">
      <c r="B21" s="773">
        <v>8.9999999999999993E-3</v>
      </c>
      <c r="C21" s="774">
        <v>1775</v>
      </c>
      <c r="D21" s="476">
        <f t="shared" si="0"/>
        <v>1.7749999999999999</v>
      </c>
      <c r="F21" s="226">
        <v>8.9999999999999993E-3</v>
      </c>
      <c r="G21" s="216">
        <v>1.7749999999999999</v>
      </c>
      <c r="H21" s="213"/>
      <c r="I21" s="773">
        <v>8.9999999999999993E-3</v>
      </c>
      <c r="J21" s="473">
        <v>19159</v>
      </c>
      <c r="K21" s="476">
        <f t="shared" si="1"/>
        <v>19.158999999999999</v>
      </c>
      <c r="M21" s="226">
        <v>8.9999999999999993E-3</v>
      </c>
      <c r="N21" s="216">
        <v>19.158999999999999</v>
      </c>
      <c r="P21" s="773">
        <v>8.9999999999999993E-3</v>
      </c>
      <c r="Q21" s="473">
        <v>20630</v>
      </c>
      <c r="R21" s="476">
        <f t="shared" si="2"/>
        <v>20.63</v>
      </c>
      <c r="T21" s="226">
        <v>8.9999999999999993E-3</v>
      </c>
      <c r="U21" s="216">
        <v>20.63</v>
      </c>
    </row>
    <row r="22" spans="2:24" ht="15" customHeight="1" x14ac:dyDescent="0.2">
      <c r="B22" s="773">
        <v>1.4E-2</v>
      </c>
      <c r="C22" s="774">
        <v>2055</v>
      </c>
      <c r="D22" s="476">
        <f t="shared" si="0"/>
        <v>2.0550000000000002</v>
      </c>
      <c r="F22" s="226">
        <v>1.4E-2</v>
      </c>
      <c r="G22" s="216">
        <v>2.0550000000000002</v>
      </c>
      <c r="H22" s="213"/>
      <c r="I22" s="773">
        <v>1.4E-2</v>
      </c>
      <c r="J22" s="473">
        <v>20068</v>
      </c>
      <c r="K22" s="476">
        <f t="shared" si="1"/>
        <v>20.068000000000001</v>
      </c>
      <c r="M22" s="226">
        <v>1.4E-2</v>
      </c>
      <c r="N22" s="216">
        <v>20.068000000000001</v>
      </c>
      <c r="P22" s="773">
        <v>1.4E-2</v>
      </c>
      <c r="Q22" s="473">
        <v>21751</v>
      </c>
      <c r="R22" s="476">
        <f t="shared" si="2"/>
        <v>21.751000000000001</v>
      </c>
      <c r="T22" s="226">
        <v>1.4E-2</v>
      </c>
      <c r="U22" s="216">
        <v>21.751000000000001</v>
      </c>
    </row>
    <row r="23" spans="2:24" ht="15" customHeight="1" x14ac:dyDescent="0.2">
      <c r="B23" s="773">
        <v>1.9E-2</v>
      </c>
      <c r="C23" s="774">
        <v>2382</v>
      </c>
      <c r="D23" s="476">
        <f t="shared" si="0"/>
        <v>2.3820000000000001</v>
      </c>
      <c r="F23" s="226">
        <v>1.9E-2</v>
      </c>
      <c r="G23" s="216">
        <v>2.3820000000000001</v>
      </c>
      <c r="H23" s="213"/>
      <c r="I23" s="773">
        <v>1.9E-2</v>
      </c>
      <c r="J23" s="473">
        <v>20622</v>
      </c>
      <c r="K23" s="476">
        <f t="shared" si="1"/>
        <v>20.622</v>
      </c>
      <c r="M23" s="226">
        <v>1.9E-2</v>
      </c>
      <c r="N23" s="216">
        <v>20.622</v>
      </c>
      <c r="P23" s="773">
        <v>1.9E-2</v>
      </c>
      <c r="Q23" s="473">
        <v>22384</v>
      </c>
      <c r="R23" s="476">
        <f t="shared" si="2"/>
        <v>22.384</v>
      </c>
      <c r="T23" s="226">
        <v>1.9E-2</v>
      </c>
      <c r="U23" s="216">
        <v>22.384</v>
      </c>
    </row>
    <row r="24" spans="2:24" ht="15" customHeight="1" x14ac:dyDescent="0.2">
      <c r="B24" s="773">
        <v>2.4E-2</v>
      </c>
      <c r="C24" s="774">
        <v>2726</v>
      </c>
      <c r="D24" s="476">
        <f t="shared" si="0"/>
        <v>2.726</v>
      </c>
      <c r="F24" s="226">
        <v>2.4E-2</v>
      </c>
      <c r="G24" s="216">
        <v>2.726</v>
      </c>
      <c r="H24" s="213"/>
      <c r="I24" s="773">
        <v>2.4E-2</v>
      </c>
      <c r="J24" s="473">
        <v>21087</v>
      </c>
      <c r="K24" s="476">
        <f t="shared" si="1"/>
        <v>21.087</v>
      </c>
      <c r="M24" s="226">
        <v>2.4E-2</v>
      </c>
      <c r="N24" s="216">
        <v>21.087</v>
      </c>
      <c r="P24" s="773">
        <v>2.4E-2</v>
      </c>
      <c r="Q24" s="473">
        <v>22886</v>
      </c>
      <c r="R24" s="476">
        <f t="shared" si="2"/>
        <v>22.885999999999999</v>
      </c>
      <c r="T24" s="226">
        <v>2.4E-2</v>
      </c>
      <c r="U24" s="216">
        <v>22.885999999999999</v>
      </c>
    </row>
    <row r="25" spans="2:24" ht="15" customHeight="1" x14ac:dyDescent="0.2">
      <c r="B25" s="773">
        <v>0.03</v>
      </c>
      <c r="C25" s="774">
        <v>3116</v>
      </c>
      <c r="D25" s="476">
        <f t="shared" si="0"/>
        <v>3.1160000000000001</v>
      </c>
      <c r="F25" s="226">
        <v>0.03</v>
      </c>
      <c r="G25" s="216">
        <v>3.1160000000000001</v>
      </c>
      <c r="H25" s="213"/>
      <c r="I25" s="773">
        <v>0.03</v>
      </c>
      <c r="J25" s="473">
        <v>21538</v>
      </c>
      <c r="K25" s="476">
        <f t="shared" si="1"/>
        <v>21.538</v>
      </c>
      <c r="M25" s="226">
        <v>0.03</v>
      </c>
      <c r="N25" s="216">
        <v>21.538</v>
      </c>
      <c r="P25" s="773">
        <v>0.03</v>
      </c>
      <c r="Q25" s="473">
        <v>23353</v>
      </c>
      <c r="R25" s="476">
        <f t="shared" si="2"/>
        <v>23.353000000000002</v>
      </c>
      <c r="T25" s="226">
        <v>0.03</v>
      </c>
      <c r="U25" s="216">
        <v>23.353000000000002</v>
      </c>
    </row>
    <row r="26" spans="2:24" ht="15" customHeight="1" x14ac:dyDescent="0.2">
      <c r="B26" s="773">
        <v>3.5999999999999997E-2</v>
      </c>
      <c r="C26" s="774">
        <v>3543</v>
      </c>
      <c r="D26" s="476">
        <f t="shared" si="0"/>
        <v>3.5430000000000001</v>
      </c>
      <c r="F26" s="226">
        <v>3.5999999999999997E-2</v>
      </c>
      <c r="G26" s="216">
        <v>3.5430000000000001</v>
      </c>
      <c r="H26" s="213"/>
      <c r="I26" s="773">
        <v>3.5999999999999997E-2</v>
      </c>
      <c r="J26" s="473">
        <v>22001</v>
      </c>
      <c r="K26" s="476">
        <f t="shared" si="1"/>
        <v>22.001000000000001</v>
      </c>
      <c r="M26" s="226">
        <v>3.5999999999999997E-2</v>
      </c>
      <c r="N26" s="216">
        <v>22.001000000000001</v>
      </c>
      <c r="P26" s="773">
        <v>3.5999999999999997E-2</v>
      </c>
      <c r="Q26" s="473">
        <v>23828</v>
      </c>
      <c r="R26" s="476">
        <f t="shared" si="2"/>
        <v>23.827999999999999</v>
      </c>
      <c r="T26" s="226">
        <v>3.5999999999999997E-2</v>
      </c>
      <c r="U26" s="216">
        <v>23.827999999999999</v>
      </c>
    </row>
    <row r="27" spans="2:24" ht="15" customHeight="1" x14ac:dyDescent="0.2">
      <c r="B27" s="773">
        <v>4.3999999999999997E-2</v>
      </c>
      <c r="C27" s="774">
        <v>4007</v>
      </c>
      <c r="D27" s="476">
        <f t="shared" si="0"/>
        <v>4.0069999999999997</v>
      </c>
      <c r="F27" s="226">
        <v>4.3999999999999997E-2</v>
      </c>
      <c r="G27" s="216">
        <v>4.0069999999999997</v>
      </c>
      <c r="H27" s="213"/>
      <c r="I27" s="773">
        <v>4.3999999999999997E-2</v>
      </c>
      <c r="J27" s="473">
        <v>22486</v>
      </c>
      <c r="K27" s="476">
        <f t="shared" si="1"/>
        <v>22.486000000000001</v>
      </c>
      <c r="M27" s="226">
        <v>4.3999999999999997E-2</v>
      </c>
      <c r="N27" s="216">
        <v>22.486000000000001</v>
      </c>
      <c r="P27" s="773">
        <v>4.3999999999999997E-2</v>
      </c>
      <c r="Q27" s="473">
        <v>24320</v>
      </c>
      <c r="R27" s="476">
        <f t="shared" si="2"/>
        <v>24.32</v>
      </c>
      <c r="T27" s="226">
        <v>4.3999999999999997E-2</v>
      </c>
      <c r="U27" s="216">
        <v>24.32</v>
      </c>
    </row>
    <row r="28" spans="2:24" ht="15" customHeight="1" x14ac:dyDescent="0.2">
      <c r="B28" s="773">
        <v>5.0999999999999997E-2</v>
      </c>
      <c r="C28" s="774">
        <v>4508</v>
      </c>
      <c r="D28" s="476">
        <f t="shared" si="0"/>
        <v>4.508</v>
      </c>
      <c r="F28" s="226">
        <v>5.0999999999999997E-2</v>
      </c>
      <c r="G28" s="216">
        <v>4.508</v>
      </c>
      <c r="H28" s="213"/>
      <c r="I28" s="773">
        <v>5.0999999999999997E-2</v>
      </c>
      <c r="J28" s="473">
        <v>22998</v>
      </c>
      <c r="K28" s="476">
        <f t="shared" si="1"/>
        <v>22.998000000000001</v>
      </c>
      <c r="M28" s="226">
        <v>5.0999999999999997E-2</v>
      </c>
      <c r="N28" s="216">
        <v>22.998000000000001</v>
      </c>
      <c r="P28" s="773">
        <v>5.0999999999999997E-2</v>
      </c>
      <c r="Q28" s="473">
        <v>24837</v>
      </c>
      <c r="R28" s="476">
        <f t="shared" si="2"/>
        <v>24.837</v>
      </c>
      <c r="T28" s="226">
        <v>5.0999999999999997E-2</v>
      </c>
      <c r="U28" s="216">
        <v>24.837</v>
      </c>
    </row>
    <row r="29" spans="2:24" ht="15" customHeight="1" x14ac:dyDescent="0.2">
      <c r="B29" s="773">
        <v>5.8999999999999997E-2</v>
      </c>
      <c r="C29" s="774">
        <v>5046</v>
      </c>
      <c r="D29" s="476">
        <f t="shared" si="0"/>
        <v>5.0460000000000003</v>
      </c>
      <c r="F29" s="226">
        <v>5.8999999999999997E-2</v>
      </c>
      <c r="G29" s="216">
        <v>5.0460000000000003</v>
      </c>
      <c r="H29" s="213"/>
      <c r="I29" s="773">
        <v>5.8999999999999997E-2</v>
      </c>
      <c r="J29" s="473">
        <v>23544</v>
      </c>
      <c r="K29" s="476">
        <f t="shared" si="1"/>
        <v>23.544</v>
      </c>
      <c r="M29" s="226">
        <v>5.8999999999999997E-2</v>
      </c>
      <c r="N29" s="216">
        <v>23.544</v>
      </c>
      <c r="P29" s="773">
        <v>5.8999999999999997E-2</v>
      </c>
      <c r="Q29" s="473">
        <v>25385</v>
      </c>
      <c r="R29" s="476">
        <f t="shared" si="2"/>
        <v>25.385000000000002</v>
      </c>
      <c r="T29" s="226">
        <v>5.8999999999999997E-2</v>
      </c>
      <c r="U29" s="216">
        <v>25.385000000000002</v>
      </c>
    </row>
    <row r="30" spans="2:24" ht="15" customHeight="1" x14ac:dyDescent="0.2">
      <c r="B30" s="773">
        <v>6.8000000000000005E-2</v>
      </c>
      <c r="C30" s="774">
        <v>5621</v>
      </c>
      <c r="D30" s="476">
        <f t="shared" si="0"/>
        <v>5.6210000000000004</v>
      </c>
      <c r="F30" s="226">
        <v>6.8000000000000005E-2</v>
      </c>
      <c r="G30" s="216">
        <v>5.6210000000000004</v>
      </c>
      <c r="H30" s="213"/>
      <c r="I30" s="773">
        <v>6.8000000000000005E-2</v>
      </c>
      <c r="J30" s="473">
        <v>24125</v>
      </c>
      <c r="K30" s="476">
        <f t="shared" si="1"/>
        <v>24.125</v>
      </c>
      <c r="M30" s="226">
        <v>6.8000000000000005E-2</v>
      </c>
      <c r="N30" s="216">
        <v>24.125</v>
      </c>
      <c r="P30" s="773">
        <v>6.8000000000000005E-2</v>
      </c>
      <c r="Q30" s="473">
        <v>25968</v>
      </c>
      <c r="R30" s="476">
        <f t="shared" si="2"/>
        <v>25.968</v>
      </c>
      <c r="T30" s="226">
        <v>6.8000000000000005E-2</v>
      </c>
      <c r="U30" s="216">
        <v>25.968</v>
      </c>
    </row>
    <row r="31" spans="2:24" ht="15" customHeight="1" x14ac:dyDescent="0.2">
      <c r="B31" s="773">
        <v>7.8E-2</v>
      </c>
      <c r="C31" s="774">
        <v>6232</v>
      </c>
      <c r="D31" s="476">
        <f t="shared" si="0"/>
        <v>6.2320000000000002</v>
      </c>
      <c r="F31" s="226">
        <v>7.8E-2</v>
      </c>
      <c r="G31" s="216">
        <v>6.2320000000000002</v>
      </c>
      <c r="H31" s="213"/>
      <c r="I31" s="773">
        <v>7.8E-2</v>
      </c>
      <c r="J31" s="473">
        <v>24742</v>
      </c>
      <c r="K31" s="476">
        <f t="shared" si="1"/>
        <v>24.742000000000001</v>
      </c>
      <c r="M31" s="226">
        <v>7.8E-2</v>
      </c>
      <c r="N31" s="216">
        <v>24.742000000000001</v>
      </c>
      <c r="P31" s="773">
        <v>7.8E-2</v>
      </c>
      <c r="Q31" s="473">
        <v>26586</v>
      </c>
      <c r="R31" s="476">
        <f t="shared" si="2"/>
        <v>26.585999999999999</v>
      </c>
      <c r="T31" s="226">
        <v>7.8E-2</v>
      </c>
      <c r="U31" s="216">
        <v>26.585999999999999</v>
      </c>
    </row>
    <row r="32" spans="2:24" ht="15" customHeight="1" x14ac:dyDescent="0.2">
      <c r="B32" s="773">
        <v>8.6999999999999994E-2</v>
      </c>
      <c r="C32" s="774">
        <v>6880</v>
      </c>
      <c r="D32" s="476">
        <f t="shared" si="0"/>
        <v>6.88</v>
      </c>
      <c r="F32" s="226">
        <v>8.6999999999999994E-2</v>
      </c>
      <c r="G32" s="216">
        <v>6.88</v>
      </c>
      <c r="H32" s="213"/>
      <c r="I32" s="773">
        <v>8.6999999999999994E-2</v>
      </c>
      <c r="J32" s="473">
        <v>25395</v>
      </c>
      <c r="K32" s="476">
        <f t="shared" si="1"/>
        <v>25.395</v>
      </c>
      <c r="M32" s="226">
        <v>8.6999999999999994E-2</v>
      </c>
      <c r="N32" s="216">
        <v>25.395</v>
      </c>
      <c r="P32" s="773">
        <v>8.6999999999999994E-2</v>
      </c>
      <c r="Q32" s="473">
        <v>27239</v>
      </c>
      <c r="R32" s="476">
        <f t="shared" si="2"/>
        <v>27.239000000000001</v>
      </c>
      <c r="T32" s="226">
        <v>8.6999999999999994E-2</v>
      </c>
      <c r="U32" s="216">
        <v>27.239000000000001</v>
      </c>
    </row>
    <row r="33" spans="2:21" ht="15" customHeight="1" x14ac:dyDescent="0.2">
      <c r="B33" s="773">
        <v>9.8000000000000004E-2</v>
      </c>
      <c r="C33" s="774">
        <v>7565</v>
      </c>
      <c r="D33" s="476">
        <f t="shared" si="0"/>
        <v>7.5650000000000004</v>
      </c>
      <c r="F33" s="226">
        <v>9.8000000000000004E-2</v>
      </c>
      <c r="G33" s="216">
        <v>7.5650000000000004</v>
      </c>
      <c r="H33" s="213"/>
      <c r="I33" s="773">
        <v>9.8000000000000004E-2</v>
      </c>
      <c r="J33" s="473">
        <v>26084</v>
      </c>
      <c r="K33" s="476">
        <f t="shared" si="1"/>
        <v>26.084</v>
      </c>
      <c r="M33" s="226">
        <v>9.8000000000000004E-2</v>
      </c>
      <c r="N33" s="216">
        <v>26.084</v>
      </c>
      <c r="P33" s="773">
        <v>9.8000000000000004E-2</v>
      </c>
      <c r="Q33" s="473">
        <v>27929</v>
      </c>
      <c r="R33" s="476">
        <f t="shared" si="2"/>
        <v>27.928999999999998</v>
      </c>
      <c r="T33" s="226">
        <v>9.8000000000000004E-2</v>
      </c>
      <c r="U33" s="216">
        <v>27.928999999999998</v>
      </c>
    </row>
    <row r="34" spans="2:21" ht="15" customHeight="1" x14ac:dyDescent="0.2">
      <c r="B34" s="773">
        <v>0.109</v>
      </c>
      <c r="C34" s="774">
        <v>8287</v>
      </c>
      <c r="D34" s="476">
        <f t="shared" si="0"/>
        <v>8.2870000000000008</v>
      </c>
      <c r="F34" s="226">
        <v>0.109</v>
      </c>
      <c r="G34" s="216">
        <v>8.2870000000000008</v>
      </c>
      <c r="H34" s="213"/>
      <c r="I34" s="773">
        <v>0.109</v>
      </c>
      <c r="J34" s="473">
        <v>26809</v>
      </c>
      <c r="K34" s="476">
        <f t="shared" si="1"/>
        <v>26.809000000000001</v>
      </c>
      <c r="M34" s="226">
        <v>0.109</v>
      </c>
      <c r="N34" s="216">
        <v>26.809000000000001</v>
      </c>
      <c r="P34" s="773">
        <v>0.109</v>
      </c>
      <c r="Q34" s="473">
        <v>28655</v>
      </c>
      <c r="R34" s="476">
        <f t="shared" si="2"/>
        <v>28.655000000000001</v>
      </c>
      <c r="T34" s="226">
        <v>0.109</v>
      </c>
      <c r="U34" s="216">
        <v>28.655000000000001</v>
      </c>
    </row>
    <row r="35" spans="2:21" ht="15" customHeight="1" x14ac:dyDescent="0.2">
      <c r="B35" s="773">
        <v>0.121</v>
      </c>
      <c r="C35" s="774">
        <v>9046</v>
      </c>
      <c r="D35" s="476">
        <f t="shared" si="0"/>
        <v>9.0459999999999994</v>
      </c>
      <c r="F35" s="226">
        <v>0.121</v>
      </c>
      <c r="G35" s="216">
        <v>9.0459999999999994</v>
      </c>
      <c r="H35" s="213"/>
      <c r="I35" s="773">
        <v>0.121</v>
      </c>
      <c r="J35" s="473">
        <v>27571</v>
      </c>
      <c r="K35" s="476">
        <f t="shared" si="1"/>
        <v>27.571000000000002</v>
      </c>
      <c r="M35" s="226">
        <v>0.121</v>
      </c>
      <c r="N35" s="216">
        <v>27.571000000000002</v>
      </c>
      <c r="P35" s="773">
        <v>0.121</v>
      </c>
      <c r="Q35" s="473">
        <v>29417</v>
      </c>
      <c r="R35" s="476">
        <f t="shared" si="2"/>
        <v>29.417000000000002</v>
      </c>
      <c r="T35" s="226">
        <v>0.121</v>
      </c>
      <c r="U35" s="216">
        <v>29.417000000000002</v>
      </c>
    </row>
    <row r="36" spans="2:21" ht="15" customHeight="1" x14ac:dyDescent="0.2">
      <c r="B36" s="773">
        <v>0.13300000000000001</v>
      </c>
      <c r="C36" s="774">
        <v>9841</v>
      </c>
      <c r="D36" s="476">
        <f t="shared" si="0"/>
        <v>9.8409999999999993</v>
      </c>
      <c r="F36" s="226">
        <v>0.13300000000000001</v>
      </c>
      <c r="G36" s="216">
        <v>9.8409999999999993</v>
      </c>
      <c r="H36" s="213"/>
      <c r="I36" s="773">
        <v>0.13300000000000001</v>
      </c>
      <c r="J36" s="473">
        <v>28368</v>
      </c>
      <c r="K36" s="476">
        <f t="shared" si="1"/>
        <v>28.367999999999999</v>
      </c>
      <c r="M36" s="226">
        <v>0.13300000000000001</v>
      </c>
      <c r="N36" s="216">
        <v>28.367999999999999</v>
      </c>
      <c r="P36" s="773">
        <v>0.13300000000000001</v>
      </c>
      <c r="Q36" s="473">
        <v>30215</v>
      </c>
      <c r="R36" s="476">
        <f t="shared" si="2"/>
        <v>30.215</v>
      </c>
      <c r="T36" s="226">
        <v>0.13300000000000001</v>
      </c>
      <c r="U36" s="216">
        <v>30.215</v>
      </c>
    </row>
    <row r="37" spans="2:21" ht="15" customHeight="1" x14ac:dyDescent="0.2">
      <c r="B37" s="773">
        <v>0.14499999999999999</v>
      </c>
      <c r="C37" s="774">
        <v>10674</v>
      </c>
      <c r="D37" s="476">
        <f t="shared" si="0"/>
        <v>10.673999999999999</v>
      </c>
      <c r="F37" s="226">
        <v>0.14499999999999999</v>
      </c>
      <c r="G37" s="216">
        <v>10.673999999999999</v>
      </c>
      <c r="H37" s="213"/>
      <c r="I37" s="773">
        <v>0.14499999999999999</v>
      </c>
      <c r="J37" s="473">
        <v>29203</v>
      </c>
      <c r="K37" s="476">
        <f t="shared" si="1"/>
        <v>29.202999999999999</v>
      </c>
      <c r="M37" s="226">
        <v>0.14499999999999999</v>
      </c>
      <c r="N37" s="216">
        <v>29.202999999999999</v>
      </c>
      <c r="P37" s="773">
        <v>0.14499999999999999</v>
      </c>
      <c r="Q37" s="473">
        <v>31050</v>
      </c>
      <c r="R37" s="476">
        <f t="shared" si="2"/>
        <v>31.05</v>
      </c>
      <c r="T37" s="226">
        <v>0.14499999999999999</v>
      </c>
      <c r="U37" s="216">
        <v>31.05</v>
      </c>
    </row>
    <row r="38" spans="2:21" ht="15" customHeight="1" x14ac:dyDescent="0.2">
      <c r="B38" s="773">
        <v>0.159</v>
      </c>
      <c r="C38" s="774">
        <v>11543</v>
      </c>
      <c r="D38" s="476">
        <f t="shared" si="0"/>
        <v>11.542999999999999</v>
      </c>
      <c r="F38" s="226">
        <v>0.159</v>
      </c>
      <c r="G38" s="216">
        <v>11.542999999999999</v>
      </c>
      <c r="H38" s="213"/>
      <c r="I38" s="773">
        <v>0.159</v>
      </c>
      <c r="J38" s="473">
        <v>30074</v>
      </c>
      <c r="K38" s="476">
        <f t="shared" si="1"/>
        <v>30.074000000000002</v>
      </c>
      <c r="M38" s="226">
        <v>0.159</v>
      </c>
      <c r="N38" s="216">
        <v>30.074000000000002</v>
      </c>
      <c r="P38" s="773">
        <v>0.159</v>
      </c>
      <c r="Q38" s="473">
        <v>31921</v>
      </c>
      <c r="R38" s="476">
        <f t="shared" si="2"/>
        <v>31.920999999999999</v>
      </c>
      <c r="T38" s="226">
        <v>0.159</v>
      </c>
      <c r="U38" s="216">
        <v>31.920999999999999</v>
      </c>
    </row>
    <row r="39" spans="2:21" ht="15" customHeight="1" x14ac:dyDescent="0.2">
      <c r="B39" s="773">
        <v>0.17299999999999999</v>
      </c>
      <c r="C39" s="774">
        <v>12449</v>
      </c>
      <c r="D39" s="476">
        <f t="shared" si="0"/>
        <v>12.449</v>
      </c>
      <c r="F39" s="226">
        <v>0.17299999999999999</v>
      </c>
      <c r="G39" s="216">
        <v>12.449</v>
      </c>
      <c r="H39" s="213"/>
      <c r="I39" s="773">
        <v>0.17299999999999999</v>
      </c>
      <c r="J39" s="473">
        <v>30981</v>
      </c>
      <c r="K39" s="476">
        <f t="shared" si="1"/>
        <v>30.981000000000002</v>
      </c>
      <c r="M39" s="226">
        <v>0.17299999999999999</v>
      </c>
      <c r="N39" s="216">
        <v>30.981000000000002</v>
      </c>
      <c r="P39" s="773">
        <v>0.17299999999999999</v>
      </c>
      <c r="Q39" s="473">
        <v>32829</v>
      </c>
      <c r="R39" s="476">
        <f t="shared" si="2"/>
        <v>32.829000000000001</v>
      </c>
      <c r="T39" s="226">
        <v>0.17299999999999999</v>
      </c>
      <c r="U39" s="216">
        <v>32.829000000000001</v>
      </c>
    </row>
    <row r="40" spans="2:21" ht="15" customHeight="1" x14ac:dyDescent="0.2">
      <c r="B40" s="773">
        <v>0.187</v>
      </c>
      <c r="C40" s="774">
        <v>13391</v>
      </c>
      <c r="D40" s="476">
        <f t="shared" si="0"/>
        <v>13.391</v>
      </c>
      <c r="F40" s="226">
        <v>0.187</v>
      </c>
      <c r="G40" s="216">
        <v>13.391</v>
      </c>
      <c r="H40" s="213"/>
      <c r="I40" s="773">
        <v>0.187</v>
      </c>
      <c r="J40" s="473">
        <v>31926</v>
      </c>
      <c r="K40" s="476">
        <f t="shared" si="1"/>
        <v>31.925999999999998</v>
      </c>
      <c r="M40" s="226">
        <v>0.187</v>
      </c>
      <c r="N40" s="216">
        <v>31.925999999999998</v>
      </c>
      <c r="P40" s="773">
        <v>0.187</v>
      </c>
      <c r="Q40" s="473">
        <v>33774</v>
      </c>
      <c r="R40" s="476">
        <f t="shared" si="2"/>
        <v>33.774000000000001</v>
      </c>
      <c r="T40" s="226">
        <v>0.187</v>
      </c>
      <c r="U40" s="216">
        <v>33.774000000000001</v>
      </c>
    </row>
    <row r="41" spans="2:21" ht="15" customHeight="1" x14ac:dyDescent="0.2">
      <c r="B41" s="773">
        <v>0.20200000000000001</v>
      </c>
      <c r="C41" s="774">
        <v>14371</v>
      </c>
      <c r="D41" s="476">
        <f t="shared" si="0"/>
        <v>14.371</v>
      </c>
      <c r="F41" s="226">
        <v>0.20200000000000001</v>
      </c>
      <c r="G41" s="216">
        <v>14.371</v>
      </c>
      <c r="H41" s="213"/>
      <c r="I41" s="773">
        <v>0.20200000000000001</v>
      </c>
      <c r="J41" s="473">
        <v>32906</v>
      </c>
      <c r="K41" s="476">
        <f t="shared" si="1"/>
        <v>32.905999999999999</v>
      </c>
      <c r="M41" s="226">
        <v>0.20200000000000001</v>
      </c>
      <c r="N41" s="216">
        <v>32.905999999999999</v>
      </c>
      <c r="P41" s="773">
        <v>0.20200000000000001</v>
      </c>
      <c r="Q41" s="473">
        <v>34755</v>
      </c>
      <c r="R41" s="476">
        <f t="shared" si="2"/>
        <v>34.755000000000003</v>
      </c>
      <c r="T41" s="226">
        <v>0.20200000000000001</v>
      </c>
      <c r="U41" s="216">
        <v>34.755000000000003</v>
      </c>
    </row>
    <row r="42" spans="2:21" ht="15" customHeight="1" x14ac:dyDescent="0.2">
      <c r="B42" s="773">
        <v>0.217</v>
      </c>
      <c r="C42" s="774">
        <v>15388</v>
      </c>
      <c r="D42" s="476">
        <f t="shared" si="0"/>
        <v>15.388</v>
      </c>
      <c r="F42" s="226">
        <v>0.217</v>
      </c>
      <c r="G42" s="216">
        <v>15.388</v>
      </c>
      <c r="H42" s="213"/>
      <c r="I42" s="773">
        <v>0.217</v>
      </c>
      <c r="J42" s="473">
        <v>33924</v>
      </c>
      <c r="K42" s="476">
        <f t="shared" si="1"/>
        <v>33.923999999999999</v>
      </c>
      <c r="M42" s="226">
        <v>0.217</v>
      </c>
      <c r="N42" s="216">
        <v>33.923999999999999</v>
      </c>
      <c r="P42" s="773">
        <v>0.217</v>
      </c>
      <c r="Q42" s="473">
        <v>35772</v>
      </c>
      <c r="R42" s="476">
        <f t="shared" si="2"/>
        <v>35.771999999999998</v>
      </c>
      <c r="T42" s="226">
        <v>0.217</v>
      </c>
      <c r="U42" s="216">
        <v>35.771999999999998</v>
      </c>
    </row>
    <row r="43" spans="2:21" ht="15" customHeight="1" x14ac:dyDescent="0.2">
      <c r="B43" s="224"/>
      <c r="C43" s="473"/>
      <c r="D43" s="476">
        <f t="shared" si="0"/>
        <v>0</v>
      </c>
      <c r="F43" s="226"/>
      <c r="G43" s="216"/>
      <c r="H43" s="213"/>
      <c r="I43" s="224"/>
      <c r="J43" s="473"/>
      <c r="K43" s="476">
        <f t="shared" si="1"/>
        <v>0</v>
      </c>
      <c r="M43" s="226"/>
      <c r="N43" s="216"/>
      <c r="P43" s="224"/>
      <c r="Q43" s="473"/>
      <c r="R43" s="476">
        <f t="shared" si="2"/>
        <v>0</v>
      </c>
      <c r="T43" s="226"/>
      <c r="U43" s="216"/>
    </row>
    <row r="44" spans="2:21" ht="15" customHeight="1" x14ac:dyDescent="0.2">
      <c r="B44" s="224"/>
      <c r="C44" s="473"/>
      <c r="D44" s="476">
        <f t="shared" si="0"/>
        <v>0</v>
      </c>
      <c r="F44" s="226"/>
      <c r="G44" s="216"/>
      <c r="H44" s="213"/>
      <c r="I44" s="224"/>
      <c r="J44" s="473"/>
      <c r="K44" s="476">
        <f t="shared" si="1"/>
        <v>0</v>
      </c>
      <c r="M44" s="226"/>
      <c r="N44" s="216"/>
      <c r="P44" s="224"/>
      <c r="Q44" s="473"/>
      <c r="R44" s="476">
        <f t="shared" si="2"/>
        <v>0</v>
      </c>
      <c r="T44" s="226"/>
      <c r="U44" s="216"/>
    </row>
    <row r="45" spans="2:21" ht="15" customHeight="1" x14ac:dyDescent="0.2">
      <c r="B45" s="224"/>
      <c r="C45" s="473"/>
      <c r="D45" s="476">
        <f t="shared" si="0"/>
        <v>0</v>
      </c>
      <c r="F45" s="226"/>
      <c r="G45" s="216"/>
      <c r="H45" s="213"/>
      <c r="I45" s="224"/>
      <c r="J45" s="473"/>
      <c r="K45" s="476">
        <f t="shared" si="1"/>
        <v>0</v>
      </c>
      <c r="M45" s="226"/>
      <c r="N45" s="216"/>
      <c r="P45" s="224"/>
      <c r="Q45" s="473"/>
      <c r="R45" s="476">
        <f t="shared" si="2"/>
        <v>0</v>
      </c>
      <c r="T45" s="226"/>
      <c r="U45" s="216"/>
    </row>
    <row r="46" spans="2:21" ht="15" customHeight="1" x14ac:dyDescent="0.2">
      <c r="B46" s="224"/>
      <c r="C46" s="473"/>
      <c r="D46" s="476">
        <f t="shared" si="0"/>
        <v>0</v>
      </c>
      <c r="F46" s="226"/>
      <c r="G46" s="216"/>
      <c r="H46" s="213"/>
      <c r="I46" s="224"/>
      <c r="J46" s="473"/>
      <c r="K46" s="476">
        <f t="shared" si="1"/>
        <v>0</v>
      </c>
      <c r="M46" s="226"/>
      <c r="N46" s="216"/>
      <c r="P46" s="224"/>
      <c r="Q46" s="473"/>
      <c r="R46" s="476">
        <f t="shared" si="2"/>
        <v>0</v>
      </c>
      <c r="T46" s="226"/>
      <c r="U46" s="216"/>
    </row>
    <row r="47" spans="2:21" ht="15" customHeight="1" x14ac:dyDescent="0.2">
      <c r="B47" s="224"/>
      <c r="C47" s="473"/>
      <c r="D47" s="476">
        <f t="shared" si="0"/>
        <v>0</v>
      </c>
      <c r="F47" s="226"/>
      <c r="G47" s="216"/>
      <c r="H47" s="213"/>
      <c r="I47" s="224"/>
      <c r="J47" s="473"/>
      <c r="K47" s="476">
        <f t="shared" si="1"/>
        <v>0</v>
      </c>
      <c r="M47" s="226"/>
      <c r="N47" s="216"/>
      <c r="P47" s="224"/>
      <c r="Q47" s="473"/>
      <c r="R47" s="476">
        <f t="shared" si="2"/>
        <v>0</v>
      </c>
      <c r="T47" s="226"/>
      <c r="U47" s="216"/>
    </row>
    <row r="48" spans="2:21" ht="15" customHeight="1" x14ac:dyDescent="0.2">
      <c r="B48" s="224"/>
      <c r="C48" s="473"/>
      <c r="D48" s="476">
        <f t="shared" si="0"/>
        <v>0</v>
      </c>
      <c r="F48" s="226"/>
      <c r="G48" s="216"/>
      <c r="H48" s="213"/>
      <c r="I48" s="224"/>
      <c r="J48" s="473"/>
      <c r="K48" s="476">
        <f t="shared" si="1"/>
        <v>0</v>
      </c>
      <c r="M48" s="226"/>
      <c r="N48" s="216"/>
      <c r="P48" s="224"/>
      <c r="Q48" s="473"/>
      <c r="R48" s="476">
        <f t="shared" si="2"/>
        <v>0</v>
      </c>
      <c r="T48" s="226"/>
      <c r="U48" s="216"/>
    </row>
    <row r="49" spans="2:21" ht="15" customHeight="1" x14ac:dyDescent="0.2">
      <c r="B49" s="224"/>
      <c r="C49" s="473"/>
      <c r="D49" s="476">
        <f t="shared" si="0"/>
        <v>0</v>
      </c>
      <c r="F49" s="226"/>
      <c r="G49" s="216"/>
      <c r="H49" s="213"/>
      <c r="I49" s="224"/>
      <c r="J49" s="473"/>
      <c r="K49" s="476">
        <f t="shared" si="1"/>
        <v>0</v>
      </c>
      <c r="M49" s="226"/>
      <c r="N49" s="216"/>
      <c r="P49" s="224"/>
      <c r="Q49" s="473"/>
      <c r="R49" s="476">
        <f t="shared" si="2"/>
        <v>0</v>
      </c>
      <c r="T49" s="226"/>
      <c r="U49" s="216"/>
    </row>
    <row r="50" spans="2:21" ht="15" customHeight="1" x14ac:dyDescent="0.2">
      <c r="B50" s="224"/>
      <c r="C50" s="473"/>
      <c r="D50" s="476">
        <f t="shared" si="0"/>
        <v>0</v>
      </c>
      <c r="F50" s="226"/>
      <c r="G50" s="216"/>
      <c r="H50" s="213"/>
      <c r="I50" s="224"/>
      <c r="J50" s="473"/>
      <c r="K50" s="476">
        <f t="shared" si="1"/>
        <v>0</v>
      </c>
      <c r="M50" s="226"/>
      <c r="N50" s="216"/>
      <c r="P50" s="224"/>
      <c r="Q50" s="473"/>
      <c r="R50" s="476">
        <f t="shared" si="2"/>
        <v>0</v>
      </c>
      <c r="T50" s="226"/>
      <c r="U50" s="216"/>
    </row>
    <row r="51" spans="2:21" ht="15" customHeight="1" x14ac:dyDescent="0.2">
      <c r="B51" s="224"/>
      <c r="C51" s="473"/>
      <c r="D51" s="476">
        <f t="shared" si="0"/>
        <v>0</v>
      </c>
      <c r="F51" s="226"/>
      <c r="G51" s="216"/>
      <c r="H51" s="213"/>
      <c r="I51" s="224"/>
      <c r="J51" s="473"/>
      <c r="K51" s="476">
        <f t="shared" si="1"/>
        <v>0</v>
      </c>
      <c r="M51" s="226"/>
      <c r="N51" s="216"/>
      <c r="P51" s="224"/>
      <c r="Q51" s="473"/>
      <c r="R51" s="476">
        <f t="shared" si="2"/>
        <v>0</v>
      </c>
      <c r="T51" s="226"/>
      <c r="U51" s="216"/>
    </row>
    <row r="52" spans="2:21" ht="15" customHeight="1" x14ac:dyDescent="0.2">
      <c r="B52" s="224"/>
      <c r="C52" s="473"/>
      <c r="D52" s="476">
        <f t="shared" si="0"/>
        <v>0</v>
      </c>
      <c r="F52" s="226"/>
      <c r="G52" s="216"/>
      <c r="H52" s="213"/>
      <c r="I52" s="224"/>
      <c r="J52" s="473"/>
      <c r="K52" s="476">
        <f t="shared" si="1"/>
        <v>0</v>
      </c>
      <c r="M52" s="226"/>
      <c r="N52" s="216"/>
      <c r="P52" s="224"/>
      <c r="Q52" s="473"/>
      <c r="R52" s="476">
        <f t="shared" si="2"/>
        <v>0</v>
      </c>
      <c r="T52" s="226"/>
      <c r="U52" s="216"/>
    </row>
    <row r="53" spans="2:21" ht="15" customHeight="1" x14ac:dyDescent="0.2">
      <c r="B53" s="224"/>
      <c r="C53" s="473"/>
      <c r="D53" s="476">
        <f t="shared" si="0"/>
        <v>0</v>
      </c>
      <c r="F53" s="226"/>
      <c r="G53" s="216"/>
      <c r="H53" s="213"/>
      <c r="I53" s="224"/>
      <c r="J53" s="473"/>
      <c r="K53" s="476">
        <f t="shared" si="1"/>
        <v>0</v>
      </c>
      <c r="M53" s="226"/>
      <c r="N53" s="216"/>
      <c r="P53" s="224"/>
      <c r="Q53" s="473"/>
      <c r="R53" s="476">
        <f t="shared" si="2"/>
        <v>0</v>
      </c>
      <c r="T53" s="226"/>
      <c r="U53" s="216"/>
    </row>
    <row r="54" spans="2:21" ht="15" customHeight="1" x14ac:dyDescent="0.2">
      <c r="B54" s="224"/>
      <c r="C54" s="473"/>
      <c r="D54" s="476">
        <f t="shared" si="0"/>
        <v>0</v>
      </c>
      <c r="F54" s="226"/>
      <c r="G54" s="216"/>
      <c r="H54" s="213"/>
      <c r="I54" s="224"/>
      <c r="J54" s="473"/>
      <c r="K54" s="476">
        <f t="shared" si="1"/>
        <v>0</v>
      </c>
      <c r="M54" s="226"/>
      <c r="N54" s="216"/>
      <c r="P54" s="224"/>
      <c r="Q54" s="473"/>
      <c r="R54" s="476">
        <f t="shared" si="2"/>
        <v>0</v>
      </c>
      <c r="T54" s="226"/>
      <c r="U54" s="216"/>
    </row>
    <row r="55" spans="2:21" ht="15" customHeight="1" x14ac:dyDescent="0.2">
      <c r="B55" s="224"/>
      <c r="C55" s="473"/>
      <c r="D55" s="476">
        <f t="shared" si="0"/>
        <v>0</v>
      </c>
      <c r="F55" s="226"/>
      <c r="G55" s="216"/>
      <c r="H55" s="213"/>
      <c r="I55" s="224"/>
      <c r="J55" s="473"/>
      <c r="K55" s="476">
        <f t="shared" si="1"/>
        <v>0</v>
      </c>
      <c r="M55" s="226"/>
      <c r="N55" s="216"/>
      <c r="P55" s="224"/>
      <c r="Q55" s="473"/>
      <c r="R55" s="476">
        <f t="shared" si="2"/>
        <v>0</v>
      </c>
      <c r="T55" s="226"/>
      <c r="U55" s="216"/>
    </row>
    <row r="56" spans="2:21" ht="15" customHeight="1" x14ac:dyDescent="0.2">
      <c r="B56" s="224"/>
      <c r="C56" s="473"/>
      <c r="D56" s="476">
        <f t="shared" si="0"/>
        <v>0</v>
      </c>
      <c r="F56" s="226"/>
      <c r="G56" s="216"/>
      <c r="H56" s="213"/>
      <c r="I56" s="224"/>
      <c r="J56" s="473"/>
      <c r="K56" s="476">
        <f t="shared" si="1"/>
        <v>0</v>
      </c>
      <c r="M56" s="226"/>
      <c r="N56" s="216"/>
      <c r="P56" s="224"/>
      <c r="Q56" s="473"/>
      <c r="R56" s="476">
        <f t="shared" si="2"/>
        <v>0</v>
      </c>
      <c r="T56" s="226"/>
      <c r="U56" s="216"/>
    </row>
    <row r="57" spans="2:21" ht="15" customHeight="1" x14ac:dyDescent="0.2">
      <c r="B57" s="224"/>
      <c r="C57" s="473"/>
      <c r="D57" s="476">
        <f t="shared" si="0"/>
        <v>0</v>
      </c>
      <c r="F57" s="227"/>
      <c r="G57" s="218"/>
      <c r="H57" s="213"/>
      <c r="I57" s="224"/>
      <c r="J57" s="473"/>
      <c r="K57" s="476">
        <f t="shared" si="1"/>
        <v>0</v>
      </c>
      <c r="M57" s="227"/>
      <c r="N57" s="218"/>
      <c r="P57" s="224"/>
      <c r="Q57" s="473"/>
      <c r="R57" s="476">
        <f t="shared" si="2"/>
        <v>0</v>
      </c>
      <c r="T57" s="227"/>
      <c r="U57" s="218"/>
    </row>
    <row r="58" spans="2:21" ht="15" customHeight="1" x14ac:dyDescent="0.2">
      <c r="B58" s="224"/>
      <c r="C58" s="473"/>
      <c r="D58" s="476">
        <f t="shared" si="0"/>
        <v>0</v>
      </c>
      <c r="F58" s="49"/>
      <c r="G58" s="120"/>
      <c r="H58" s="213"/>
      <c r="I58" s="224"/>
      <c r="J58" s="473"/>
      <c r="K58" s="476">
        <f t="shared" si="1"/>
        <v>0</v>
      </c>
      <c r="M58" s="49"/>
      <c r="N58" s="120"/>
      <c r="P58" s="224"/>
      <c r="Q58" s="473"/>
      <c r="R58" s="476">
        <f t="shared" si="2"/>
        <v>0</v>
      </c>
      <c r="T58" s="49"/>
      <c r="U58" s="120"/>
    </row>
    <row r="59" spans="2:21" ht="15" customHeight="1" x14ac:dyDescent="0.2">
      <c r="B59" s="224"/>
      <c r="C59" s="473"/>
      <c r="D59" s="476">
        <f t="shared" si="0"/>
        <v>0</v>
      </c>
      <c r="F59" s="117"/>
      <c r="G59" s="117"/>
      <c r="H59" s="213"/>
      <c r="I59" s="224"/>
      <c r="J59" s="473"/>
      <c r="K59" s="476">
        <f t="shared" si="1"/>
        <v>0</v>
      </c>
      <c r="M59" s="117"/>
      <c r="N59" s="117"/>
      <c r="P59" s="224"/>
      <c r="Q59" s="473"/>
      <c r="R59" s="476">
        <f t="shared" si="2"/>
        <v>0</v>
      </c>
      <c r="T59" s="117"/>
      <c r="U59" s="117"/>
    </row>
    <row r="60" spans="2:21" ht="15" customHeight="1" x14ac:dyDescent="0.2">
      <c r="B60" s="224"/>
      <c r="C60" s="473"/>
      <c r="D60" s="476">
        <f t="shared" si="0"/>
        <v>0</v>
      </c>
      <c r="F60" s="119"/>
      <c r="G60" s="119"/>
      <c r="H60" s="213"/>
      <c r="I60" s="224"/>
      <c r="J60" s="473"/>
      <c r="K60" s="476">
        <f t="shared" si="1"/>
        <v>0</v>
      </c>
      <c r="M60" s="119"/>
      <c r="N60" s="119"/>
      <c r="P60" s="224"/>
      <c r="Q60" s="473"/>
      <c r="R60" s="476">
        <f t="shared" si="2"/>
        <v>0</v>
      </c>
      <c r="T60" s="119"/>
      <c r="U60" s="119"/>
    </row>
    <row r="61" spans="2:21" ht="15" customHeight="1" x14ac:dyDescent="0.2">
      <c r="B61" s="224"/>
      <c r="C61" s="473"/>
      <c r="D61" s="476">
        <f t="shared" si="0"/>
        <v>0</v>
      </c>
      <c r="F61" s="212"/>
      <c r="G61" s="120"/>
      <c r="H61" s="213"/>
      <c r="I61" s="224"/>
      <c r="J61" s="473"/>
      <c r="K61" s="476">
        <f t="shared" si="1"/>
        <v>0</v>
      </c>
      <c r="M61" s="212"/>
      <c r="N61" s="120"/>
      <c r="P61" s="224"/>
      <c r="Q61" s="473"/>
      <c r="R61" s="476">
        <f t="shared" si="2"/>
        <v>0</v>
      </c>
      <c r="T61" s="212"/>
      <c r="U61" s="120"/>
    </row>
    <row r="62" spans="2:21" ht="15" customHeight="1" x14ac:dyDescent="0.2">
      <c r="B62" s="224"/>
      <c r="C62" s="473"/>
      <c r="D62" s="476">
        <f t="shared" si="0"/>
        <v>0</v>
      </c>
      <c r="F62" s="212"/>
      <c r="G62" s="120"/>
      <c r="H62" s="213"/>
      <c r="I62" s="224"/>
      <c r="J62" s="473"/>
      <c r="K62" s="476">
        <f t="shared" si="1"/>
        <v>0</v>
      </c>
      <c r="M62" s="212"/>
      <c r="N62" s="120"/>
      <c r="P62" s="224"/>
      <c r="Q62" s="473"/>
      <c r="R62" s="476">
        <f t="shared" si="2"/>
        <v>0</v>
      </c>
      <c r="T62" s="212"/>
      <c r="U62" s="120"/>
    </row>
    <row r="63" spans="2:21" ht="15" customHeight="1" x14ac:dyDescent="0.2">
      <c r="B63" s="224"/>
      <c r="C63" s="473"/>
      <c r="D63" s="476">
        <f t="shared" si="0"/>
        <v>0</v>
      </c>
      <c r="F63" s="212"/>
      <c r="G63" s="120"/>
      <c r="H63" s="213"/>
      <c r="I63" s="224"/>
      <c r="J63" s="473"/>
      <c r="K63" s="476">
        <f t="shared" si="1"/>
        <v>0</v>
      </c>
      <c r="M63" s="212"/>
      <c r="N63" s="120"/>
      <c r="P63" s="224"/>
      <c r="Q63" s="473"/>
      <c r="R63" s="476">
        <f t="shared" si="2"/>
        <v>0</v>
      </c>
      <c r="T63" s="212"/>
      <c r="U63" s="120"/>
    </row>
    <row r="64" spans="2:21" ht="15" customHeight="1" x14ac:dyDescent="0.2">
      <c r="B64" s="224"/>
      <c r="C64" s="473"/>
      <c r="D64" s="476">
        <f t="shared" si="0"/>
        <v>0</v>
      </c>
      <c r="F64" s="212"/>
      <c r="G64" s="120"/>
      <c r="H64" s="213"/>
      <c r="I64" s="224"/>
      <c r="J64" s="473"/>
      <c r="K64" s="476">
        <f t="shared" si="1"/>
        <v>0</v>
      </c>
      <c r="M64" s="212"/>
      <c r="N64" s="120"/>
      <c r="P64" s="224"/>
      <c r="Q64" s="473"/>
      <c r="R64" s="476">
        <f t="shared" si="2"/>
        <v>0</v>
      </c>
      <c r="T64" s="212"/>
      <c r="U64" s="120"/>
    </row>
    <row r="65" spans="2:21" ht="15" customHeight="1" x14ac:dyDescent="0.2">
      <c r="B65" s="224"/>
      <c r="C65" s="473"/>
      <c r="D65" s="476">
        <f t="shared" si="0"/>
        <v>0</v>
      </c>
      <c r="F65" s="212"/>
      <c r="G65" s="120"/>
      <c r="H65" s="213"/>
      <c r="I65" s="224"/>
      <c r="J65" s="473"/>
      <c r="K65" s="476">
        <f t="shared" si="1"/>
        <v>0</v>
      </c>
      <c r="M65" s="212"/>
      <c r="N65" s="120"/>
      <c r="P65" s="224"/>
      <c r="Q65" s="473"/>
      <c r="R65" s="476">
        <f t="shared" si="2"/>
        <v>0</v>
      </c>
      <c r="T65" s="212"/>
      <c r="U65" s="120"/>
    </row>
    <row r="66" spans="2:21" ht="15" customHeight="1" x14ac:dyDescent="0.2">
      <c r="B66" s="224"/>
      <c r="C66" s="473"/>
      <c r="D66" s="476">
        <f t="shared" si="0"/>
        <v>0</v>
      </c>
      <c r="F66" s="212"/>
      <c r="G66" s="120"/>
      <c r="H66" s="213"/>
      <c r="I66" s="224"/>
      <c r="J66" s="473"/>
      <c r="K66" s="476">
        <f t="shared" si="1"/>
        <v>0</v>
      </c>
      <c r="M66" s="212"/>
      <c r="N66" s="120"/>
      <c r="P66" s="224"/>
      <c r="Q66" s="473"/>
      <c r="R66" s="476">
        <f t="shared" si="2"/>
        <v>0</v>
      </c>
      <c r="T66" s="212"/>
      <c r="U66" s="120"/>
    </row>
    <row r="67" spans="2:21" ht="15" customHeight="1" x14ac:dyDescent="0.2">
      <c r="B67" s="224"/>
      <c r="C67" s="473"/>
      <c r="D67" s="476">
        <f t="shared" si="0"/>
        <v>0</v>
      </c>
      <c r="F67" s="212"/>
      <c r="G67" s="120"/>
      <c r="H67" s="213"/>
      <c r="I67" s="224"/>
      <c r="J67" s="473"/>
      <c r="K67" s="476">
        <f t="shared" si="1"/>
        <v>0</v>
      </c>
      <c r="M67" s="212"/>
      <c r="N67" s="120"/>
      <c r="P67" s="224"/>
      <c r="Q67" s="473"/>
      <c r="R67" s="476">
        <f t="shared" si="2"/>
        <v>0</v>
      </c>
      <c r="T67" s="212"/>
      <c r="U67" s="120"/>
    </row>
    <row r="68" spans="2:21" ht="15" customHeight="1" x14ac:dyDescent="0.2">
      <c r="B68" s="224"/>
      <c r="C68" s="473"/>
      <c r="D68" s="476">
        <f t="shared" si="0"/>
        <v>0</v>
      </c>
      <c r="F68" s="212"/>
      <c r="G68" s="120"/>
      <c r="H68" s="213"/>
      <c r="I68" s="224"/>
      <c r="J68" s="473"/>
      <c r="K68" s="476">
        <f t="shared" si="1"/>
        <v>0</v>
      </c>
      <c r="M68" s="212"/>
      <c r="N68" s="120"/>
      <c r="P68" s="224"/>
      <c r="Q68" s="473"/>
      <c r="R68" s="476">
        <f t="shared" si="2"/>
        <v>0</v>
      </c>
      <c r="T68" s="212"/>
      <c r="U68" s="120"/>
    </row>
    <row r="69" spans="2:21" ht="15" customHeight="1" x14ac:dyDescent="0.2">
      <c r="B69" s="224"/>
      <c r="C69" s="473"/>
      <c r="D69" s="476">
        <f t="shared" si="0"/>
        <v>0</v>
      </c>
      <c r="F69" s="212"/>
      <c r="G69" s="120"/>
      <c r="H69" s="213"/>
      <c r="I69" s="224"/>
      <c r="J69" s="473"/>
      <c r="K69" s="476">
        <f t="shared" si="1"/>
        <v>0</v>
      </c>
      <c r="M69" s="212"/>
      <c r="N69" s="120"/>
      <c r="P69" s="224"/>
      <c r="Q69" s="473"/>
      <c r="R69" s="476">
        <f t="shared" si="2"/>
        <v>0</v>
      </c>
      <c r="T69" s="212"/>
      <c r="U69" s="120"/>
    </row>
    <row r="70" spans="2:21" ht="15" customHeight="1" x14ac:dyDescent="0.2">
      <c r="B70" s="224"/>
      <c r="C70" s="473"/>
      <c r="D70" s="476">
        <f t="shared" si="0"/>
        <v>0</v>
      </c>
      <c r="F70" s="212"/>
      <c r="G70" s="120"/>
      <c r="H70" s="213"/>
      <c r="I70" s="224"/>
      <c r="J70" s="473"/>
      <c r="K70" s="476">
        <f t="shared" si="1"/>
        <v>0</v>
      </c>
      <c r="M70" s="212"/>
      <c r="N70" s="120"/>
      <c r="P70" s="224"/>
      <c r="Q70" s="473"/>
      <c r="R70" s="476">
        <f t="shared" si="2"/>
        <v>0</v>
      </c>
      <c r="T70" s="212"/>
      <c r="U70" s="120"/>
    </row>
    <row r="71" spans="2:21" ht="15" customHeight="1" x14ac:dyDescent="0.2">
      <c r="B71" s="224"/>
      <c r="C71" s="473"/>
      <c r="D71" s="476">
        <f t="shared" si="0"/>
        <v>0</v>
      </c>
      <c r="F71" s="212"/>
      <c r="G71" s="120"/>
      <c r="H71" s="213"/>
      <c r="I71" s="224"/>
      <c r="J71" s="473"/>
      <c r="K71" s="476">
        <f t="shared" si="1"/>
        <v>0</v>
      </c>
      <c r="M71" s="212"/>
      <c r="N71" s="120"/>
      <c r="P71" s="224"/>
      <c r="Q71" s="473"/>
      <c r="R71" s="476">
        <f t="shared" si="2"/>
        <v>0</v>
      </c>
      <c r="T71" s="212"/>
      <c r="U71" s="120"/>
    </row>
    <row r="72" spans="2:21" ht="15" customHeight="1" x14ac:dyDescent="0.2">
      <c r="B72" s="224"/>
      <c r="C72" s="473"/>
      <c r="D72" s="476">
        <f t="shared" si="0"/>
        <v>0</v>
      </c>
      <c r="F72" s="212"/>
      <c r="G72" s="120"/>
      <c r="H72" s="213"/>
      <c r="I72" s="224"/>
      <c r="J72" s="473"/>
      <c r="K72" s="476">
        <f t="shared" si="1"/>
        <v>0</v>
      </c>
      <c r="M72" s="212"/>
      <c r="N72" s="120"/>
      <c r="P72" s="224"/>
      <c r="Q72" s="473"/>
      <c r="R72" s="476">
        <f t="shared" si="2"/>
        <v>0</v>
      </c>
      <c r="T72" s="212"/>
      <c r="U72" s="120"/>
    </row>
    <row r="73" spans="2:21" ht="15" customHeight="1" x14ac:dyDescent="0.2">
      <c r="B73" s="224"/>
      <c r="C73" s="473"/>
      <c r="D73" s="476">
        <f t="shared" si="0"/>
        <v>0</v>
      </c>
      <c r="F73" s="212"/>
      <c r="G73" s="120"/>
      <c r="H73" s="213"/>
      <c r="I73" s="224"/>
      <c r="J73" s="473"/>
      <c r="K73" s="476">
        <f t="shared" si="1"/>
        <v>0</v>
      </c>
      <c r="M73" s="212"/>
      <c r="N73" s="120"/>
      <c r="P73" s="224"/>
      <c r="Q73" s="473"/>
      <c r="R73" s="476">
        <f t="shared" si="2"/>
        <v>0</v>
      </c>
      <c r="T73" s="212"/>
      <c r="U73" s="120"/>
    </row>
    <row r="74" spans="2:21" ht="15" customHeight="1" x14ac:dyDescent="0.2">
      <c r="B74" s="224"/>
      <c r="C74" s="473"/>
      <c r="D74" s="476">
        <f t="shared" si="0"/>
        <v>0</v>
      </c>
      <c r="F74" s="212"/>
      <c r="G74" s="120"/>
      <c r="H74" s="213"/>
      <c r="I74" s="224"/>
      <c r="J74" s="473"/>
      <c r="K74" s="476">
        <f t="shared" si="1"/>
        <v>0</v>
      </c>
      <c r="M74" s="212"/>
      <c r="N74" s="120"/>
      <c r="P74" s="224"/>
      <c r="Q74" s="473"/>
      <c r="R74" s="476">
        <f t="shared" si="2"/>
        <v>0</v>
      </c>
      <c r="T74" s="212"/>
      <c r="U74" s="120"/>
    </row>
    <row r="75" spans="2:21" ht="15" customHeight="1" x14ac:dyDescent="0.2">
      <c r="B75" s="224"/>
      <c r="C75" s="473"/>
      <c r="D75" s="476">
        <f t="shared" si="0"/>
        <v>0</v>
      </c>
      <c r="F75" s="212"/>
      <c r="G75" s="120"/>
      <c r="H75" s="213"/>
      <c r="I75" s="224"/>
      <c r="J75" s="473"/>
      <c r="K75" s="476">
        <f t="shared" si="1"/>
        <v>0</v>
      </c>
      <c r="M75" s="212"/>
      <c r="N75" s="120"/>
      <c r="P75" s="224"/>
      <c r="Q75" s="473"/>
      <c r="R75" s="476">
        <f t="shared" si="2"/>
        <v>0</v>
      </c>
      <c r="T75" s="212"/>
      <c r="U75" s="120"/>
    </row>
    <row r="76" spans="2:21" ht="15" customHeight="1" x14ac:dyDescent="0.2">
      <c r="B76" s="224"/>
      <c r="C76" s="473"/>
      <c r="D76" s="476">
        <f t="shared" si="0"/>
        <v>0</v>
      </c>
      <c r="F76" s="212"/>
      <c r="G76" s="120"/>
      <c r="H76" s="213"/>
      <c r="I76" s="224"/>
      <c r="J76" s="473"/>
      <c r="K76" s="476">
        <f t="shared" si="1"/>
        <v>0</v>
      </c>
      <c r="M76" s="212"/>
      <c r="N76" s="120"/>
      <c r="P76" s="224"/>
      <c r="Q76" s="473"/>
      <c r="R76" s="476">
        <f t="shared" si="2"/>
        <v>0</v>
      </c>
      <c r="T76" s="212"/>
      <c r="U76" s="120"/>
    </row>
    <row r="77" spans="2:21" ht="15" customHeight="1" x14ac:dyDescent="0.2">
      <c r="B77" s="224"/>
      <c r="C77" s="473"/>
      <c r="D77" s="476">
        <f t="shared" si="0"/>
        <v>0</v>
      </c>
      <c r="F77" s="212"/>
      <c r="G77" s="120"/>
      <c r="H77" s="213"/>
      <c r="I77" s="224"/>
      <c r="J77" s="473"/>
      <c r="K77" s="476">
        <f t="shared" si="1"/>
        <v>0</v>
      </c>
      <c r="M77" s="212"/>
      <c r="N77" s="120"/>
      <c r="P77" s="224"/>
      <c r="Q77" s="473"/>
      <c r="R77" s="476">
        <f t="shared" si="2"/>
        <v>0</v>
      </c>
      <c r="T77" s="212"/>
      <c r="U77" s="120"/>
    </row>
    <row r="78" spans="2:21" ht="15" customHeight="1" x14ac:dyDescent="0.2">
      <c r="B78" s="224"/>
      <c r="C78" s="473"/>
      <c r="D78" s="476">
        <f t="shared" si="0"/>
        <v>0</v>
      </c>
      <c r="F78" s="212"/>
      <c r="G78" s="120"/>
      <c r="H78" s="213"/>
      <c r="I78" s="224"/>
      <c r="J78" s="473"/>
      <c r="K78" s="476">
        <f t="shared" si="1"/>
        <v>0</v>
      </c>
      <c r="M78" s="212"/>
      <c r="N78" s="120"/>
      <c r="P78" s="224"/>
      <c r="Q78" s="473"/>
      <c r="R78" s="476">
        <f t="shared" si="2"/>
        <v>0</v>
      </c>
      <c r="T78" s="212"/>
      <c r="U78" s="120"/>
    </row>
    <row r="79" spans="2:21" ht="15" customHeight="1" x14ac:dyDescent="0.2">
      <c r="B79" s="224"/>
      <c r="C79" s="473"/>
      <c r="D79" s="476">
        <f t="shared" si="0"/>
        <v>0</v>
      </c>
      <c r="F79" s="212"/>
      <c r="G79" s="120"/>
      <c r="H79" s="213"/>
      <c r="I79" s="224"/>
      <c r="J79" s="473"/>
      <c r="K79" s="476">
        <f t="shared" si="1"/>
        <v>0</v>
      </c>
      <c r="M79" s="212"/>
      <c r="N79" s="120"/>
      <c r="P79" s="224"/>
      <c r="Q79" s="473"/>
      <c r="R79" s="476">
        <f t="shared" si="2"/>
        <v>0</v>
      </c>
      <c r="T79" s="212"/>
      <c r="U79" s="120"/>
    </row>
    <row r="80" spans="2:21" ht="15" customHeight="1" x14ac:dyDescent="0.2">
      <c r="B80" s="224"/>
      <c r="C80" s="473"/>
      <c r="D80" s="476">
        <f t="shared" si="0"/>
        <v>0</v>
      </c>
      <c r="F80" s="212"/>
      <c r="G80" s="120"/>
      <c r="H80" s="213"/>
      <c r="I80" s="224"/>
      <c r="J80" s="473"/>
      <c r="K80" s="476">
        <f t="shared" si="1"/>
        <v>0</v>
      </c>
      <c r="M80" s="212"/>
      <c r="N80" s="120"/>
      <c r="P80" s="224"/>
      <c r="Q80" s="473"/>
      <c r="R80" s="476">
        <f t="shared" si="2"/>
        <v>0</v>
      </c>
      <c r="T80" s="212"/>
      <c r="U80" s="120"/>
    </row>
    <row r="81" spans="2:21" ht="15" customHeight="1" x14ac:dyDescent="0.2">
      <c r="B81" s="224"/>
      <c r="C81" s="473"/>
      <c r="D81" s="476">
        <f t="shared" si="0"/>
        <v>0</v>
      </c>
      <c r="F81" s="212"/>
      <c r="G81" s="120"/>
      <c r="H81" s="213"/>
      <c r="I81" s="224"/>
      <c r="J81" s="473"/>
      <c r="K81" s="476">
        <f t="shared" si="1"/>
        <v>0</v>
      </c>
      <c r="M81" s="212"/>
      <c r="N81" s="120"/>
      <c r="P81" s="224"/>
      <c r="Q81" s="473"/>
      <c r="R81" s="476">
        <f t="shared" si="2"/>
        <v>0</v>
      </c>
      <c r="T81" s="212"/>
      <c r="U81" s="120"/>
    </row>
    <row r="82" spans="2:21" ht="15" customHeight="1" x14ac:dyDescent="0.2">
      <c r="B82" s="224"/>
      <c r="C82" s="473"/>
      <c r="D82" s="476">
        <f t="shared" ref="D82:D145" si="3">C82/1000</f>
        <v>0</v>
      </c>
      <c r="F82" s="212"/>
      <c r="G82" s="120"/>
      <c r="H82" s="213"/>
      <c r="I82" s="224"/>
      <c r="J82" s="473"/>
      <c r="K82" s="476">
        <f t="shared" ref="K82:K145" si="4">J82/1000</f>
        <v>0</v>
      </c>
      <c r="M82" s="212"/>
      <c r="N82" s="120"/>
      <c r="P82" s="224"/>
      <c r="Q82" s="473"/>
      <c r="R82" s="476">
        <f t="shared" ref="R82:R145" si="5">Q82/1000</f>
        <v>0</v>
      </c>
      <c r="T82" s="212"/>
      <c r="U82" s="120"/>
    </row>
    <row r="83" spans="2:21" ht="15" customHeight="1" x14ac:dyDescent="0.2">
      <c r="B83" s="224"/>
      <c r="C83" s="473"/>
      <c r="D83" s="476">
        <f t="shared" si="3"/>
        <v>0</v>
      </c>
      <c r="F83" s="212"/>
      <c r="G83" s="120"/>
      <c r="H83" s="213"/>
      <c r="I83" s="224"/>
      <c r="J83" s="473"/>
      <c r="K83" s="476">
        <f t="shared" si="4"/>
        <v>0</v>
      </c>
      <c r="M83" s="212"/>
      <c r="N83" s="120"/>
      <c r="P83" s="224"/>
      <c r="Q83" s="473"/>
      <c r="R83" s="476">
        <f t="shared" si="5"/>
        <v>0</v>
      </c>
      <c r="T83" s="212"/>
      <c r="U83" s="120"/>
    </row>
    <row r="84" spans="2:21" ht="15" customHeight="1" x14ac:dyDescent="0.2">
      <c r="B84" s="224"/>
      <c r="C84" s="473"/>
      <c r="D84" s="476">
        <f t="shared" si="3"/>
        <v>0</v>
      </c>
      <c r="F84" s="212"/>
      <c r="G84" s="120"/>
      <c r="H84" s="213"/>
      <c r="I84" s="224"/>
      <c r="J84" s="473"/>
      <c r="K84" s="476">
        <f t="shared" si="4"/>
        <v>0</v>
      </c>
      <c r="M84" s="212"/>
      <c r="N84" s="120"/>
      <c r="P84" s="224"/>
      <c r="Q84" s="473"/>
      <c r="R84" s="476">
        <f t="shared" si="5"/>
        <v>0</v>
      </c>
      <c r="T84" s="212"/>
      <c r="U84" s="120"/>
    </row>
    <row r="85" spans="2:21" ht="15" customHeight="1" x14ac:dyDescent="0.2">
      <c r="B85" s="224"/>
      <c r="C85" s="473"/>
      <c r="D85" s="476">
        <f t="shared" si="3"/>
        <v>0</v>
      </c>
      <c r="F85" s="212"/>
      <c r="G85" s="120"/>
      <c r="H85" s="213"/>
      <c r="I85" s="224"/>
      <c r="J85" s="473"/>
      <c r="K85" s="476">
        <f t="shared" si="4"/>
        <v>0</v>
      </c>
      <c r="M85" s="212"/>
      <c r="N85" s="120"/>
      <c r="P85" s="224"/>
      <c r="Q85" s="473"/>
      <c r="R85" s="476">
        <f t="shared" si="5"/>
        <v>0</v>
      </c>
      <c r="T85" s="212"/>
      <c r="U85" s="120"/>
    </row>
    <row r="86" spans="2:21" ht="15" customHeight="1" x14ac:dyDescent="0.2">
      <c r="B86" s="224"/>
      <c r="C86" s="473"/>
      <c r="D86" s="476">
        <f t="shared" si="3"/>
        <v>0</v>
      </c>
      <c r="F86" s="212"/>
      <c r="G86" s="120"/>
      <c r="H86" s="213"/>
      <c r="I86" s="224"/>
      <c r="J86" s="473"/>
      <c r="K86" s="476">
        <f t="shared" si="4"/>
        <v>0</v>
      </c>
      <c r="M86" s="212"/>
      <c r="N86" s="120"/>
      <c r="P86" s="224"/>
      <c r="Q86" s="473"/>
      <c r="R86" s="476">
        <f t="shared" si="5"/>
        <v>0</v>
      </c>
      <c r="T86" s="212"/>
      <c r="U86" s="120"/>
    </row>
    <row r="87" spans="2:21" ht="15" customHeight="1" x14ac:dyDescent="0.2">
      <c r="B87" s="224"/>
      <c r="C87" s="473"/>
      <c r="D87" s="476">
        <f t="shared" si="3"/>
        <v>0</v>
      </c>
      <c r="F87" s="212"/>
      <c r="G87" s="120"/>
      <c r="H87" s="213"/>
      <c r="I87" s="224"/>
      <c r="J87" s="473"/>
      <c r="K87" s="476">
        <f t="shared" si="4"/>
        <v>0</v>
      </c>
      <c r="M87" s="212"/>
      <c r="N87" s="120"/>
      <c r="P87" s="224"/>
      <c r="Q87" s="473"/>
      <c r="R87" s="476">
        <f t="shared" si="5"/>
        <v>0</v>
      </c>
      <c r="T87" s="212"/>
      <c r="U87" s="120"/>
    </row>
    <row r="88" spans="2:21" ht="15" customHeight="1" x14ac:dyDescent="0.2">
      <c r="B88" s="224"/>
      <c r="C88" s="473"/>
      <c r="D88" s="476">
        <f t="shared" si="3"/>
        <v>0</v>
      </c>
      <c r="F88" s="212"/>
      <c r="G88" s="120"/>
      <c r="H88" s="213"/>
      <c r="I88" s="224"/>
      <c r="J88" s="473"/>
      <c r="K88" s="476">
        <f t="shared" si="4"/>
        <v>0</v>
      </c>
      <c r="M88" s="212"/>
      <c r="N88" s="120"/>
      <c r="P88" s="224"/>
      <c r="Q88" s="473"/>
      <c r="R88" s="476">
        <f t="shared" si="5"/>
        <v>0</v>
      </c>
      <c r="T88" s="212"/>
      <c r="U88" s="120"/>
    </row>
    <row r="89" spans="2:21" ht="15" customHeight="1" x14ac:dyDescent="0.2">
      <c r="B89" s="224"/>
      <c r="C89" s="473"/>
      <c r="D89" s="476">
        <f t="shared" si="3"/>
        <v>0</v>
      </c>
      <c r="F89" s="212"/>
      <c r="G89" s="120"/>
      <c r="H89" s="213"/>
      <c r="I89" s="224"/>
      <c r="J89" s="473"/>
      <c r="K89" s="476">
        <f t="shared" si="4"/>
        <v>0</v>
      </c>
      <c r="M89" s="212"/>
      <c r="N89" s="120"/>
      <c r="P89" s="224"/>
      <c r="Q89" s="473"/>
      <c r="R89" s="476">
        <f t="shared" si="5"/>
        <v>0</v>
      </c>
      <c r="T89" s="212"/>
      <c r="U89" s="120"/>
    </row>
    <row r="90" spans="2:21" ht="15" customHeight="1" x14ac:dyDescent="0.2">
      <c r="B90" s="224"/>
      <c r="C90" s="473"/>
      <c r="D90" s="476">
        <f t="shared" si="3"/>
        <v>0</v>
      </c>
      <c r="F90" s="212"/>
      <c r="G90" s="120"/>
      <c r="H90" s="213"/>
      <c r="I90" s="224"/>
      <c r="J90" s="473"/>
      <c r="K90" s="476">
        <f t="shared" si="4"/>
        <v>0</v>
      </c>
      <c r="M90" s="212"/>
      <c r="N90" s="120"/>
      <c r="P90" s="224"/>
      <c r="Q90" s="473"/>
      <c r="R90" s="476">
        <f t="shared" si="5"/>
        <v>0</v>
      </c>
      <c r="T90" s="212"/>
      <c r="U90" s="120"/>
    </row>
    <row r="91" spans="2:21" ht="15" customHeight="1" x14ac:dyDescent="0.2">
      <c r="B91" s="224"/>
      <c r="C91" s="473"/>
      <c r="D91" s="476">
        <f t="shared" si="3"/>
        <v>0</v>
      </c>
      <c r="F91" s="212"/>
      <c r="G91" s="120"/>
      <c r="H91" s="213"/>
      <c r="I91" s="224"/>
      <c r="J91" s="473"/>
      <c r="K91" s="476">
        <f t="shared" si="4"/>
        <v>0</v>
      </c>
      <c r="M91" s="212"/>
      <c r="N91" s="120"/>
      <c r="P91" s="224"/>
      <c r="Q91" s="473"/>
      <c r="R91" s="476">
        <f t="shared" si="5"/>
        <v>0</v>
      </c>
      <c r="T91" s="212"/>
      <c r="U91" s="120"/>
    </row>
    <row r="92" spans="2:21" ht="15" customHeight="1" x14ac:dyDescent="0.2">
      <c r="B92" s="224"/>
      <c r="C92" s="473"/>
      <c r="D92" s="476">
        <f t="shared" si="3"/>
        <v>0</v>
      </c>
      <c r="F92" s="212"/>
      <c r="G92" s="120"/>
      <c r="H92" s="213"/>
      <c r="I92" s="224"/>
      <c r="J92" s="473"/>
      <c r="K92" s="476">
        <f t="shared" si="4"/>
        <v>0</v>
      </c>
      <c r="M92" s="212"/>
      <c r="N92" s="120"/>
      <c r="P92" s="224"/>
      <c r="Q92" s="473"/>
      <c r="R92" s="476">
        <f t="shared" si="5"/>
        <v>0</v>
      </c>
      <c r="T92" s="212"/>
      <c r="U92" s="120"/>
    </row>
    <row r="93" spans="2:21" ht="15" customHeight="1" x14ac:dyDescent="0.2">
      <c r="B93" s="224"/>
      <c r="C93" s="473"/>
      <c r="D93" s="476">
        <f t="shared" si="3"/>
        <v>0</v>
      </c>
      <c r="F93" s="212"/>
      <c r="G93" s="120"/>
      <c r="H93" s="213"/>
      <c r="I93" s="224"/>
      <c r="J93" s="473"/>
      <c r="K93" s="476">
        <f t="shared" si="4"/>
        <v>0</v>
      </c>
      <c r="M93" s="212"/>
      <c r="N93" s="120"/>
      <c r="P93" s="224"/>
      <c r="Q93" s="473"/>
      <c r="R93" s="476">
        <f t="shared" si="5"/>
        <v>0</v>
      </c>
      <c r="T93" s="212"/>
      <c r="U93" s="120"/>
    </row>
    <row r="94" spans="2:21" ht="15" customHeight="1" x14ac:dyDescent="0.2">
      <c r="B94" s="224"/>
      <c r="C94" s="473"/>
      <c r="D94" s="476">
        <f t="shared" si="3"/>
        <v>0</v>
      </c>
      <c r="F94" s="212"/>
      <c r="G94" s="120"/>
      <c r="H94" s="213"/>
      <c r="I94" s="224"/>
      <c r="J94" s="473"/>
      <c r="K94" s="476">
        <f t="shared" si="4"/>
        <v>0</v>
      </c>
      <c r="M94" s="212"/>
      <c r="N94" s="120"/>
      <c r="P94" s="224"/>
      <c r="Q94" s="473"/>
      <c r="R94" s="476">
        <f t="shared" si="5"/>
        <v>0</v>
      </c>
      <c r="T94" s="212"/>
      <c r="U94" s="120"/>
    </row>
    <row r="95" spans="2:21" ht="15" customHeight="1" x14ac:dyDescent="0.2">
      <c r="B95" s="224"/>
      <c r="C95" s="473"/>
      <c r="D95" s="476">
        <f t="shared" si="3"/>
        <v>0</v>
      </c>
      <c r="F95" s="212"/>
      <c r="G95" s="120"/>
      <c r="H95" s="213"/>
      <c r="I95" s="224"/>
      <c r="J95" s="473"/>
      <c r="K95" s="476">
        <f t="shared" si="4"/>
        <v>0</v>
      </c>
      <c r="M95" s="212"/>
      <c r="N95" s="120"/>
      <c r="P95" s="224"/>
      <c r="Q95" s="473"/>
      <c r="R95" s="476">
        <f t="shared" si="5"/>
        <v>0</v>
      </c>
      <c r="T95" s="212"/>
      <c r="U95" s="120"/>
    </row>
    <row r="96" spans="2:21" ht="15" customHeight="1" x14ac:dyDescent="0.2">
      <c r="B96" s="224"/>
      <c r="C96" s="473"/>
      <c r="D96" s="476">
        <f t="shared" si="3"/>
        <v>0</v>
      </c>
      <c r="F96" s="212"/>
      <c r="G96" s="120"/>
      <c r="H96" s="213"/>
      <c r="I96" s="224"/>
      <c r="J96" s="473"/>
      <c r="K96" s="476">
        <f t="shared" si="4"/>
        <v>0</v>
      </c>
      <c r="M96" s="212"/>
      <c r="N96" s="120"/>
      <c r="P96" s="224"/>
      <c r="Q96" s="473"/>
      <c r="R96" s="476">
        <f t="shared" si="5"/>
        <v>0</v>
      </c>
      <c r="T96" s="212"/>
      <c r="U96" s="120"/>
    </row>
    <row r="97" spans="2:21" ht="15" customHeight="1" x14ac:dyDescent="0.2">
      <c r="B97" s="224"/>
      <c r="C97" s="473"/>
      <c r="D97" s="476">
        <f t="shared" si="3"/>
        <v>0</v>
      </c>
      <c r="F97" s="212"/>
      <c r="G97" s="120"/>
      <c r="H97" s="213"/>
      <c r="I97" s="224"/>
      <c r="J97" s="473"/>
      <c r="K97" s="476">
        <f t="shared" si="4"/>
        <v>0</v>
      </c>
      <c r="M97" s="212"/>
      <c r="N97" s="120"/>
      <c r="P97" s="224"/>
      <c r="Q97" s="473"/>
      <c r="R97" s="476">
        <f t="shared" si="5"/>
        <v>0</v>
      </c>
      <c r="T97" s="212"/>
      <c r="U97" s="120"/>
    </row>
    <row r="98" spans="2:21" ht="15" customHeight="1" x14ac:dyDescent="0.2">
      <c r="B98" s="224"/>
      <c r="C98" s="473"/>
      <c r="D98" s="476">
        <f t="shared" si="3"/>
        <v>0</v>
      </c>
      <c r="F98" s="212"/>
      <c r="G98" s="120"/>
      <c r="H98" s="213"/>
      <c r="I98" s="224"/>
      <c r="J98" s="473"/>
      <c r="K98" s="476">
        <f t="shared" si="4"/>
        <v>0</v>
      </c>
      <c r="M98" s="212"/>
      <c r="N98" s="120"/>
      <c r="P98" s="224"/>
      <c r="Q98" s="473"/>
      <c r="R98" s="476">
        <f t="shared" si="5"/>
        <v>0</v>
      </c>
      <c r="T98" s="212"/>
      <c r="U98" s="120"/>
    </row>
    <row r="99" spans="2:21" ht="15" customHeight="1" x14ac:dyDescent="0.2">
      <c r="B99" s="224"/>
      <c r="C99" s="473"/>
      <c r="D99" s="476">
        <f t="shared" si="3"/>
        <v>0</v>
      </c>
      <c r="F99" s="212"/>
      <c r="G99" s="120"/>
      <c r="H99" s="213"/>
      <c r="I99" s="224"/>
      <c r="J99" s="473"/>
      <c r="K99" s="476">
        <f t="shared" si="4"/>
        <v>0</v>
      </c>
      <c r="M99" s="212"/>
      <c r="N99" s="120"/>
      <c r="P99" s="224"/>
      <c r="Q99" s="473"/>
      <c r="R99" s="476">
        <f t="shared" si="5"/>
        <v>0</v>
      </c>
      <c r="T99" s="212"/>
      <c r="U99" s="120"/>
    </row>
    <row r="100" spans="2:21" ht="15" customHeight="1" x14ac:dyDescent="0.2">
      <c r="B100" s="224"/>
      <c r="C100" s="473"/>
      <c r="D100" s="476">
        <f t="shared" si="3"/>
        <v>0</v>
      </c>
      <c r="F100" s="212"/>
      <c r="G100" s="120"/>
      <c r="H100" s="213"/>
      <c r="I100" s="224"/>
      <c r="J100" s="473"/>
      <c r="K100" s="476">
        <f t="shared" si="4"/>
        <v>0</v>
      </c>
      <c r="M100" s="212"/>
      <c r="N100" s="120"/>
      <c r="P100" s="224"/>
      <c r="Q100" s="473"/>
      <c r="R100" s="476">
        <f t="shared" si="5"/>
        <v>0</v>
      </c>
      <c r="T100" s="212"/>
      <c r="U100" s="120"/>
    </row>
    <row r="101" spans="2:21" ht="15" customHeight="1" x14ac:dyDescent="0.2">
      <c r="B101" s="224"/>
      <c r="C101" s="473"/>
      <c r="D101" s="476">
        <f t="shared" si="3"/>
        <v>0</v>
      </c>
      <c r="F101" s="212"/>
      <c r="G101" s="120"/>
      <c r="H101" s="213"/>
      <c r="I101" s="224"/>
      <c r="J101" s="473"/>
      <c r="K101" s="476">
        <f t="shared" si="4"/>
        <v>0</v>
      </c>
      <c r="M101" s="212"/>
      <c r="N101" s="120"/>
      <c r="P101" s="224"/>
      <c r="Q101" s="473"/>
      <c r="R101" s="476">
        <f t="shared" si="5"/>
        <v>0</v>
      </c>
      <c r="T101" s="212"/>
      <c r="U101" s="120"/>
    </row>
    <row r="102" spans="2:21" ht="15" customHeight="1" x14ac:dyDescent="0.2">
      <c r="B102" s="224"/>
      <c r="C102" s="473"/>
      <c r="D102" s="476">
        <f t="shared" si="3"/>
        <v>0</v>
      </c>
      <c r="F102" s="822"/>
      <c r="G102" s="822"/>
      <c r="H102" s="213"/>
      <c r="I102" s="224"/>
      <c r="J102" s="473"/>
      <c r="K102" s="476">
        <f t="shared" si="4"/>
        <v>0</v>
      </c>
      <c r="M102" s="822"/>
      <c r="N102" s="822"/>
      <c r="P102" s="224"/>
      <c r="Q102" s="473"/>
      <c r="R102" s="476">
        <f t="shared" si="5"/>
        <v>0</v>
      </c>
      <c r="T102" s="822"/>
      <c r="U102" s="822"/>
    </row>
    <row r="103" spans="2:21" ht="15" customHeight="1" x14ac:dyDescent="0.2">
      <c r="B103" s="224"/>
      <c r="C103" s="473"/>
      <c r="D103" s="476">
        <f t="shared" si="3"/>
        <v>0</v>
      </c>
      <c r="F103" s="119"/>
      <c r="G103" s="119"/>
      <c r="H103" s="213"/>
      <c r="I103" s="224"/>
      <c r="J103" s="473"/>
      <c r="K103" s="476">
        <f t="shared" si="4"/>
        <v>0</v>
      </c>
      <c r="M103" s="119"/>
      <c r="N103" s="119"/>
      <c r="P103" s="224"/>
      <c r="Q103" s="473"/>
      <c r="R103" s="476">
        <f t="shared" si="5"/>
        <v>0</v>
      </c>
      <c r="T103" s="119"/>
      <c r="U103" s="119"/>
    </row>
    <row r="104" spans="2:21" ht="15" customHeight="1" x14ac:dyDescent="0.2">
      <c r="B104" s="224"/>
      <c r="C104" s="473"/>
      <c r="D104" s="476">
        <f t="shared" si="3"/>
        <v>0</v>
      </c>
      <c r="F104" s="212"/>
      <c r="G104" s="120"/>
      <c r="H104" s="213"/>
      <c r="I104" s="224"/>
      <c r="J104" s="473"/>
      <c r="K104" s="476">
        <f t="shared" si="4"/>
        <v>0</v>
      </c>
      <c r="M104" s="212"/>
      <c r="N104" s="120"/>
      <c r="P104" s="224"/>
      <c r="Q104" s="473"/>
      <c r="R104" s="476">
        <f t="shared" si="5"/>
        <v>0</v>
      </c>
      <c r="T104" s="212"/>
      <c r="U104" s="120"/>
    </row>
    <row r="105" spans="2:21" ht="15" customHeight="1" x14ac:dyDescent="0.2">
      <c r="B105" s="224"/>
      <c r="C105" s="473"/>
      <c r="D105" s="476">
        <f t="shared" si="3"/>
        <v>0</v>
      </c>
      <c r="F105" s="212"/>
      <c r="G105" s="120"/>
      <c r="H105" s="213"/>
      <c r="I105" s="224"/>
      <c r="J105" s="473"/>
      <c r="K105" s="476">
        <f t="shared" si="4"/>
        <v>0</v>
      </c>
      <c r="M105" s="212"/>
      <c r="N105" s="120"/>
      <c r="P105" s="224"/>
      <c r="Q105" s="473"/>
      <c r="R105" s="476">
        <f t="shared" si="5"/>
        <v>0</v>
      </c>
      <c r="T105" s="212"/>
      <c r="U105" s="120"/>
    </row>
    <row r="106" spans="2:21" ht="15" customHeight="1" x14ac:dyDescent="0.2">
      <c r="B106" s="224"/>
      <c r="C106" s="473"/>
      <c r="D106" s="476">
        <f t="shared" si="3"/>
        <v>0</v>
      </c>
      <c r="F106" s="212"/>
      <c r="G106" s="120"/>
      <c r="H106" s="213"/>
      <c r="I106" s="224"/>
      <c r="J106" s="473"/>
      <c r="K106" s="476">
        <f t="shared" si="4"/>
        <v>0</v>
      </c>
      <c r="M106" s="212"/>
      <c r="N106" s="120"/>
      <c r="P106" s="224"/>
      <c r="Q106" s="473"/>
      <c r="R106" s="476">
        <f t="shared" si="5"/>
        <v>0</v>
      </c>
      <c r="T106" s="212"/>
      <c r="U106" s="120"/>
    </row>
    <row r="107" spans="2:21" ht="15" customHeight="1" x14ac:dyDescent="0.2">
      <c r="B107" s="224"/>
      <c r="C107" s="473"/>
      <c r="D107" s="476">
        <f t="shared" si="3"/>
        <v>0</v>
      </c>
      <c r="F107" s="212"/>
      <c r="G107" s="120"/>
      <c r="H107" s="213"/>
      <c r="I107" s="224"/>
      <c r="J107" s="473"/>
      <c r="K107" s="476">
        <f t="shared" si="4"/>
        <v>0</v>
      </c>
      <c r="M107" s="212"/>
      <c r="N107" s="120"/>
      <c r="P107" s="224"/>
      <c r="Q107" s="473"/>
      <c r="R107" s="476">
        <f t="shared" si="5"/>
        <v>0</v>
      </c>
      <c r="T107" s="212"/>
      <c r="U107" s="120"/>
    </row>
    <row r="108" spans="2:21" ht="15" customHeight="1" x14ac:dyDescent="0.2">
      <c r="B108" s="224"/>
      <c r="C108" s="473"/>
      <c r="D108" s="476">
        <f t="shared" si="3"/>
        <v>0</v>
      </c>
      <c r="F108" s="212"/>
      <c r="G108" s="120"/>
      <c r="H108" s="213"/>
      <c r="I108" s="224"/>
      <c r="J108" s="473"/>
      <c r="K108" s="476">
        <f t="shared" si="4"/>
        <v>0</v>
      </c>
      <c r="M108" s="212"/>
      <c r="N108" s="120"/>
      <c r="P108" s="224"/>
      <c r="Q108" s="473"/>
      <c r="R108" s="476">
        <f t="shared" si="5"/>
        <v>0</v>
      </c>
      <c r="T108" s="212"/>
      <c r="U108" s="120"/>
    </row>
    <row r="109" spans="2:21" ht="15" customHeight="1" x14ac:dyDescent="0.2">
      <c r="B109" s="224"/>
      <c r="C109" s="473"/>
      <c r="D109" s="476">
        <f t="shared" si="3"/>
        <v>0</v>
      </c>
      <c r="F109" s="212"/>
      <c r="G109" s="120"/>
      <c r="H109" s="213"/>
      <c r="I109" s="224"/>
      <c r="J109" s="473"/>
      <c r="K109" s="476">
        <f t="shared" si="4"/>
        <v>0</v>
      </c>
      <c r="M109" s="212"/>
      <c r="N109" s="120"/>
      <c r="P109" s="224"/>
      <c r="Q109" s="473"/>
      <c r="R109" s="476">
        <f t="shared" si="5"/>
        <v>0</v>
      </c>
      <c r="T109" s="212"/>
      <c r="U109" s="120"/>
    </row>
    <row r="110" spans="2:21" ht="15" customHeight="1" x14ac:dyDescent="0.2">
      <c r="B110" s="224"/>
      <c r="C110" s="473"/>
      <c r="D110" s="476">
        <f t="shared" si="3"/>
        <v>0</v>
      </c>
      <c r="F110" s="212"/>
      <c r="G110" s="120"/>
      <c r="H110" s="213"/>
      <c r="I110" s="224"/>
      <c r="J110" s="473"/>
      <c r="K110" s="476">
        <f t="shared" si="4"/>
        <v>0</v>
      </c>
      <c r="M110" s="212"/>
      <c r="N110" s="120"/>
      <c r="P110" s="224"/>
      <c r="Q110" s="473"/>
      <c r="R110" s="476">
        <f t="shared" si="5"/>
        <v>0</v>
      </c>
      <c r="T110" s="212"/>
      <c r="U110" s="120"/>
    </row>
    <row r="111" spans="2:21" ht="15" customHeight="1" x14ac:dyDescent="0.2">
      <c r="B111" s="224"/>
      <c r="C111" s="473"/>
      <c r="D111" s="476">
        <f t="shared" si="3"/>
        <v>0</v>
      </c>
      <c r="F111" s="212"/>
      <c r="G111" s="120"/>
      <c r="H111" s="213"/>
      <c r="I111" s="224"/>
      <c r="J111" s="473"/>
      <c r="K111" s="476">
        <f t="shared" si="4"/>
        <v>0</v>
      </c>
      <c r="M111" s="212"/>
      <c r="N111" s="120"/>
      <c r="P111" s="224"/>
      <c r="Q111" s="473"/>
      <c r="R111" s="476">
        <f t="shared" si="5"/>
        <v>0</v>
      </c>
      <c r="T111" s="212"/>
      <c r="U111" s="120"/>
    </row>
    <row r="112" spans="2:21" ht="15" customHeight="1" x14ac:dyDescent="0.2">
      <c r="B112" s="224"/>
      <c r="C112" s="473"/>
      <c r="D112" s="476">
        <f t="shared" si="3"/>
        <v>0</v>
      </c>
      <c r="F112" s="212"/>
      <c r="G112" s="120"/>
      <c r="H112" s="213"/>
      <c r="I112" s="224"/>
      <c r="J112" s="473"/>
      <c r="K112" s="476">
        <f t="shared" si="4"/>
        <v>0</v>
      </c>
      <c r="M112" s="212"/>
      <c r="N112" s="120"/>
      <c r="P112" s="224"/>
      <c r="Q112" s="473"/>
      <c r="R112" s="476">
        <f t="shared" si="5"/>
        <v>0</v>
      </c>
      <c r="T112" s="212"/>
      <c r="U112" s="120"/>
    </row>
    <row r="113" spans="2:21" ht="15" customHeight="1" x14ac:dyDescent="0.2">
      <c r="B113" s="224"/>
      <c r="C113" s="473"/>
      <c r="D113" s="476">
        <f t="shared" si="3"/>
        <v>0</v>
      </c>
      <c r="F113" s="212"/>
      <c r="G113" s="120"/>
      <c r="H113" s="213"/>
      <c r="I113" s="224"/>
      <c r="J113" s="473"/>
      <c r="K113" s="476">
        <f t="shared" si="4"/>
        <v>0</v>
      </c>
      <c r="M113" s="212"/>
      <c r="N113" s="120"/>
      <c r="P113" s="224"/>
      <c r="Q113" s="473"/>
      <c r="R113" s="476">
        <f t="shared" si="5"/>
        <v>0</v>
      </c>
      <c r="T113" s="212"/>
      <c r="U113" s="120"/>
    </row>
    <row r="114" spans="2:21" ht="15" customHeight="1" x14ac:dyDescent="0.2">
      <c r="B114" s="224"/>
      <c r="C114" s="473"/>
      <c r="D114" s="476">
        <f t="shared" si="3"/>
        <v>0</v>
      </c>
      <c r="F114" s="212"/>
      <c r="G114" s="120"/>
      <c r="H114" s="213"/>
      <c r="I114" s="224"/>
      <c r="J114" s="473"/>
      <c r="K114" s="476">
        <f t="shared" si="4"/>
        <v>0</v>
      </c>
      <c r="M114" s="212"/>
      <c r="N114" s="120"/>
      <c r="P114" s="224"/>
      <c r="Q114" s="473"/>
      <c r="R114" s="476">
        <f t="shared" si="5"/>
        <v>0</v>
      </c>
      <c r="T114" s="212"/>
      <c r="U114" s="120"/>
    </row>
    <row r="115" spans="2:21" ht="15" customHeight="1" x14ac:dyDescent="0.2">
      <c r="B115" s="224"/>
      <c r="C115" s="473"/>
      <c r="D115" s="476">
        <f t="shared" si="3"/>
        <v>0</v>
      </c>
      <c r="F115" s="212"/>
      <c r="G115" s="120"/>
      <c r="H115" s="213"/>
      <c r="I115" s="224"/>
      <c r="J115" s="473"/>
      <c r="K115" s="476">
        <f t="shared" si="4"/>
        <v>0</v>
      </c>
      <c r="M115" s="212"/>
      <c r="N115" s="120"/>
      <c r="P115" s="224"/>
      <c r="Q115" s="473"/>
      <c r="R115" s="476">
        <f t="shared" si="5"/>
        <v>0</v>
      </c>
      <c r="T115" s="212"/>
      <c r="U115" s="120"/>
    </row>
    <row r="116" spans="2:21" ht="15" customHeight="1" x14ac:dyDescent="0.2">
      <c r="B116" s="224"/>
      <c r="C116" s="473"/>
      <c r="D116" s="476">
        <f t="shared" si="3"/>
        <v>0</v>
      </c>
      <c r="F116" s="212"/>
      <c r="G116" s="120"/>
      <c r="H116" s="213"/>
      <c r="I116" s="224"/>
      <c r="J116" s="473"/>
      <c r="K116" s="476">
        <f t="shared" si="4"/>
        <v>0</v>
      </c>
      <c r="M116" s="212"/>
      <c r="N116" s="120"/>
      <c r="P116" s="224"/>
      <c r="Q116" s="473"/>
      <c r="R116" s="476">
        <f t="shared" si="5"/>
        <v>0</v>
      </c>
      <c r="T116" s="212"/>
      <c r="U116" s="120"/>
    </row>
    <row r="117" spans="2:21" ht="15" customHeight="1" x14ac:dyDescent="0.2">
      <c r="B117" s="224"/>
      <c r="C117" s="473"/>
      <c r="D117" s="476">
        <f t="shared" si="3"/>
        <v>0</v>
      </c>
      <c r="F117" s="212"/>
      <c r="G117" s="120"/>
      <c r="H117" s="213"/>
      <c r="I117" s="224"/>
      <c r="J117" s="473"/>
      <c r="K117" s="476">
        <f t="shared" si="4"/>
        <v>0</v>
      </c>
      <c r="M117" s="212"/>
      <c r="N117" s="120"/>
      <c r="P117" s="224"/>
      <c r="Q117" s="473"/>
      <c r="R117" s="476">
        <f t="shared" si="5"/>
        <v>0</v>
      </c>
      <c r="T117" s="212"/>
      <c r="U117" s="120"/>
    </row>
    <row r="118" spans="2:21" ht="15" customHeight="1" x14ac:dyDescent="0.2">
      <c r="B118" s="224"/>
      <c r="C118" s="473"/>
      <c r="D118" s="476">
        <f t="shared" si="3"/>
        <v>0</v>
      </c>
      <c r="F118" s="212"/>
      <c r="G118" s="120"/>
      <c r="H118" s="213"/>
      <c r="I118" s="224"/>
      <c r="J118" s="473"/>
      <c r="K118" s="476">
        <f t="shared" si="4"/>
        <v>0</v>
      </c>
      <c r="M118" s="212"/>
      <c r="N118" s="120"/>
      <c r="P118" s="224"/>
      <c r="Q118" s="473"/>
      <c r="R118" s="476">
        <f t="shared" si="5"/>
        <v>0</v>
      </c>
      <c r="T118" s="212"/>
      <c r="U118" s="120"/>
    </row>
    <row r="119" spans="2:21" ht="15" customHeight="1" x14ac:dyDescent="0.2">
      <c r="B119" s="224"/>
      <c r="C119" s="473"/>
      <c r="D119" s="476">
        <f t="shared" si="3"/>
        <v>0</v>
      </c>
      <c r="F119" s="212"/>
      <c r="G119" s="120"/>
      <c r="H119" s="213"/>
      <c r="I119" s="224"/>
      <c r="J119" s="473"/>
      <c r="K119" s="476">
        <f t="shared" si="4"/>
        <v>0</v>
      </c>
      <c r="M119" s="212"/>
      <c r="N119" s="120"/>
      <c r="P119" s="224"/>
      <c r="Q119" s="473"/>
      <c r="R119" s="476">
        <f t="shared" si="5"/>
        <v>0</v>
      </c>
      <c r="T119" s="212"/>
      <c r="U119" s="120"/>
    </row>
    <row r="120" spans="2:21" ht="15" customHeight="1" x14ac:dyDescent="0.2">
      <c r="B120" s="224"/>
      <c r="C120" s="473"/>
      <c r="D120" s="476">
        <f t="shared" si="3"/>
        <v>0</v>
      </c>
      <c r="F120" s="212"/>
      <c r="G120" s="120"/>
      <c r="H120" s="213"/>
      <c r="I120" s="224"/>
      <c r="J120" s="473"/>
      <c r="K120" s="476">
        <f t="shared" si="4"/>
        <v>0</v>
      </c>
      <c r="M120" s="212"/>
      <c r="N120" s="120"/>
      <c r="P120" s="224"/>
      <c r="Q120" s="473"/>
      <c r="R120" s="476">
        <f t="shared" si="5"/>
        <v>0</v>
      </c>
      <c r="T120" s="212"/>
      <c r="U120" s="120"/>
    </row>
    <row r="121" spans="2:21" ht="15" customHeight="1" x14ac:dyDescent="0.2">
      <c r="B121" s="224"/>
      <c r="C121" s="473"/>
      <c r="D121" s="476">
        <f t="shared" si="3"/>
        <v>0</v>
      </c>
      <c r="F121" s="212"/>
      <c r="G121" s="120"/>
      <c r="H121" s="213"/>
      <c r="I121" s="224"/>
      <c r="J121" s="473"/>
      <c r="K121" s="476">
        <f t="shared" si="4"/>
        <v>0</v>
      </c>
      <c r="M121" s="212"/>
      <c r="N121" s="120"/>
      <c r="P121" s="224"/>
      <c r="Q121" s="473"/>
      <c r="R121" s="476">
        <f t="shared" si="5"/>
        <v>0</v>
      </c>
      <c r="T121" s="212"/>
      <c r="U121" s="120"/>
    </row>
    <row r="122" spans="2:21" ht="15" customHeight="1" x14ac:dyDescent="0.2">
      <c r="B122" s="224"/>
      <c r="C122" s="473"/>
      <c r="D122" s="476">
        <f t="shared" si="3"/>
        <v>0</v>
      </c>
      <c r="F122" s="212"/>
      <c r="G122" s="120"/>
      <c r="H122" s="213"/>
      <c r="I122" s="224"/>
      <c r="J122" s="473"/>
      <c r="K122" s="476">
        <f t="shared" si="4"/>
        <v>0</v>
      </c>
      <c r="M122" s="212"/>
      <c r="N122" s="120"/>
      <c r="P122" s="224"/>
      <c r="Q122" s="473"/>
      <c r="R122" s="476">
        <f t="shared" si="5"/>
        <v>0</v>
      </c>
      <c r="T122" s="212"/>
      <c r="U122" s="120"/>
    </row>
    <row r="123" spans="2:21" ht="15" customHeight="1" x14ac:dyDescent="0.2">
      <c r="B123" s="224"/>
      <c r="C123" s="473"/>
      <c r="D123" s="476">
        <f t="shared" si="3"/>
        <v>0</v>
      </c>
      <c r="F123" s="212"/>
      <c r="G123" s="120"/>
      <c r="H123" s="213"/>
      <c r="I123" s="224"/>
      <c r="J123" s="473"/>
      <c r="K123" s="476">
        <f t="shared" si="4"/>
        <v>0</v>
      </c>
      <c r="M123" s="212"/>
      <c r="N123" s="120"/>
      <c r="P123" s="224"/>
      <c r="Q123" s="473"/>
      <c r="R123" s="476">
        <f t="shared" si="5"/>
        <v>0</v>
      </c>
      <c r="T123" s="212"/>
      <c r="U123" s="120"/>
    </row>
    <row r="124" spans="2:21" ht="15" customHeight="1" x14ac:dyDescent="0.2">
      <c r="B124" s="224"/>
      <c r="C124" s="473"/>
      <c r="D124" s="476">
        <f t="shared" si="3"/>
        <v>0</v>
      </c>
      <c r="F124" s="212"/>
      <c r="G124" s="120"/>
      <c r="H124" s="213"/>
      <c r="I124" s="224"/>
      <c r="J124" s="473"/>
      <c r="K124" s="476">
        <f t="shared" si="4"/>
        <v>0</v>
      </c>
      <c r="M124" s="212"/>
      <c r="N124" s="120"/>
      <c r="P124" s="224"/>
      <c r="Q124" s="473"/>
      <c r="R124" s="476">
        <f t="shared" si="5"/>
        <v>0</v>
      </c>
      <c r="T124" s="212"/>
      <c r="U124" s="120"/>
    </row>
    <row r="125" spans="2:21" ht="15" customHeight="1" x14ac:dyDescent="0.2">
      <c r="B125" s="224"/>
      <c r="C125" s="473"/>
      <c r="D125" s="476">
        <f t="shared" si="3"/>
        <v>0</v>
      </c>
      <c r="F125" s="121"/>
      <c r="G125" s="121"/>
      <c r="H125" s="213"/>
      <c r="I125" s="224"/>
      <c r="J125" s="473"/>
      <c r="K125" s="476">
        <f t="shared" si="4"/>
        <v>0</v>
      </c>
      <c r="M125" s="121"/>
      <c r="N125" s="121"/>
      <c r="P125" s="224"/>
      <c r="Q125" s="473"/>
      <c r="R125" s="476">
        <f t="shared" si="5"/>
        <v>0</v>
      </c>
      <c r="T125" s="121"/>
      <c r="U125" s="121"/>
    </row>
    <row r="126" spans="2:21" ht="15" customHeight="1" x14ac:dyDescent="0.2">
      <c r="B126" s="224"/>
      <c r="C126" s="473"/>
      <c r="D126" s="476">
        <f t="shared" si="3"/>
        <v>0</v>
      </c>
      <c r="F126" s="121"/>
      <c r="G126" s="121"/>
      <c r="H126" s="213"/>
      <c r="I126" s="224"/>
      <c r="J126" s="473"/>
      <c r="K126" s="476">
        <f t="shared" si="4"/>
        <v>0</v>
      </c>
      <c r="M126" s="121"/>
      <c r="N126" s="121"/>
      <c r="P126" s="224"/>
      <c r="Q126" s="473"/>
      <c r="R126" s="476">
        <f t="shared" si="5"/>
        <v>0</v>
      </c>
      <c r="T126" s="121"/>
      <c r="U126" s="121"/>
    </row>
    <row r="127" spans="2:21" ht="15" customHeight="1" x14ac:dyDescent="0.2">
      <c r="B127" s="224"/>
      <c r="C127" s="473"/>
      <c r="D127" s="476">
        <f t="shared" si="3"/>
        <v>0</v>
      </c>
      <c r="F127" s="121"/>
      <c r="G127" s="121"/>
      <c r="H127" s="213"/>
      <c r="I127" s="224"/>
      <c r="J127" s="473"/>
      <c r="K127" s="476">
        <f t="shared" si="4"/>
        <v>0</v>
      </c>
      <c r="M127" s="121"/>
      <c r="N127" s="121"/>
      <c r="P127" s="224"/>
      <c r="Q127" s="473"/>
      <c r="R127" s="476">
        <f t="shared" si="5"/>
        <v>0</v>
      </c>
      <c r="T127" s="121"/>
      <c r="U127" s="121"/>
    </row>
    <row r="128" spans="2:21" ht="15" customHeight="1" x14ac:dyDescent="0.2">
      <c r="B128" s="224"/>
      <c r="C128" s="473"/>
      <c r="D128" s="476">
        <f t="shared" si="3"/>
        <v>0</v>
      </c>
      <c r="F128" s="121"/>
      <c r="G128" s="121"/>
      <c r="H128" s="213"/>
      <c r="I128" s="224"/>
      <c r="J128" s="473"/>
      <c r="K128" s="476">
        <f t="shared" si="4"/>
        <v>0</v>
      </c>
      <c r="M128" s="121"/>
      <c r="N128" s="121"/>
      <c r="P128" s="224"/>
      <c r="Q128" s="473"/>
      <c r="R128" s="476">
        <f t="shared" si="5"/>
        <v>0</v>
      </c>
      <c r="T128" s="121"/>
      <c r="U128" s="121"/>
    </row>
    <row r="129" spans="2:21" ht="15" customHeight="1" x14ac:dyDescent="0.2">
      <c r="B129" s="224"/>
      <c r="C129" s="473"/>
      <c r="D129" s="476">
        <f t="shared" si="3"/>
        <v>0</v>
      </c>
      <c r="F129" s="121"/>
      <c r="G129" s="121"/>
      <c r="H129" s="213"/>
      <c r="I129" s="224"/>
      <c r="J129" s="473"/>
      <c r="K129" s="476">
        <f t="shared" si="4"/>
        <v>0</v>
      </c>
      <c r="M129" s="121"/>
      <c r="N129" s="121"/>
      <c r="P129" s="224"/>
      <c r="Q129" s="473"/>
      <c r="R129" s="476">
        <f t="shared" si="5"/>
        <v>0</v>
      </c>
      <c r="T129" s="121"/>
      <c r="U129" s="121"/>
    </row>
    <row r="130" spans="2:21" ht="15" customHeight="1" x14ac:dyDescent="0.2">
      <c r="B130" s="224"/>
      <c r="C130" s="473"/>
      <c r="D130" s="476">
        <f t="shared" si="3"/>
        <v>0</v>
      </c>
      <c r="F130" s="121"/>
      <c r="G130" s="121"/>
      <c r="H130" s="213"/>
      <c r="I130" s="224"/>
      <c r="J130" s="473"/>
      <c r="K130" s="476">
        <f t="shared" si="4"/>
        <v>0</v>
      </c>
      <c r="M130" s="121"/>
      <c r="N130" s="121"/>
      <c r="P130" s="224"/>
      <c r="Q130" s="473"/>
      <c r="R130" s="476">
        <f t="shared" si="5"/>
        <v>0</v>
      </c>
      <c r="T130" s="121"/>
      <c r="U130" s="121"/>
    </row>
    <row r="131" spans="2:21" ht="15" customHeight="1" x14ac:dyDescent="0.2">
      <c r="B131" s="224"/>
      <c r="C131" s="473"/>
      <c r="D131" s="476">
        <f t="shared" si="3"/>
        <v>0</v>
      </c>
      <c r="F131" s="121"/>
      <c r="G131" s="121"/>
      <c r="H131" s="213"/>
      <c r="I131" s="224"/>
      <c r="J131" s="473"/>
      <c r="K131" s="476">
        <f t="shared" si="4"/>
        <v>0</v>
      </c>
      <c r="M131" s="121"/>
      <c r="N131" s="121"/>
      <c r="P131" s="224"/>
      <c r="Q131" s="473"/>
      <c r="R131" s="476">
        <f t="shared" si="5"/>
        <v>0</v>
      </c>
      <c r="T131" s="121"/>
      <c r="U131" s="121"/>
    </row>
    <row r="132" spans="2:21" ht="15" customHeight="1" x14ac:dyDescent="0.2">
      <c r="B132" s="224"/>
      <c r="C132" s="473"/>
      <c r="D132" s="476">
        <f t="shared" si="3"/>
        <v>0</v>
      </c>
      <c r="F132" s="121"/>
      <c r="G132" s="121"/>
      <c r="H132" s="213"/>
      <c r="I132" s="224"/>
      <c r="J132" s="473"/>
      <c r="K132" s="476">
        <f t="shared" si="4"/>
        <v>0</v>
      </c>
      <c r="M132" s="121"/>
      <c r="N132" s="121"/>
      <c r="P132" s="224"/>
      <c r="Q132" s="473"/>
      <c r="R132" s="476">
        <f t="shared" si="5"/>
        <v>0</v>
      </c>
      <c r="T132" s="121"/>
      <c r="U132" s="121"/>
    </row>
    <row r="133" spans="2:21" ht="15" customHeight="1" x14ac:dyDescent="0.2">
      <c r="B133" s="224"/>
      <c r="C133" s="473"/>
      <c r="D133" s="476">
        <f t="shared" si="3"/>
        <v>0</v>
      </c>
      <c r="F133" s="121"/>
      <c r="G133" s="121"/>
      <c r="H133" s="213"/>
      <c r="I133" s="224"/>
      <c r="J133" s="473"/>
      <c r="K133" s="476">
        <f t="shared" si="4"/>
        <v>0</v>
      </c>
      <c r="M133" s="121"/>
      <c r="N133" s="121"/>
      <c r="P133" s="224"/>
      <c r="Q133" s="473"/>
      <c r="R133" s="476">
        <f t="shared" si="5"/>
        <v>0</v>
      </c>
      <c r="T133" s="121"/>
      <c r="U133" s="121"/>
    </row>
    <row r="134" spans="2:21" ht="15" customHeight="1" x14ac:dyDescent="0.2">
      <c r="B134" s="224"/>
      <c r="C134" s="473"/>
      <c r="D134" s="476">
        <f t="shared" si="3"/>
        <v>0</v>
      </c>
      <c r="F134" s="121"/>
      <c r="G134" s="121"/>
      <c r="H134" s="213"/>
      <c r="I134" s="224"/>
      <c r="J134" s="473"/>
      <c r="K134" s="476">
        <f t="shared" si="4"/>
        <v>0</v>
      </c>
      <c r="M134" s="121"/>
      <c r="N134" s="121"/>
      <c r="P134" s="224"/>
      <c r="Q134" s="473"/>
      <c r="R134" s="476">
        <f t="shared" si="5"/>
        <v>0</v>
      </c>
      <c r="T134" s="121"/>
      <c r="U134" s="121"/>
    </row>
    <row r="135" spans="2:21" ht="15" customHeight="1" x14ac:dyDescent="0.2">
      <c r="B135" s="224"/>
      <c r="C135" s="473"/>
      <c r="D135" s="476">
        <f t="shared" si="3"/>
        <v>0</v>
      </c>
      <c r="F135" s="121"/>
      <c r="G135" s="121"/>
      <c r="H135" s="213"/>
      <c r="I135" s="224"/>
      <c r="J135" s="473"/>
      <c r="K135" s="476">
        <f t="shared" si="4"/>
        <v>0</v>
      </c>
      <c r="M135" s="121"/>
      <c r="N135" s="121"/>
      <c r="P135" s="224"/>
      <c r="Q135" s="473"/>
      <c r="R135" s="476">
        <f t="shared" si="5"/>
        <v>0</v>
      </c>
      <c r="T135" s="121"/>
      <c r="U135" s="121"/>
    </row>
    <row r="136" spans="2:21" ht="15" customHeight="1" x14ac:dyDescent="0.2">
      <c r="B136" s="224"/>
      <c r="C136" s="473"/>
      <c r="D136" s="476">
        <f t="shared" si="3"/>
        <v>0</v>
      </c>
      <c r="F136" s="121"/>
      <c r="G136" s="121"/>
      <c r="H136" s="213"/>
      <c r="I136" s="224"/>
      <c r="J136" s="473"/>
      <c r="K136" s="476">
        <f t="shared" si="4"/>
        <v>0</v>
      </c>
      <c r="M136" s="121"/>
      <c r="N136" s="121"/>
      <c r="P136" s="224"/>
      <c r="Q136" s="473"/>
      <c r="R136" s="476">
        <f t="shared" si="5"/>
        <v>0</v>
      </c>
      <c r="T136" s="121"/>
      <c r="U136" s="121"/>
    </row>
    <row r="137" spans="2:21" ht="15" customHeight="1" x14ac:dyDescent="0.2">
      <c r="B137" s="224"/>
      <c r="C137" s="473"/>
      <c r="D137" s="476">
        <f t="shared" si="3"/>
        <v>0</v>
      </c>
      <c r="F137" s="121"/>
      <c r="G137" s="121"/>
      <c r="H137" s="213"/>
      <c r="I137" s="224"/>
      <c r="J137" s="473"/>
      <c r="K137" s="476">
        <f t="shared" si="4"/>
        <v>0</v>
      </c>
      <c r="M137" s="121"/>
      <c r="N137" s="121"/>
      <c r="P137" s="224"/>
      <c r="Q137" s="473"/>
      <c r="R137" s="476">
        <f t="shared" si="5"/>
        <v>0</v>
      </c>
      <c r="T137" s="121"/>
      <c r="U137" s="121"/>
    </row>
    <row r="138" spans="2:21" ht="15" customHeight="1" x14ac:dyDescent="0.2">
      <c r="B138" s="224"/>
      <c r="C138" s="473"/>
      <c r="D138" s="476">
        <f t="shared" si="3"/>
        <v>0</v>
      </c>
      <c r="F138" s="121"/>
      <c r="G138" s="121"/>
      <c r="H138" s="213"/>
      <c r="I138" s="224"/>
      <c r="J138" s="473"/>
      <c r="K138" s="476">
        <f t="shared" si="4"/>
        <v>0</v>
      </c>
      <c r="M138" s="121"/>
      <c r="N138" s="121"/>
      <c r="P138" s="224"/>
      <c r="Q138" s="473"/>
      <c r="R138" s="476">
        <f t="shared" si="5"/>
        <v>0</v>
      </c>
      <c r="T138" s="121"/>
      <c r="U138" s="121"/>
    </row>
    <row r="139" spans="2:21" ht="15" customHeight="1" x14ac:dyDescent="0.2">
      <c r="B139" s="224"/>
      <c r="C139" s="473"/>
      <c r="D139" s="476">
        <f t="shared" si="3"/>
        <v>0</v>
      </c>
      <c r="F139" s="121"/>
      <c r="G139" s="121"/>
      <c r="H139" s="213"/>
      <c r="I139" s="224"/>
      <c r="J139" s="473"/>
      <c r="K139" s="476">
        <f t="shared" si="4"/>
        <v>0</v>
      </c>
      <c r="M139" s="121"/>
      <c r="N139" s="121"/>
      <c r="P139" s="224"/>
      <c r="Q139" s="473"/>
      <c r="R139" s="476">
        <f t="shared" si="5"/>
        <v>0</v>
      </c>
      <c r="T139" s="121"/>
      <c r="U139" s="121"/>
    </row>
    <row r="140" spans="2:21" ht="15" customHeight="1" x14ac:dyDescent="0.2">
      <c r="B140" s="224"/>
      <c r="C140" s="473"/>
      <c r="D140" s="476">
        <f t="shared" si="3"/>
        <v>0</v>
      </c>
      <c r="F140" s="121"/>
      <c r="G140" s="121"/>
      <c r="H140" s="213"/>
      <c r="I140" s="224"/>
      <c r="J140" s="473"/>
      <c r="K140" s="476">
        <f t="shared" si="4"/>
        <v>0</v>
      </c>
      <c r="M140" s="121"/>
      <c r="N140" s="121"/>
      <c r="P140" s="224"/>
      <c r="Q140" s="473"/>
      <c r="R140" s="476">
        <f t="shared" si="5"/>
        <v>0</v>
      </c>
      <c r="T140" s="121"/>
      <c r="U140" s="121"/>
    </row>
    <row r="141" spans="2:21" ht="15" customHeight="1" x14ac:dyDescent="0.2">
      <c r="B141" s="224"/>
      <c r="C141" s="473"/>
      <c r="D141" s="476">
        <f t="shared" si="3"/>
        <v>0</v>
      </c>
      <c r="F141" s="121"/>
      <c r="G141" s="121"/>
      <c r="H141" s="213"/>
      <c r="I141" s="224"/>
      <c r="J141" s="473"/>
      <c r="K141" s="476">
        <f t="shared" si="4"/>
        <v>0</v>
      </c>
      <c r="M141" s="121"/>
      <c r="N141" s="121"/>
      <c r="P141" s="224"/>
      <c r="Q141" s="473"/>
      <c r="R141" s="476">
        <f t="shared" si="5"/>
        <v>0</v>
      </c>
      <c r="T141" s="121"/>
      <c r="U141" s="121"/>
    </row>
    <row r="142" spans="2:21" ht="15" customHeight="1" x14ac:dyDescent="0.2">
      <c r="B142" s="224"/>
      <c r="C142" s="473"/>
      <c r="D142" s="476">
        <f t="shared" si="3"/>
        <v>0</v>
      </c>
      <c r="F142" s="121"/>
      <c r="G142" s="121"/>
      <c r="H142" s="213"/>
      <c r="I142" s="224"/>
      <c r="J142" s="473"/>
      <c r="K142" s="476">
        <f t="shared" si="4"/>
        <v>0</v>
      </c>
      <c r="M142" s="121"/>
      <c r="N142" s="121"/>
      <c r="P142" s="224"/>
      <c r="Q142" s="473"/>
      <c r="R142" s="476">
        <f t="shared" si="5"/>
        <v>0</v>
      </c>
      <c r="T142" s="121"/>
      <c r="U142" s="121"/>
    </row>
    <row r="143" spans="2:21" ht="15" customHeight="1" x14ac:dyDescent="0.2">
      <c r="B143" s="224"/>
      <c r="C143" s="473"/>
      <c r="D143" s="476">
        <f t="shared" si="3"/>
        <v>0</v>
      </c>
      <c r="F143" s="121"/>
      <c r="G143" s="121"/>
      <c r="H143" s="213"/>
      <c r="I143" s="224"/>
      <c r="J143" s="473"/>
      <c r="K143" s="476">
        <f t="shared" si="4"/>
        <v>0</v>
      </c>
      <c r="M143" s="121"/>
      <c r="N143" s="121"/>
      <c r="P143" s="224"/>
      <c r="Q143" s="473"/>
      <c r="R143" s="476">
        <f t="shared" si="5"/>
        <v>0</v>
      </c>
      <c r="T143" s="121"/>
      <c r="U143" s="121"/>
    </row>
    <row r="144" spans="2:21" ht="15" customHeight="1" x14ac:dyDescent="0.2">
      <c r="B144" s="224"/>
      <c r="C144" s="473"/>
      <c r="D144" s="476">
        <f t="shared" si="3"/>
        <v>0</v>
      </c>
      <c r="F144" s="121"/>
      <c r="G144" s="121"/>
      <c r="H144" s="213"/>
      <c r="I144" s="224"/>
      <c r="J144" s="473"/>
      <c r="K144" s="476">
        <f t="shared" si="4"/>
        <v>0</v>
      </c>
      <c r="M144" s="121"/>
      <c r="N144" s="121"/>
      <c r="P144" s="224"/>
      <c r="Q144" s="473"/>
      <c r="R144" s="476">
        <f t="shared" si="5"/>
        <v>0</v>
      </c>
      <c r="T144" s="121"/>
      <c r="U144" s="121"/>
    </row>
    <row r="145" spans="2:21" ht="15" customHeight="1" x14ac:dyDescent="0.2">
      <c r="B145" s="224"/>
      <c r="C145" s="473"/>
      <c r="D145" s="476">
        <f t="shared" si="3"/>
        <v>0</v>
      </c>
      <c r="F145" s="121"/>
      <c r="G145" s="121"/>
      <c r="H145" s="213"/>
      <c r="I145" s="224"/>
      <c r="J145" s="473"/>
      <c r="K145" s="476">
        <f t="shared" si="4"/>
        <v>0</v>
      </c>
      <c r="M145" s="121"/>
      <c r="N145" s="121"/>
      <c r="P145" s="224"/>
      <c r="Q145" s="473"/>
      <c r="R145" s="476">
        <f t="shared" si="5"/>
        <v>0</v>
      </c>
      <c r="T145" s="121"/>
      <c r="U145" s="121"/>
    </row>
    <row r="146" spans="2:21" ht="15" customHeight="1" x14ac:dyDescent="0.2">
      <c r="B146" s="224"/>
      <c r="C146" s="473"/>
      <c r="D146" s="476">
        <f t="shared" ref="D146:D209" si="6">C146/1000</f>
        <v>0</v>
      </c>
      <c r="F146" s="121"/>
      <c r="G146" s="121"/>
      <c r="H146" s="213"/>
      <c r="I146" s="224"/>
      <c r="J146" s="473"/>
      <c r="K146" s="476">
        <f t="shared" ref="K146:K209" si="7">J146/1000</f>
        <v>0</v>
      </c>
      <c r="M146" s="121"/>
      <c r="N146" s="121"/>
      <c r="P146" s="224"/>
      <c r="Q146" s="473"/>
      <c r="R146" s="476">
        <f t="shared" ref="R146:R209" si="8">Q146/1000</f>
        <v>0</v>
      </c>
      <c r="T146" s="121"/>
      <c r="U146" s="121"/>
    </row>
    <row r="147" spans="2:21" ht="15" customHeight="1" x14ac:dyDescent="0.2">
      <c r="B147" s="224"/>
      <c r="C147" s="473"/>
      <c r="D147" s="476">
        <f t="shared" si="6"/>
        <v>0</v>
      </c>
      <c r="F147" s="121"/>
      <c r="G147" s="121"/>
      <c r="H147" s="213"/>
      <c r="I147" s="224"/>
      <c r="J147" s="473"/>
      <c r="K147" s="476">
        <f t="shared" si="7"/>
        <v>0</v>
      </c>
      <c r="M147" s="121"/>
      <c r="N147" s="121"/>
      <c r="P147" s="224"/>
      <c r="Q147" s="473"/>
      <c r="R147" s="476">
        <f t="shared" si="8"/>
        <v>0</v>
      </c>
      <c r="T147" s="121"/>
      <c r="U147" s="121"/>
    </row>
    <row r="148" spans="2:21" ht="15" customHeight="1" x14ac:dyDescent="0.2">
      <c r="B148" s="224"/>
      <c r="C148" s="473"/>
      <c r="D148" s="476">
        <f t="shared" si="6"/>
        <v>0</v>
      </c>
      <c r="F148" s="121"/>
      <c r="G148" s="121"/>
      <c r="H148" s="213"/>
      <c r="I148" s="224"/>
      <c r="J148" s="473"/>
      <c r="K148" s="476">
        <f t="shared" si="7"/>
        <v>0</v>
      </c>
      <c r="M148" s="121"/>
      <c r="N148" s="121"/>
      <c r="P148" s="224"/>
      <c r="Q148" s="473"/>
      <c r="R148" s="476">
        <f t="shared" si="8"/>
        <v>0</v>
      </c>
      <c r="T148" s="121"/>
      <c r="U148" s="121"/>
    </row>
    <row r="149" spans="2:21" ht="15" customHeight="1" x14ac:dyDescent="0.2">
      <c r="B149" s="224"/>
      <c r="C149" s="473"/>
      <c r="D149" s="476">
        <f t="shared" si="6"/>
        <v>0</v>
      </c>
      <c r="F149" s="121"/>
      <c r="G149" s="121"/>
      <c r="H149" s="213"/>
      <c r="I149" s="224"/>
      <c r="J149" s="473"/>
      <c r="K149" s="476">
        <f t="shared" si="7"/>
        <v>0</v>
      </c>
      <c r="M149" s="121"/>
      <c r="N149" s="121"/>
      <c r="P149" s="224"/>
      <c r="Q149" s="473"/>
      <c r="R149" s="476">
        <f t="shared" si="8"/>
        <v>0</v>
      </c>
      <c r="T149" s="121"/>
      <c r="U149" s="121"/>
    </row>
    <row r="150" spans="2:21" ht="15" customHeight="1" x14ac:dyDescent="0.2">
      <c r="B150" s="224"/>
      <c r="C150" s="473"/>
      <c r="D150" s="476">
        <f t="shared" si="6"/>
        <v>0</v>
      </c>
      <c r="F150" s="121"/>
      <c r="G150" s="121"/>
      <c r="H150" s="213"/>
      <c r="I150" s="224"/>
      <c r="J150" s="473"/>
      <c r="K150" s="476">
        <f t="shared" si="7"/>
        <v>0</v>
      </c>
      <c r="M150" s="121"/>
      <c r="N150" s="121"/>
      <c r="P150" s="224"/>
      <c r="Q150" s="473"/>
      <c r="R150" s="476">
        <f t="shared" si="8"/>
        <v>0</v>
      </c>
      <c r="T150" s="121"/>
      <c r="U150" s="121"/>
    </row>
    <row r="151" spans="2:21" ht="15" customHeight="1" x14ac:dyDescent="0.2">
      <c r="B151" s="224"/>
      <c r="C151" s="473"/>
      <c r="D151" s="476">
        <f t="shared" si="6"/>
        <v>0</v>
      </c>
      <c r="F151" s="121"/>
      <c r="G151" s="121"/>
      <c r="H151" s="213"/>
      <c r="I151" s="224"/>
      <c r="J151" s="473"/>
      <c r="K151" s="476">
        <f t="shared" si="7"/>
        <v>0</v>
      </c>
      <c r="M151" s="121"/>
      <c r="N151" s="121"/>
      <c r="P151" s="224"/>
      <c r="Q151" s="473"/>
      <c r="R151" s="476">
        <f t="shared" si="8"/>
        <v>0</v>
      </c>
      <c r="T151" s="121"/>
      <c r="U151" s="121"/>
    </row>
    <row r="152" spans="2:21" ht="15" customHeight="1" x14ac:dyDescent="0.2">
      <c r="B152" s="224"/>
      <c r="C152" s="473"/>
      <c r="D152" s="476">
        <f t="shared" si="6"/>
        <v>0</v>
      </c>
      <c r="F152" s="121"/>
      <c r="G152" s="121"/>
      <c r="H152" s="213"/>
      <c r="I152" s="224"/>
      <c r="J152" s="473"/>
      <c r="K152" s="476">
        <f t="shared" si="7"/>
        <v>0</v>
      </c>
      <c r="M152" s="121"/>
      <c r="N152" s="121"/>
      <c r="P152" s="224"/>
      <c r="Q152" s="473"/>
      <c r="R152" s="476">
        <f t="shared" si="8"/>
        <v>0</v>
      </c>
      <c r="T152" s="121"/>
      <c r="U152" s="121"/>
    </row>
    <row r="153" spans="2:21" ht="15" customHeight="1" x14ac:dyDescent="0.2">
      <c r="B153" s="224"/>
      <c r="C153" s="473"/>
      <c r="D153" s="476">
        <f t="shared" si="6"/>
        <v>0</v>
      </c>
      <c r="F153" s="121"/>
      <c r="G153" s="121"/>
      <c r="H153" s="213"/>
      <c r="I153" s="224"/>
      <c r="J153" s="473"/>
      <c r="K153" s="476">
        <f t="shared" si="7"/>
        <v>0</v>
      </c>
      <c r="M153" s="121"/>
      <c r="N153" s="121"/>
      <c r="P153" s="224"/>
      <c r="Q153" s="473"/>
      <c r="R153" s="476">
        <f t="shared" si="8"/>
        <v>0</v>
      </c>
      <c r="T153" s="121"/>
      <c r="U153" s="121"/>
    </row>
    <row r="154" spans="2:21" ht="15" customHeight="1" x14ac:dyDescent="0.2">
      <c r="B154" s="224"/>
      <c r="C154" s="473"/>
      <c r="D154" s="476">
        <f t="shared" si="6"/>
        <v>0</v>
      </c>
      <c r="F154" s="121"/>
      <c r="G154" s="121"/>
      <c r="H154" s="213"/>
      <c r="I154" s="224"/>
      <c r="J154" s="473"/>
      <c r="K154" s="476">
        <f t="shared" si="7"/>
        <v>0</v>
      </c>
      <c r="M154" s="121"/>
      <c r="N154" s="121"/>
      <c r="P154" s="224"/>
      <c r="Q154" s="473"/>
      <c r="R154" s="476">
        <f t="shared" si="8"/>
        <v>0</v>
      </c>
      <c r="T154" s="121"/>
      <c r="U154" s="121"/>
    </row>
    <row r="155" spans="2:21" ht="15" customHeight="1" x14ac:dyDescent="0.2">
      <c r="B155" s="224"/>
      <c r="C155" s="473"/>
      <c r="D155" s="476">
        <f t="shared" si="6"/>
        <v>0</v>
      </c>
      <c r="F155" s="121"/>
      <c r="G155" s="121"/>
      <c r="H155" s="213"/>
      <c r="I155" s="224"/>
      <c r="J155" s="473"/>
      <c r="K155" s="476">
        <f t="shared" si="7"/>
        <v>0</v>
      </c>
      <c r="M155" s="121"/>
      <c r="N155" s="121"/>
      <c r="P155" s="224"/>
      <c r="Q155" s="473"/>
      <c r="R155" s="476">
        <f t="shared" si="8"/>
        <v>0</v>
      </c>
      <c r="T155" s="121"/>
      <c r="U155" s="121"/>
    </row>
    <row r="156" spans="2:21" ht="15" customHeight="1" x14ac:dyDescent="0.2">
      <c r="B156" s="224"/>
      <c r="C156" s="473"/>
      <c r="D156" s="476">
        <f t="shared" si="6"/>
        <v>0</v>
      </c>
      <c r="F156" s="121"/>
      <c r="G156" s="121"/>
      <c r="H156" s="213"/>
      <c r="I156" s="224"/>
      <c r="J156" s="473"/>
      <c r="K156" s="476">
        <f t="shared" si="7"/>
        <v>0</v>
      </c>
      <c r="M156" s="121"/>
      <c r="N156" s="121"/>
      <c r="P156" s="224"/>
      <c r="Q156" s="473"/>
      <c r="R156" s="476">
        <f t="shared" si="8"/>
        <v>0</v>
      </c>
      <c r="T156" s="121"/>
      <c r="U156" s="121"/>
    </row>
    <row r="157" spans="2:21" ht="15" customHeight="1" x14ac:dyDescent="0.2">
      <c r="B157" s="224"/>
      <c r="C157" s="473"/>
      <c r="D157" s="476">
        <f t="shared" si="6"/>
        <v>0</v>
      </c>
      <c r="F157" s="121"/>
      <c r="G157" s="121"/>
      <c r="H157" s="213"/>
      <c r="I157" s="224"/>
      <c r="J157" s="473"/>
      <c r="K157" s="476">
        <f t="shared" si="7"/>
        <v>0</v>
      </c>
      <c r="M157" s="121"/>
      <c r="N157" s="121"/>
      <c r="P157" s="224"/>
      <c r="Q157" s="473"/>
      <c r="R157" s="476">
        <f t="shared" si="8"/>
        <v>0</v>
      </c>
      <c r="T157" s="121"/>
      <c r="U157" s="121"/>
    </row>
    <row r="158" spans="2:21" ht="15" customHeight="1" x14ac:dyDescent="0.2">
      <c r="B158" s="224"/>
      <c r="C158" s="473"/>
      <c r="D158" s="476">
        <f t="shared" si="6"/>
        <v>0</v>
      </c>
      <c r="F158" s="121"/>
      <c r="G158" s="121"/>
      <c r="H158" s="213"/>
      <c r="I158" s="224"/>
      <c r="J158" s="473"/>
      <c r="K158" s="476">
        <f t="shared" si="7"/>
        <v>0</v>
      </c>
      <c r="M158" s="121"/>
      <c r="N158" s="121"/>
      <c r="P158" s="224"/>
      <c r="Q158" s="473"/>
      <c r="R158" s="476">
        <f t="shared" si="8"/>
        <v>0</v>
      </c>
      <c r="T158" s="121"/>
      <c r="U158" s="121"/>
    </row>
    <row r="159" spans="2:21" ht="15" customHeight="1" x14ac:dyDescent="0.2">
      <c r="B159" s="224"/>
      <c r="C159" s="473"/>
      <c r="D159" s="476">
        <f t="shared" si="6"/>
        <v>0</v>
      </c>
      <c r="F159" s="121"/>
      <c r="G159" s="121"/>
      <c r="H159" s="213"/>
      <c r="I159" s="224"/>
      <c r="J159" s="473"/>
      <c r="K159" s="476">
        <f t="shared" si="7"/>
        <v>0</v>
      </c>
      <c r="M159" s="121"/>
      <c r="N159" s="121"/>
      <c r="P159" s="224"/>
      <c r="Q159" s="473"/>
      <c r="R159" s="476">
        <f t="shared" si="8"/>
        <v>0</v>
      </c>
      <c r="T159" s="121"/>
      <c r="U159" s="121"/>
    </row>
    <row r="160" spans="2:21" ht="15" customHeight="1" x14ac:dyDescent="0.2">
      <c r="B160" s="224"/>
      <c r="C160" s="473"/>
      <c r="D160" s="476">
        <f t="shared" si="6"/>
        <v>0</v>
      </c>
      <c r="F160" s="121"/>
      <c r="G160" s="121"/>
      <c r="H160" s="213"/>
      <c r="I160" s="224"/>
      <c r="J160" s="473"/>
      <c r="K160" s="476">
        <f t="shared" si="7"/>
        <v>0</v>
      </c>
      <c r="M160" s="121"/>
      <c r="N160" s="121"/>
      <c r="P160" s="224"/>
      <c r="Q160" s="473"/>
      <c r="R160" s="476">
        <f t="shared" si="8"/>
        <v>0</v>
      </c>
      <c r="T160" s="121"/>
      <c r="U160" s="121"/>
    </row>
    <row r="161" spans="2:21" ht="15" customHeight="1" x14ac:dyDescent="0.2">
      <c r="B161" s="224"/>
      <c r="C161" s="473"/>
      <c r="D161" s="476">
        <f t="shared" si="6"/>
        <v>0</v>
      </c>
      <c r="F161" s="121"/>
      <c r="G161" s="121"/>
      <c r="H161" s="213"/>
      <c r="I161" s="224"/>
      <c r="J161" s="473"/>
      <c r="K161" s="476">
        <f t="shared" si="7"/>
        <v>0</v>
      </c>
      <c r="M161" s="121"/>
      <c r="N161" s="121"/>
      <c r="P161" s="224"/>
      <c r="Q161" s="473"/>
      <c r="R161" s="476">
        <f t="shared" si="8"/>
        <v>0</v>
      </c>
      <c r="T161" s="121"/>
      <c r="U161" s="121"/>
    </row>
    <row r="162" spans="2:21" ht="15" customHeight="1" x14ac:dyDescent="0.2">
      <c r="B162" s="224"/>
      <c r="C162" s="473"/>
      <c r="D162" s="476">
        <f t="shared" si="6"/>
        <v>0</v>
      </c>
      <c r="F162" s="121"/>
      <c r="G162" s="121"/>
      <c r="H162" s="213"/>
      <c r="I162" s="224"/>
      <c r="J162" s="473"/>
      <c r="K162" s="476">
        <f t="shared" si="7"/>
        <v>0</v>
      </c>
      <c r="M162" s="121"/>
      <c r="N162" s="121"/>
      <c r="P162" s="224"/>
      <c r="Q162" s="473"/>
      <c r="R162" s="476">
        <f t="shared" si="8"/>
        <v>0</v>
      </c>
      <c r="T162" s="121"/>
      <c r="U162" s="121"/>
    </row>
    <row r="163" spans="2:21" ht="15" customHeight="1" x14ac:dyDescent="0.2">
      <c r="B163" s="224"/>
      <c r="C163" s="473"/>
      <c r="D163" s="476">
        <f t="shared" si="6"/>
        <v>0</v>
      </c>
      <c r="F163" s="121"/>
      <c r="G163" s="121"/>
      <c r="H163" s="213"/>
      <c r="I163" s="224"/>
      <c r="J163" s="473"/>
      <c r="K163" s="476">
        <f t="shared" si="7"/>
        <v>0</v>
      </c>
      <c r="M163" s="121"/>
      <c r="N163" s="121"/>
      <c r="P163" s="224"/>
      <c r="Q163" s="473"/>
      <c r="R163" s="476">
        <f t="shared" si="8"/>
        <v>0</v>
      </c>
      <c r="T163" s="121"/>
      <c r="U163" s="121"/>
    </row>
    <row r="164" spans="2:21" ht="15" customHeight="1" x14ac:dyDescent="0.2">
      <c r="B164" s="224"/>
      <c r="C164" s="473"/>
      <c r="D164" s="476">
        <f t="shared" si="6"/>
        <v>0</v>
      </c>
      <c r="F164" s="121"/>
      <c r="G164" s="121"/>
      <c r="H164" s="213"/>
      <c r="I164" s="224"/>
      <c r="J164" s="473"/>
      <c r="K164" s="476">
        <f t="shared" si="7"/>
        <v>0</v>
      </c>
      <c r="M164" s="121"/>
      <c r="N164" s="121"/>
      <c r="P164" s="224"/>
      <c r="Q164" s="473"/>
      <c r="R164" s="476">
        <f t="shared" si="8"/>
        <v>0</v>
      </c>
      <c r="T164" s="121"/>
      <c r="U164" s="121"/>
    </row>
    <row r="165" spans="2:21" ht="15" customHeight="1" x14ac:dyDescent="0.2">
      <c r="B165" s="224"/>
      <c r="C165" s="473"/>
      <c r="D165" s="476">
        <f t="shared" si="6"/>
        <v>0</v>
      </c>
      <c r="F165" s="121"/>
      <c r="G165" s="121"/>
      <c r="H165" s="213"/>
      <c r="I165" s="224"/>
      <c r="J165" s="473"/>
      <c r="K165" s="476">
        <f t="shared" si="7"/>
        <v>0</v>
      </c>
      <c r="M165" s="121"/>
      <c r="N165" s="121"/>
      <c r="P165" s="224"/>
      <c r="Q165" s="473"/>
      <c r="R165" s="476">
        <f t="shared" si="8"/>
        <v>0</v>
      </c>
      <c r="T165" s="121"/>
      <c r="U165" s="121"/>
    </row>
    <row r="166" spans="2:21" ht="15" customHeight="1" x14ac:dyDescent="0.2">
      <c r="B166" s="224"/>
      <c r="C166" s="473"/>
      <c r="D166" s="476">
        <f t="shared" si="6"/>
        <v>0</v>
      </c>
      <c r="F166" s="121"/>
      <c r="G166" s="121"/>
      <c r="H166" s="213"/>
      <c r="I166" s="224"/>
      <c r="J166" s="473"/>
      <c r="K166" s="476">
        <f t="shared" si="7"/>
        <v>0</v>
      </c>
      <c r="M166" s="121"/>
      <c r="N166" s="121"/>
      <c r="P166" s="224"/>
      <c r="Q166" s="473"/>
      <c r="R166" s="476">
        <f t="shared" si="8"/>
        <v>0</v>
      </c>
      <c r="T166" s="121"/>
      <c r="U166" s="121"/>
    </row>
    <row r="167" spans="2:21" ht="15" customHeight="1" x14ac:dyDescent="0.2">
      <c r="B167" s="224"/>
      <c r="C167" s="473"/>
      <c r="D167" s="476">
        <f t="shared" si="6"/>
        <v>0</v>
      </c>
      <c r="F167" s="121"/>
      <c r="G167" s="121"/>
      <c r="H167" s="213"/>
      <c r="I167" s="224"/>
      <c r="J167" s="473"/>
      <c r="K167" s="476">
        <f t="shared" si="7"/>
        <v>0</v>
      </c>
      <c r="M167" s="121"/>
      <c r="N167" s="121"/>
      <c r="P167" s="224"/>
      <c r="Q167" s="473"/>
      <c r="R167" s="476">
        <f t="shared" si="8"/>
        <v>0</v>
      </c>
      <c r="T167" s="121"/>
      <c r="U167" s="121"/>
    </row>
    <row r="168" spans="2:21" ht="15" customHeight="1" x14ac:dyDescent="0.2">
      <c r="B168" s="224"/>
      <c r="C168" s="473"/>
      <c r="D168" s="476">
        <f t="shared" si="6"/>
        <v>0</v>
      </c>
      <c r="F168" s="121"/>
      <c r="G168" s="121"/>
      <c r="H168" s="213"/>
      <c r="I168" s="224"/>
      <c r="J168" s="473"/>
      <c r="K168" s="476">
        <f t="shared" si="7"/>
        <v>0</v>
      </c>
      <c r="M168" s="121"/>
      <c r="N168" s="121"/>
      <c r="P168" s="224"/>
      <c r="Q168" s="473"/>
      <c r="R168" s="476">
        <f t="shared" si="8"/>
        <v>0</v>
      </c>
      <c r="T168" s="121"/>
      <c r="U168" s="121"/>
    </row>
    <row r="169" spans="2:21" ht="15" customHeight="1" x14ac:dyDescent="0.2">
      <c r="B169" s="224"/>
      <c r="C169" s="473"/>
      <c r="D169" s="476">
        <f t="shared" si="6"/>
        <v>0</v>
      </c>
      <c r="F169" s="121"/>
      <c r="G169" s="121"/>
      <c r="H169" s="213"/>
      <c r="I169" s="224"/>
      <c r="J169" s="473"/>
      <c r="K169" s="476">
        <f t="shared" si="7"/>
        <v>0</v>
      </c>
      <c r="M169" s="121"/>
      <c r="N169" s="121"/>
      <c r="P169" s="224"/>
      <c r="Q169" s="473"/>
      <c r="R169" s="476">
        <f t="shared" si="8"/>
        <v>0</v>
      </c>
      <c r="T169" s="121"/>
      <c r="U169" s="121"/>
    </row>
    <row r="170" spans="2:21" ht="15" customHeight="1" x14ac:dyDescent="0.2">
      <c r="B170" s="224"/>
      <c r="C170" s="473"/>
      <c r="D170" s="476">
        <f t="shared" si="6"/>
        <v>0</v>
      </c>
      <c r="F170" s="121"/>
      <c r="G170" s="121"/>
      <c r="H170" s="213"/>
      <c r="I170" s="224"/>
      <c r="J170" s="473"/>
      <c r="K170" s="476">
        <f t="shared" si="7"/>
        <v>0</v>
      </c>
      <c r="M170" s="121"/>
      <c r="N170" s="121"/>
      <c r="P170" s="224"/>
      <c r="Q170" s="473"/>
      <c r="R170" s="476">
        <f t="shared" si="8"/>
        <v>0</v>
      </c>
      <c r="T170" s="121"/>
      <c r="U170" s="121"/>
    </row>
    <row r="171" spans="2:21" ht="15" customHeight="1" x14ac:dyDescent="0.2">
      <c r="B171" s="224"/>
      <c r="C171" s="473"/>
      <c r="D171" s="476">
        <f t="shared" si="6"/>
        <v>0</v>
      </c>
      <c r="F171" s="121"/>
      <c r="G171" s="121"/>
      <c r="H171" s="213"/>
      <c r="I171" s="224"/>
      <c r="J171" s="473"/>
      <c r="K171" s="476">
        <f t="shared" si="7"/>
        <v>0</v>
      </c>
      <c r="M171" s="121"/>
      <c r="N171" s="121"/>
      <c r="P171" s="224"/>
      <c r="Q171" s="473"/>
      <c r="R171" s="476">
        <f t="shared" si="8"/>
        <v>0</v>
      </c>
      <c r="T171" s="121"/>
      <c r="U171" s="121"/>
    </row>
    <row r="172" spans="2:21" ht="15" customHeight="1" x14ac:dyDescent="0.2">
      <c r="B172" s="224"/>
      <c r="C172" s="473"/>
      <c r="D172" s="476">
        <f t="shared" si="6"/>
        <v>0</v>
      </c>
      <c r="F172" s="121"/>
      <c r="G172" s="121"/>
      <c r="H172" s="213"/>
      <c r="I172" s="224"/>
      <c r="J172" s="473"/>
      <c r="K172" s="476">
        <f t="shared" si="7"/>
        <v>0</v>
      </c>
      <c r="M172" s="121"/>
      <c r="N172" s="121"/>
      <c r="P172" s="224"/>
      <c r="Q172" s="473"/>
      <c r="R172" s="476">
        <f t="shared" si="8"/>
        <v>0</v>
      </c>
      <c r="T172" s="121"/>
      <c r="U172" s="121"/>
    </row>
    <row r="173" spans="2:21" ht="15" customHeight="1" x14ac:dyDescent="0.2">
      <c r="B173" s="224"/>
      <c r="C173" s="473"/>
      <c r="D173" s="476">
        <f t="shared" si="6"/>
        <v>0</v>
      </c>
      <c r="F173" s="121"/>
      <c r="G173" s="121"/>
      <c r="H173" s="213"/>
      <c r="I173" s="224"/>
      <c r="J173" s="473"/>
      <c r="K173" s="476">
        <f t="shared" si="7"/>
        <v>0</v>
      </c>
      <c r="M173" s="121"/>
      <c r="N173" s="121"/>
      <c r="P173" s="224"/>
      <c r="Q173" s="473"/>
      <c r="R173" s="476">
        <f t="shared" si="8"/>
        <v>0</v>
      </c>
      <c r="T173" s="121"/>
      <c r="U173" s="121"/>
    </row>
    <row r="174" spans="2:21" ht="15" customHeight="1" x14ac:dyDescent="0.2">
      <c r="B174" s="224"/>
      <c r="C174" s="473"/>
      <c r="D174" s="476">
        <f t="shared" si="6"/>
        <v>0</v>
      </c>
      <c r="F174" s="121"/>
      <c r="G174" s="121"/>
      <c r="H174" s="213"/>
      <c r="I174" s="224"/>
      <c r="J174" s="473"/>
      <c r="K174" s="476">
        <f t="shared" si="7"/>
        <v>0</v>
      </c>
      <c r="M174" s="121"/>
      <c r="N174" s="121"/>
      <c r="P174" s="224"/>
      <c r="Q174" s="473"/>
      <c r="R174" s="476">
        <f t="shared" si="8"/>
        <v>0</v>
      </c>
      <c r="T174" s="121"/>
      <c r="U174" s="121"/>
    </row>
    <row r="175" spans="2:21" ht="15" customHeight="1" x14ac:dyDescent="0.2">
      <c r="B175" s="224"/>
      <c r="C175" s="473"/>
      <c r="D175" s="476">
        <f t="shared" si="6"/>
        <v>0</v>
      </c>
      <c r="F175" s="121"/>
      <c r="G175" s="121"/>
      <c r="H175" s="213"/>
      <c r="I175" s="224"/>
      <c r="J175" s="473"/>
      <c r="K175" s="476">
        <f t="shared" si="7"/>
        <v>0</v>
      </c>
      <c r="M175" s="121"/>
      <c r="N175" s="121"/>
      <c r="P175" s="224"/>
      <c r="Q175" s="473"/>
      <c r="R175" s="476">
        <f t="shared" si="8"/>
        <v>0</v>
      </c>
      <c r="T175" s="121"/>
      <c r="U175" s="121"/>
    </row>
    <row r="176" spans="2:21" ht="15" customHeight="1" x14ac:dyDescent="0.2">
      <c r="B176" s="224"/>
      <c r="C176" s="473"/>
      <c r="D176" s="476">
        <f t="shared" si="6"/>
        <v>0</v>
      </c>
      <c r="F176" s="121"/>
      <c r="G176" s="121"/>
      <c r="H176" s="213"/>
      <c r="I176" s="224"/>
      <c r="J176" s="473"/>
      <c r="K176" s="476">
        <f t="shared" si="7"/>
        <v>0</v>
      </c>
      <c r="M176" s="121"/>
      <c r="N176" s="121"/>
      <c r="P176" s="224"/>
      <c r="Q176" s="473"/>
      <c r="R176" s="476">
        <f t="shared" si="8"/>
        <v>0</v>
      </c>
      <c r="T176" s="121"/>
      <c r="U176" s="121"/>
    </row>
    <row r="177" spans="2:21" ht="15" customHeight="1" x14ac:dyDescent="0.2">
      <c r="B177" s="224"/>
      <c r="C177" s="473"/>
      <c r="D177" s="476">
        <f t="shared" si="6"/>
        <v>0</v>
      </c>
      <c r="F177" s="121"/>
      <c r="G177" s="121"/>
      <c r="H177" s="213"/>
      <c r="I177" s="224"/>
      <c r="J177" s="473"/>
      <c r="K177" s="476">
        <f t="shared" si="7"/>
        <v>0</v>
      </c>
      <c r="M177" s="121"/>
      <c r="N177" s="121"/>
      <c r="P177" s="224"/>
      <c r="Q177" s="473"/>
      <c r="R177" s="476">
        <f t="shared" si="8"/>
        <v>0</v>
      </c>
      <c r="T177" s="121"/>
      <c r="U177" s="121"/>
    </row>
    <row r="178" spans="2:21" ht="15" customHeight="1" x14ac:dyDescent="0.2">
      <c r="B178" s="224"/>
      <c r="C178" s="473"/>
      <c r="D178" s="476">
        <f t="shared" si="6"/>
        <v>0</v>
      </c>
      <c r="F178" s="121"/>
      <c r="G178" s="121"/>
      <c r="H178" s="213"/>
      <c r="I178" s="224"/>
      <c r="J178" s="473"/>
      <c r="K178" s="476">
        <f t="shared" si="7"/>
        <v>0</v>
      </c>
      <c r="M178" s="121"/>
      <c r="N178" s="121"/>
      <c r="P178" s="224"/>
      <c r="Q178" s="473"/>
      <c r="R178" s="476">
        <f t="shared" si="8"/>
        <v>0</v>
      </c>
      <c r="T178" s="121"/>
      <c r="U178" s="121"/>
    </row>
    <row r="179" spans="2:21" ht="15" customHeight="1" x14ac:dyDescent="0.2">
      <c r="B179" s="224"/>
      <c r="C179" s="473"/>
      <c r="D179" s="476">
        <f t="shared" si="6"/>
        <v>0</v>
      </c>
      <c r="F179" s="121"/>
      <c r="G179" s="121"/>
      <c r="H179" s="213"/>
      <c r="I179" s="224"/>
      <c r="J179" s="473"/>
      <c r="K179" s="476">
        <f t="shared" si="7"/>
        <v>0</v>
      </c>
      <c r="M179" s="121"/>
      <c r="N179" s="121"/>
      <c r="P179" s="224"/>
      <c r="Q179" s="473"/>
      <c r="R179" s="476">
        <f t="shared" si="8"/>
        <v>0</v>
      </c>
      <c r="T179" s="121"/>
      <c r="U179" s="121"/>
    </row>
    <row r="180" spans="2:21" ht="15" customHeight="1" x14ac:dyDescent="0.2">
      <c r="B180" s="224"/>
      <c r="C180" s="473"/>
      <c r="D180" s="476">
        <f t="shared" si="6"/>
        <v>0</v>
      </c>
      <c r="F180" s="121"/>
      <c r="G180" s="121"/>
      <c r="H180" s="213"/>
      <c r="I180" s="224"/>
      <c r="J180" s="473"/>
      <c r="K180" s="476">
        <f t="shared" si="7"/>
        <v>0</v>
      </c>
      <c r="M180" s="121"/>
      <c r="N180" s="121"/>
      <c r="P180" s="224"/>
      <c r="Q180" s="473"/>
      <c r="R180" s="476">
        <f t="shared" si="8"/>
        <v>0</v>
      </c>
      <c r="T180" s="121"/>
      <c r="U180" s="121"/>
    </row>
    <row r="181" spans="2:21" ht="15" customHeight="1" x14ac:dyDescent="0.2">
      <c r="B181" s="224"/>
      <c r="C181" s="473"/>
      <c r="D181" s="476">
        <f t="shared" si="6"/>
        <v>0</v>
      </c>
      <c r="F181" s="121"/>
      <c r="G181" s="121"/>
      <c r="H181" s="213"/>
      <c r="I181" s="224"/>
      <c r="J181" s="473"/>
      <c r="K181" s="476">
        <f t="shared" si="7"/>
        <v>0</v>
      </c>
      <c r="M181" s="121"/>
      <c r="N181" s="121"/>
      <c r="P181" s="224"/>
      <c r="Q181" s="473"/>
      <c r="R181" s="476">
        <f t="shared" si="8"/>
        <v>0</v>
      </c>
      <c r="T181" s="121"/>
      <c r="U181" s="121"/>
    </row>
    <row r="182" spans="2:21" ht="15" customHeight="1" x14ac:dyDescent="0.2">
      <c r="B182" s="224"/>
      <c r="C182" s="473"/>
      <c r="D182" s="476">
        <f t="shared" si="6"/>
        <v>0</v>
      </c>
      <c r="F182" s="121"/>
      <c r="G182" s="121"/>
      <c r="H182" s="213"/>
      <c r="I182" s="224"/>
      <c r="J182" s="473"/>
      <c r="K182" s="476">
        <f t="shared" si="7"/>
        <v>0</v>
      </c>
      <c r="M182" s="121"/>
      <c r="N182" s="121"/>
      <c r="P182" s="224"/>
      <c r="Q182" s="473"/>
      <c r="R182" s="476">
        <f t="shared" si="8"/>
        <v>0</v>
      </c>
      <c r="T182" s="121"/>
      <c r="U182" s="121"/>
    </row>
    <row r="183" spans="2:21" ht="15" customHeight="1" x14ac:dyDescent="0.2">
      <c r="B183" s="224"/>
      <c r="C183" s="473"/>
      <c r="D183" s="476">
        <f t="shared" si="6"/>
        <v>0</v>
      </c>
      <c r="F183" s="121"/>
      <c r="G183" s="121"/>
      <c r="H183" s="213"/>
      <c r="I183" s="224"/>
      <c r="J183" s="473"/>
      <c r="K183" s="476">
        <f t="shared" si="7"/>
        <v>0</v>
      </c>
      <c r="M183" s="121"/>
      <c r="N183" s="121"/>
      <c r="P183" s="224"/>
      <c r="Q183" s="473"/>
      <c r="R183" s="476">
        <f t="shared" si="8"/>
        <v>0</v>
      </c>
      <c r="T183" s="121"/>
      <c r="U183" s="121"/>
    </row>
    <row r="184" spans="2:21" ht="15" customHeight="1" x14ac:dyDescent="0.2">
      <c r="B184" s="224"/>
      <c r="C184" s="473"/>
      <c r="D184" s="476">
        <f t="shared" si="6"/>
        <v>0</v>
      </c>
      <c r="F184" s="121"/>
      <c r="G184" s="121"/>
      <c r="H184" s="213"/>
      <c r="I184" s="224"/>
      <c r="J184" s="473"/>
      <c r="K184" s="476">
        <f t="shared" si="7"/>
        <v>0</v>
      </c>
      <c r="M184" s="121"/>
      <c r="N184" s="121"/>
      <c r="P184" s="224"/>
      <c r="Q184" s="473"/>
      <c r="R184" s="476">
        <f t="shared" si="8"/>
        <v>0</v>
      </c>
      <c r="T184" s="121"/>
      <c r="U184" s="121"/>
    </row>
    <row r="185" spans="2:21" ht="15" customHeight="1" x14ac:dyDescent="0.2">
      <c r="B185" s="224"/>
      <c r="C185" s="473"/>
      <c r="D185" s="476">
        <f t="shared" si="6"/>
        <v>0</v>
      </c>
      <c r="F185" s="121"/>
      <c r="G185" s="121"/>
      <c r="H185" s="213"/>
      <c r="I185" s="224"/>
      <c r="J185" s="473"/>
      <c r="K185" s="476">
        <f t="shared" si="7"/>
        <v>0</v>
      </c>
      <c r="M185" s="121"/>
      <c r="N185" s="121"/>
      <c r="P185" s="224"/>
      <c r="Q185" s="473"/>
      <c r="R185" s="476">
        <f t="shared" si="8"/>
        <v>0</v>
      </c>
      <c r="T185" s="121"/>
      <c r="U185" s="121"/>
    </row>
    <row r="186" spans="2:21" ht="15" customHeight="1" x14ac:dyDescent="0.2">
      <c r="B186" s="224"/>
      <c r="C186" s="473"/>
      <c r="D186" s="476">
        <f t="shared" si="6"/>
        <v>0</v>
      </c>
      <c r="F186" s="121"/>
      <c r="G186" s="121"/>
      <c r="H186" s="213"/>
      <c r="I186" s="224"/>
      <c r="J186" s="473"/>
      <c r="K186" s="476">
        <f t="shared" si="7"/>
        <v>0</v>
      </c>
      <c r="M186" s="121"/>
      <c r="N186" s="121"/>
      <c r="P186" s="224"/>
      <c r="Q186" s="473"/>
      <c r="R186" s="476">
        <f t="shared" si="8"/>
        <v>0</v>
      </c>
      <c r="T186" s="121"/>
      <c r="U186" s="121"/>
    </row>
    <row r="187" spans="2:21" ht="15" customHeight="1" x14ac:dyDescent="0.2">
      <c r="B187" s="224"/>
      <c r="C187" s="473"/>
      <c r="D187" s="476">
        <f t="shared" si="6"/>
        <v>0</v>
      </c>
      <c r="F187" s="121"/>
      <c r="G187" s="121"/>
      <c r="H187" s="213"/>
      <c r="I187" s="224"/>
      <c r="J187" s="473"/>
      <c r="K187" s="476">
        <f t="shared" si="7"/>
        <v>0</v>
      </c>
      <c r="M187" s="121"/>
      <c r="N187" s="121"/>
      <c r="P187" s="224"/>
      <c r="Q187" s="473"/>
      <c r="R187" s="476">
        <f t="shared" si="8"/>
        <v>0</v>
      </c>
      <c r="T187" s="121"/>
      <c r="U187" s="121"/>
    </row>
    <row r="188" spans="2:21" ht="15" customHeight="1" x14ac:dyDescent="0.2">
      <c r="B188" s="224"/>
      <c r="C188" s="473"/>
      <c r="D188" s="476">
        <f t="shared" si="6"/>
        <v>0</v>
      </c>
      <c r="F188" s="121"/>
      <c r="G188" s="121"/>
      <c r="H188" s="213"/>
      <c r="I188" s="224"/>
      <c r="J188" s="473"/>
      <c r="K188" s="476">
        <f t="shared" si="7"/>
        <v>0</v>
      </c>
      <c r="M188" s="121"/>
      <c r="N188" s="121"/>
      <c r="P188" s="224"/>
      <c r="Q188" s="473"/>
      <c r="R188" s="476">
        <f t="shared" si="8"/>
        <v>0</v>
      </c>
      <c r="T188" s="121"/>
      <c r="U188" s="121"/>
    </row>
    <row r="189" spans="2:21" ht="15" customHeight="1" x14ac:dyDescent="0.2">
      <c r="B189" s="224"/>
      <c r="C189" s="473"/>
      <c r="D189" s="476">
        <f t="shared" si="6"/>
        <v>0</v>
      </c>
      <c r="F189" s="121"/>
      <c r="G189" s="121"/>
      <c r="H189" s="213"/>
      <c r="I189" s="224"/>
      <c r="J189" s="473"/>
      <c r="K189" s="476">
        <f t="shared" si="7"/>
        <v>0</v>
      </c>
      <c r="M189" s="121"/>
      <c r="N189" s="121"/>
      <c r="P189" s="224"/>
      <c r="Q189" s="473"/>
      <c r="R189" s="476">
        <f t="shared" si="8"/>
        <v>0</v>
      </c>
      <c r="T189" s="121"/>
      <c r="U189" s="121"/>
    </row>
    <row r="190" spans="2:21" ht="15" customHeight="1" x14ac:dyDescent="0.2">
      <c r="B190" s="224"/>
      <c r="C190" s="473"/>
      <c r="D190" s="476">
        <f t="shared" si="6"/>
        <v>0</v>
      </c>
      <c r="F190" s="121"/>
      <c r="G190" s="121"/>
      <c r="H190" s="213"/>
      <c r="I190" s="224"/>
      <c r="J190" s="473"/>
      <c r="K190" s="476">
        <f t="shared" si="7"/>
        <v>0</v>
      </c>
      <c r="M190" s="121"/>
      <c r="N190" s="121"/>
      <c r="P190" s="224"/>
      <c r="Q190" s="473"/>
      <c r="R190" s="476">
        <f t="shared" si="8"/>
        <v>0</v>
      </c>
      <c r="T190" s="121"/>
      <c r="U190" s="121"/>
    </row>
    <row r="191" spans="2:21" ht="15" customHeight="1" x14ac:dyDescent="0.2">
      <c r="B191" s="224"/>
      <c r="C191" s="473"/>
      <c r="D191" s="476">
        <f t="shared" si="6"/>
        <v>0</v>
      </c>
      <c r="F191" s="121"/>
      <c r="G191" s="121"/>
      <c r="H191" s="213"/>
      <c r="I191" s="224"/>
      <c r="J191" s="473"/>
      <c r="K191" s="476">
        <f t="shared" si="7"/>
        <v>0</v>
      </c>
      <c r="M191" s="121"/>
      <c r="N191" s="121"/>
      <c r="P191" s="224"/>
      <c r="Q191" s="473"/>
      <c r="R191" s="476">
        <f t="shared" si="8"/>
        <v>0</v>
      </c>
      <c r="T191" s="121"/>
      <c r="U191" s="121"/>
    </row>
    <row r="192" spans="2:21" ht="15" customHeight="1" x14ac:dyDescent="0.2">
      <c r="B192" s="224"/>
      <c r="C192" s="473"/>
      <c r="D192" s="476">
        <f t="shared" si="6"/>
        <v>0</v>
      </c>
      <c r="F192" s="121"/>
      <c r="G192" s="121"/>
      <c r="H192" s="213"/>
      <c r="I192" s="224"/>
      <c r="J192" s="473"/>
      <c r="K192" s="476">
        <f t="shared" si="7"/>
        <v>0</v>
      </c>
      <c r="M192" s="121"/>
      <c r="N192" s="121"/>
      <c r="P192" s="224"/>
      <c r="Q192" s="473"/>
      <c r="R192" s="476">
        <f t="shared" si="8"/>
        <v>0</v>
      </c>
      <c r="T192" s="121"/>
      <c r="U192" s="121"/>
    </row>
    <row r="193" spans="2:21" ht="15" customHeight="1" x14ac:dyDescent="0.2">
      <c r="B193" s="224"/>
      <c r="C193" s="473"/>
      <c r="D193" s="476">
        <f t="shared" si="6"/>
        <v>0</v>
      </c>
      <c r="F193" s="121"/>
      <c r="G193" s="121"/>
      <c r="H193" s="213"/>
      <c r="I193" s="224"/>
      <c r="J193" s="473"/>
      <c r="K193" s="476">
        <f t="shared" si="7"/>
        <v>0</v>
      </c>
      <c r="M193" s="121"/>
      <c r="N193" s="121"/>
      <c r="P193" s="224"/>
      <c r="Q193" s="473"/>
      <c r="R193" s="476">
        <f t="shared" si="8"/>
        <v>0</v>
      </c>
      <c r="T193" s="121"/>
      <c r="U193" s="121"/>
    </row>
    <row r="194" spans="2:21" ht="15" customHeight="1" x14ac:dyDescent="0.2">
      <c r="B194" s="224"/>
      <c r="C194" s="473"/>
      <c r="D194" s="476">
        <f t="shared" si="6"/>
        <v>0</v>
      </c>
      <c r="F194" s="121"/>
      <c r="G194" s="121"/>
      <c r="H194" s="213"/>
      <c r="I194" s="224"/>
      <c r="J194" s="473"/>
      <c r="K194" s="476">
        <f t="shared" si="7"/>
        <v>0</v>
      </c>
      <c r="M194" s="121"/>
      <c r="N194" s="121"/>
      <c r="P194" s="224"/>
      <c r="Q194" s="473"/>
      <c r="R194" s="476">
        <f t="shared" si="8"/>
        <v>0</v>
      </c>
      <c r="T194" s="121"/>
      <c r="U194" s="121"/>
    </row>
    <row r="195" spans="2:21" ht="15" customHeight="1" x14ac:dyDescent="0.2">
      <c r="B195" s="224"/>
      <c r="C195" s="473"/>
      <c r="D195" s="476">
        <f t="shared" si="6"/>
        <v>0</v>
      </c>
      <c r="F195" s="121"/>
      <c r="G195" s="121"/>
      <c r="H195" s="213"/>
      <c r="I195" s="224"/>
      <c r="J195" s="473"/>
      <c r="K195" s="476">
        <f t="shared" si="7"/>
        <v>0</v>
      </c>
      <c r="M195" s="121"/>
      <c r="N195" s="121"/>
      <c r="P195" s="224"/>
      <c r="Q195" s="473"/>
      <c r="R195" s="476">
        <f t="shared" si="8"/>
        <v>0</v>
      </c>
      <c r="T195" s="121"/>
      <c r="U195" s="121"/>
    </row>
    <row r="196" spans="2:21" ht="15" customHeight="1" x14ac:dyDescent="0.2">
      <c r="B196" s="224"/>
      <c r="C196" s="473"/>
      <c r="D196" s="476">
        <f t="shared" si="6"/>
        <v>0</v>
      </c>
      <c r="F196" s="121"/>
      <c r="G196" s="121"/>
      <c r="H196" s="213"/>
      <c r="I196" s="224"/>
      <c r="J196" s="473"/>
      <c r="K196" s="476">
        <f t="shared" si="7"/>
        <v>0</v>
      </c>
      <c r="M196" s="121"/>
      <c r="N196" s="121"/>
      <c r="P196" s="224"/>
      <c r="Q196" s="473"/>
      <c r="R196" s="476">
        <f t="shared" si="8"/>
        <v>0</v>
      </c>
      <c r="T196" s="121"/>
      <c r="U196" s="121"/>
    </row>
    <row r="197" spans="2:21" ht="15" customHeight="1" x14ac:dyDescent="0.2">
      <c r="B197" s="224"/>
      <c r="C197" s="473"/>
      <c r="D197" s="476">
        <f t="shared" si="6"/>
        <v>0</v>
      </c>
      <c r="F197" s="121"/>
      <c r="G197" s="121"/>
      <c r="H197" s="213"/>
      <c r="I197" s="224"/>
      <c r="J197" s="473"/>
      <c r="K197" s="476">
        <f t="shared" si="7"/>
        <v>0</v>
      </c>
      <c r="M197" s="121"/>
      <c r="N197" s="121"/>
      <c r="P197" s="224"/>
      <c r="Q197" s="473"/>
      <c r="R197" s="476">
        <f t="shared" si="8"/>
        <v>0</v>
      </c>
      <c r="T197" s="121"/>
      <c r="U197" s="121"/>
    </row>
    <row r="198" spans="2:21" ht="15" customHeight="1" x14ac:dyDescent="0.2">
      <c r="B198" s="224"/>
      <c r="C198" s="473"/>
      <c r="D198" s="476">
        <f t="shared" si="6"/>
        <v>0</v>
      </c>
      <c r="F198" s="121"/>
      <c r="G198" s="121"/>
      <c r="H198" s="213"/>
      <c r="I198" s="224"/>
      <c r="J198" s="473"/>
      <c r="K198" s="476">
        <f t="shared" si="7"/>
        <v>0</v>
      </c>
      <c r="M198" s="121"/>
      <c r="N198" s="121"/>
      <c r="P198" s="224"/>
      <c r="Q198" s="473"/>
      <c r="R198" s="476">
        <f t="shared" si="8"/>
        <v>0</v>
      </c>
      <c r="T198" s="121"/>
      <c r="U198" s="121"/>
    </row>
    <row r="199" spans="2:21" ht="15" customHeight="1" x14ac:dyDescent="0.2">
      <c r="B199" s="224"/>
      <c r="C199" s="473"/>
      <c r="D199" s="476">
        <f t="shared" si="6"/>
        <v>0</v>
      </c>
      <c r="F199" s="121"/>
      <c r="G199" s="121"/>
      <c r="H199" s="213"/>
      <c r="I199" s="224"/>
      <c r="J199" s="473"/>
      <c r="K199" s="476">
        <f t="shared" si="7"/>
        <v>0</v>
      </c>
      <c r="M199" s="121"/>
      <c r="N199" s="121"/>
      <c r="P199" s="224"/>
      <c r="Q199" s="473"/>
      <c r="R199" s="476">
        <f t="shared" si="8"/>
        <v>0</v>
      </c>
      <c r="T199" s="121"/>
      <c r="U199" s="121"/>
    </row>
    <row r="200" spans="2:21" ht="15" customHeight="1" x14ac:dyDescent="0.2">
      <c r="B200" s="224"/>
      <c r="C200" s="473"/>
      <c r="D200" s="476">
        <f t="shared" si="6"/>
        <v>0</v>
      </c>
      <c r="F200" s="121"/>
      <c r="G200" s="121"/>
      <c r="H200" s="213"/>
      <c r="I200" s="224"/>
      <c r="J200" s="473"/>
      <c r="K200" s="476">
        <f t="shared" si="7"/>
        <v>0</v>
      </c>
      <c r="M200" s="121"/>
      <c r="N200" s="121"/>
      <c r="P200" s="224"/>
      <c r="Q200" s="473"/>
      <c r="R200" s="476">
        <f t="shared" si="8"/>
        <v>0</v>
      </c>
      <c r="T200" s="121"/>
      <c r="U200" s="121"/>
    </row>
    <row r="201" spans="2:21" ht="15" customHeight="1" x14ac:dyDescent="0.2">
      <c r="B201" s="224"/>
      <c r="C201" s="473"/>
      <c r="D201" s="476">
        <f t="shared" si="6"/>
        <v>0</v>
      </c>
      <c r="F201" s="121"/>
      <c r="G201" s="121"/>
      <c r="H201" s="213"/>
      <c r="I201" s="224"/>
      <c r="J201" s="473"/>
      <c r="K201" s="476">
        <f t="shared" si="7"/>
        <v>0</v>
      </c>
      <c r="M201" s="121"/>
      <c r="N201" s="121"/>
      <c r="P201" s="224"/>
      <c r="Q201" s="473"/>
      <c r="R201" s="476">
        <f t="shared" si="8"/>
        <v>0</v>
      </c>
      <c r="T201" s="121"/>
      <c r="U201" s="121"/>
    </row>
    <row r="202" spans="2:21" ht="15" customHeight="1" x14ac:dyDescent="0.2">
      <c r="B202" s="224"/>
      <c r="C202" s="473"/>
      <c r="D202" s="476">
        <f t="shared" si="6"/>
        <v>0</v>
      </c>
      <c r="F202" s="121"/>
      <c r="G202" s="121"/>
      <c r="H202" s="213"/>
      <c r="I202" s="224"/>
      <c r="J202" s="473"/>
      <c r="K202" s="476">
        <f t="shared" si="7"/>
        <v>0</v>
      </c>
      <c r="M202" s="121"/>
      <c r="N202" s="121"/>
      <c r="P202" s="224"/>
      <c r="Q202" s="473"/>
      <c r="R202" s="476">
        <f t="shared" si="8"/>
        <v>0</v>
      </c>
      <c r="T202" s="121"/>
      <c r="U202" s="121"/>
    </row>
    <row r="203" spans="2:21" ht="15" customHeight="1" x14ac:dyDescent="0.2">
      <c r="B203" s="224"/>
      <c r="C203" s="473"/>
      <c r="D203" s="476">
        <f t="shared" si="6"/>
        <v>0</v>
      </c>
      <c r="F203" s="121"/>
      <c r="G203" s="121"/>
      <c r="H203" s="213"/>
      <c r="I203" s="224"/>
      <c r="J203" s="473"/>
      <c r="K203" s="476">
        <f t="shared" si="7"/>
        <v>0</v>
      </c>
      <c r="M203" s="121"/>
      <c r="N203" s="121"/>
      <c r="P203" s="224"/>
      <c r="Q203" s="473"/>
      <c r="R203" s="476">
        <f t="shared" si="8"/>
        <v>0</v>
      </c>
      <c r="T203" s="121"/>
      <c r="U203" s="121"/>
    </row>
    <row r="204" spans="2:21" ht="15" customHeight="1" x14ac:dyDescent="0.2">
      <c r="B204" s="224"/>
      <c r="C204" s="473"/>
      <c r="D204" s="476">
        <f t="shared" si="6"/>
        <v>0</v>
      </c>
      <c r="F204" s="121"/>
      <c r="G204" s="121"/>
      <c r="H204" s="213"/>
      <c r="I204" s="224"/>
      <c r="J204" s="473"/>
      <c r="K204" s="476">
        <f t="shared" si="7"/>
        <v>0</v>
      </c>
      <c r="M204" s="121"/>
      <c r="N204" s="121"/>
      <c r="P204" s="224"/>
      <c r="Q204" s="473"/>
      <c r="R204" s="476">
        <f t="shared" si="8"/>
        <v>0</v>
      </c>
      <c r="T204" s="121"/>
      <c r="U204" s="121"/>
    </row>
    <row r="205" spans="2:21" ht="15" customHeight="1" x14ac:dyDescent="0.2">
      <c r="B205" s="224"/>
      <c r="C205" s="473"/>
      <c r="D205" s="476">
        <f t="shared" si="6"/>
        <v>0</v>
      </c>
      <c r="F205" s="121"/>
      <c r="G205" s="121"/>
      <c r="H205" s="213"/>
      <c r="I205" s="224"/>
      <c r="J205" s="473"/>
      <c r="K205" s="476">
        <f t="shared" si="7"/>
        <v>0</v>
      </c>
      <c r="M205" s="121"/>
      <c r="N205" s="121"/>
      <c r="P205" s="224"/>
      <c r="Q205" s="473"/>
      <c r="R205" s="476">
        <f t="shared" si="8"/>
        <v>0</v>
      </c>
      <c r="T205" s="121"/>
      <c r="U205" s="121"/>
    </row>
    <row r="206" spans="2:21" ht="15" customHeight="1" x14ac:dyDescent="0.2">
      <c r="B206" s="224"/>
      <c r="C206" s="473"/>
      <c r="D206" s="476">
        <f t="shared" si="6"/>
        <v>0</v>
      </c>
      <c r="F206" s="121"/>
      <c r="G206" s="121"/>
      <c r="H206" s="213"/>
      <c r="I206" s="224"/>
      <c r="J206" s="473"/>
      <c r="K206" s="476">
        <f t="shared" si="7"/>
        <v>0</v>
      </c>
      <c r="M206" s="121"/>
      <c r="N206" s="121"/>
      <c r="P206" s="224"/>
      <c r="Q206" s="473"/>
      <c r="R206" s="476">
        <f t="shared" si="8"/>
        <v>0</v>
      </c>
      <c r="T206" s="121"/>
      <c r="U206" s="121"/>
    </row>
    <row r="207" spans="2:21" ht="15" customHeight="1" x14ac:dyDescent="0.2">
      <c r="B207" s="224"/>
      <c r="C207" s="473"/>
      <c r="D207" s="476">
        <f t="shared" si="6"/>
        <v>0</v>
      </c>
      <c r="F207" s="121"/>
      <c r="G207" s="121"/>
      <c r="H207" s="213"/>
      <c r="I207" s="224"/>
      <c r="J207" s="473"/>
      <c r="K207" s="476">
        <f t="shared" si="7"/>
        <v>0</v>
      </c>
      <c r="M207" s="121"/>
      <c r="N207" s="121"/>
      <c r="P207" s="224"/>
      <c r="Q207" s="473"/>
      <c r="R207" s="476">
        <f t="shared" si="8"/>
        <v>0</v>
      </c>
      <c r="T207" s="121"/>
      <c r="U207" s="121"/>
    </row>
    <row r="208" spans="2:21" ht="15" customHeight="1" x14ac:dyDescent="0.2">
      <c r="B208" s="224"/>
      <c r="C208" s="473"/>
      <c r="D208" s="476">
        <f t="shared" si="6"/>
        <v>0</v>
      </c>
      <c r="F208" s="121"/>
      <c r="G208" s="121"/>
      <c r="H208" s="213"/>
      <c r="I208" s="224"/>
      <c r="J208" s="473"/>
      <c r="K208" s="476">
        <f t="shared" si="7"/>
        <v>0</v>
      </c>
      <c r="M208" s="121"/>
      <c r="N208" s="121"/>
      <c r="P208" s="224"/>
      <c r="Q208" s="473"/>
      <c r="R208" s="476">
        <f t="shared" si="8"/>
        <v>0</v>
      </c>
      <c r="T208" s="121"/>
      <c r="U208" s="121"/>
    </row>
    <row r="209" spans="2:21" ht="15" customHeight="1" x14ac:dyDescent="0.2">
      <c r="B209" s="224"/>
      <c r="C209" s="473"/>
      <c r="D209" s="476">
        <f t="shared" si="6"/>
        <v>0</v>
      </c>
      <c r="F209" s="121"/>
      <c r="G209" s="121"/>
      <c r="H209" s="213"/>
      <c r="I209" s="224"/>
      <c r="J209" s="473"/>
      <c r="K209" s="476">
        <f t="shared" si="7"/>
        <v>0</v>
      </c>
      <c r="M209" s="121"/>
      <c r="N209" s="121"/>
      <c r="P209" s="224"/>
      <c r="Q209" s="473"/>
      <c r="R209" s="476">
        <f t="shared" si="8"/>
        <v>0</v>
      </c>
      <c r="T209" s="121"/>
      <c r="U209" s="121"/>
    </row>
    <row r="210" spans="2:21" ht="15" customHeight="1" x14ac:dyDescent="0.2">
      <c r="B210" s="224"/>
      <c r="C210" s="473"/>
      <c r="D210" s="476">
        <f t="shared" ref="D210:D273" si="9">C210/1000</f>
        <v>0</v>
      </c>
      <c r="F210" s="121"/>
      <c r="G210" s="121"/>
      <c r="H210" s="213"/>
      <c r="I210" s="224"/>
      <c r="J210" s="473"/>
      <c r="K210" s="476">
        <f t="shared" ref="K210:K273" si="10">J210/1000</f>
        <v>0</v>
      </c>
      <c r="M210" s="121"/>
      <c r="N210" s="121"/>
      <c r="P210" s="224"/>
      <c r="Q210" s="473"/>
      <c r="R210" s="476">
        <f t="shared" ref="R210:R273" si="11">Q210/1000</f>
        <v>0</v>
      </c>
      <c r="T210" s="121"/>
      <c r="U210" s="121"/>
    </row>
    <row r="211" spans="2:21" ht="15" customHeight="1" x14ac:dyDescent="0.2">
      <c r="B211" s="224"/>
      <c r="C211" s="473"/>
      <c r="D211" s="476">
        <f t="shared" si="9"/>
        <v>0</v>
      </c>
      <c r="F211" s="121"/>
      <c r="G211" s="121"/>
      <c r="H211" s="213"/>
      <c r="I211" s="224"/>
      <c r="J211" s="473"/>
      <c r="K211" s="476">
        <f t="shared" si="10"/>
        <v>0</v>
      </c>
      <c r="M211" s="121"/>
      <c r="N211" s="121"/>
      <c r="P211" s="224"/>
      <c r="Q211" s="473"/>
      <c r="R211" s="476">
        <f t="shared" si="11"/>
        <v>0</v>
      </c>
      <c r="T211" s="121"/>
      <c r="U211" s="121"/>
    </row>
    <row r="212" spans="2:21" ht="15" customHeight="1" x14ac:dyDescent="0.2">
      <c r="B212" s="224"/>
      <c r="C212" s="473"/>
      <c r="D212" s="476">
        <f t="shared" si="9"/>
        <v>0</v>
      </c>
      <c r="F212" s="121"/>
      <c r="G212" s="121"/>
      <c r="H212" s="213"/>
      <c r="I212" s="224"/>
      <c r="J212" s="473"/>
      <c r="K212" s="476">
        <f t="shared" si="10"/>
        <v>0</v>
      </c>
      <c r="M212" s="121"/>
      <c r="N212" s="121"/>
      <c r="P212" s="224"/>
      <c r="Q212" s="473"/>
      <c r="R212" s="476">
        <f t="shared" si="11"/>
        <v>0</v>
      </c>
      <c r="T212" s="121"/>
      <c r="U212" s="121"/>
    </row>
    <row r="213" spans="2:21" ht="15" customHeight="1" x14ac:dyDescent="0.2">
      <c r="B213" s="224"/>
      <c r="C213" s="473"/>
      <c r="D213" s="476">
        <f t="shared" si="9"/>
        <v>0</v>
      </c>
      <c r="F213" s="121"/>
      <c r="G213" s="121"/>
      <c r="H213" s="213"/>
      <c r="I213" s="224"/>
      <c r="J213" s="473"/>
      <c r="K213" s="476">
        <f t="shared" si="10"/>
        <v>0</v>
      </c>
      <c r="M213" s="121"/>
      <c r="N213" s="121"/>
      <c r="P213" s="224"/>
      <c r="Q213" s="473"/>
      <c r="R213" s="476">
        <f t="shared" si="11"/>
        <v>0</v>
      </c>
      <c r="T213" s="121"/>
      <c r="U213" s="121"/>
    </row>
    <row r="214" spans="2:21" ht="15" customHeight="1" x14ac:dyDescent="0.2">
      <c r="B214" s="224"/>
      <c r="C214" s="473"/>
      <c r="D214" s="476">
        <f t="shared" si="9"/>
        <v>0</v>
      </c>
      <c r="F214" s="121"/>
      <c r="G214" s="121"/>
      <c r="H214" s="213"/>
      <c r="I214" s="224"/>
      <c r="J214" s="473"/>
      <c r="K214" s="476">
        <f t="shared" si="10"/>
        <v>0</v>
      </c>
      <c r="M214" s="121"/>
      <c r="N214" s="121"/>
      <c r="P214" s="224"/>
      <c r="Q214" s="473"/>
      <c r="R214" s="476">
        <f t="shared" si="11"/>
        <v>0</v>
      </c>
      <c r="T214" s="121"/>
      <c r="U214" s="121"/>
    </row>
    <row r="215" spans="2:21" ht="15" customHeight="1" x14ac:dyDescent="0.2">
      <c r="B215" s="224"/>
      <c r="C215" s="473"/>
      <c r="D215" s="476">
        <f t="shared" si="9"/>
        <v>0</v>
      </c>
      <c r="F215" s="121"/>
      <c r="G215" s="121"/>
      <c r="H215" s="213"/>
      <c r="I215" s="224"/>
      <c r="J215" s="473"/>
      <c r="K215" s="476">
        <f t="shared" si="10"/>
        <v>0</v>
      </c>
      <c r="M215" s="121"/>
      <c r="N215" s="121"/>
      <c r="P215" s="224"/>
      <c r="Q215" s="473"/>
      <c r="R215" s="476">
        <f t="shared" si="11"/>
        <v>0</v>
      </c>
      <c r="T215" s="121"/>
      <c r="U215" s="121"/>
    </row>
    <row r="216" spans="2:21" ht="15" customHeight="1" x14ac:dyDescent="0.2">
      <c r="B216" s="224"/>
      <c r="C216" s="473"/>
      <c r="D216" s="476">
        <f t="shared" si="9"/>
        <v>0</v>
      </c>
      <c r="F216" s="121"/>
      <c r="G216" s="121"/>
      <c r="H216" s="213"/>
      <c r="I216" s="224"/>
      <c r="J216" s="473"/>
      <c r="K216" s="476">
        <f t="shared" si="10"/>
        <v>0</v>
      </c>
      <c r="M216" s="121"/>
      <c r="N216" s="121"/>
      <c r="P216" s="224"/>
      <c r="Q216" s="473"/>
      <c r="R216" s="476">
        <f t="shared" si="11"/>
        <v>0</v>
      </c>
      <c r="T216" s="121"/>
      <c r="U216" s="121"/>
    </row>
    <row r="217" spans="2:21" ht="15" customHeight="1" x14ac:dyDescent="0.2">
      <c r="B217" s="224"/>
      <c r="C217" s="473"/>
      <c r="D217" s="476">
        <f t="shared" si="9"/>
        <v>0</v>
      </c>
      <c r="F217" s="121"/>
      <c r="G217" s="121"/>
      <c r="H217" s="213"/>
      <c r="I217" s="224"/>
      <c r="J217" s="473"/>
      <c r="K217" s="476">
        <f t="shared" si="10"/>
        <v>0</v>
      </c>
      <c r="M217" s="121"/>
      <c r="N217" s="121"/>
      <c r="P217" s="224"/>
      <c r="Q217" s="473"/>
      <c r="R217" s="476">
        <f t="shared" si="11"/>
        <v>0</v>
      </c>
      <c r="T217" s="121"/>
      <c r="U217" s="121"/>
    </row>
    <row r="218" spans="2:21" ht="15" customHeight="1" x14ac:dyDescent="0.2">
      <c r="B218" s="224"/>
      <c r="C218" s="473"/>
      <c r="D218" s="476">
        <f t="shared" si="9"/>
        <v>0</v>
      </c>
      <c r="F218" s="121"/>
      <c r="G218" s="121"/>
      <c r="H218" s="213"/>
      <c r="I218" s="224"/>
      <c r="J218" s="473"/>
      <c r="K218" s="476">
        <f t="shared" si="10"/>
        <v>0</v>
      </c>
      <c r="M218" s="121"/>
      <c r="N218" s="121"/>
      <c r="P218" s="224"/>
      <c r="Q218" s="473"/>
      <c r="R218" s="476">
        <f t="shared" si="11"/>
        <v>0</v>
      </c>
      <c r="T218" s="121"/>
      <c r="U218" s="121"/>
    </row>
    <row r="219" spans="2:21" ht="15" customHeight="1" x14ac:dyDescent="0.2">
      <c r="B219" s="224"/>
      <c r="C219" s="473"/>
      <c r="D219" s="476">
        <f t="shared" si="9"/>
        <v>0</v>
      </c>
      <c r="F219" s="121"/>
      <c r="G219" s="121"/>
      <c r="H219" s="213"/>
      <c r="I219" s="224"/>
      <c r="J219" s="473"/>
      <c r="K219" s="476">
        <f t="shared" si="10"/>
        <v>0</v>
      </c>
      <c r="M219" s="121"/>
      <c r="N219" s="121"/>
      <c r="P219" s="224"/>
      <c r="Q219" s="473"/>
      <c r="R219" s="476">
        <f t="shared" si="11"/>
        <v>0</v>
      </c>
      <c r="T219" s="121"/>
      <c r="U219" s="121"/>
    </row>
    <row r="220" spans="2:21" ht="15" customHeight="1" x14ac:dyDescent="0.2">
      <c r="B220" s="224"/>
      <c r="C220" s="473"/>
      <c r="D220" s="476">
        <f t="shared" si="9"/>
        <v>0</v>
      </c>
      <c r="F220" s="121"/>
      <c r="G220" s="121"/>
      <c r="H220" s="213"/>
      <c r="I220" s="224"/>
      <c r="J220" s="473"/>
      <c r="K220" s="476">
        <f t="shared" si="10"/>
        <v>0</v>
      </c>
      <c r="M220" s="121"/>
      <c r="N220" s="121"/>
      <c r="P220" s="224"/>
      <c r="Q220" s="473"/>
      <c r="R220" s="476">
        <f t="shared" si="11"/>
        <v>0</v>
      </c>
      <c r="T220" s="121"/>
      <c r="U220" s="121"/>
    </row>
    <row r="221" spans="2:21" ht="15" customHeight="1" x14ac:dyDescent="0.2">
      <c r="B221" s="224"/>
      <c r="C221" s="473"/>
      <c r="D221" s="476">
        <f t="shared" si="9"/>
        <v>0</v>
      </c>
      <c r="F221" s="121"/>
      <c r="G221" s="121"/>
      <c r="H221" s="213"/>
      <c r="I221" s="224"/>
      <c r="J221" s="473"/>
      <c r="K221" s="476">
        <f t="shared" si="10"/>
        <v>0</v>
      </c>
      <c r="M221" s="121"/>
      <c r="N221" s="121"/>
      <c r="P221" s="224"/>
      <c r="Q221" s="473"/>
      <c r="R221" s="476">
        <f t="shared" si="11"/>
        <v>0</v>
      </c>
      <c r="T221" s="121"/>
      <c r="U221" s="121"/>
    </row>
    <row r="222" spans="2:21" ht="15" customHeight="1" x14ac:dyDescent="0.2">
      <c r="B222" s="224"/>
      <c r="C222" s="473"/>
      <c r="D222" s="476">
        <f t="shared" si="9"/>
        <v>0</v>
      </c>
      <c r="F222" s="121"/>
      <c r="G222" s="121"/>
      <c r="H222" s="213"/>
      <c r="I222" s="224"/>
      <c r="J222" s="473"/>
      <c r="K222" s="476">
        <f t="shared" si="10"/>
        <v>0</v>
      </c>
      <c r="M222" s="121"/>
      <c r="N222" s="121"/>
      <c r="P222" s="224"/>
      <c r="Q222" s="473"/>
      <c r="R222" s="476">
        <f t="shared" si="11"/>
        <v>0</v>
      </c>
      <c r="T222" s="121"/>
      <c r="U222" s="121"/>
    </row>
    <row r="223" spans="2:21" ht="15" customHeight="1" x14ac:dyDescent="0.2">
      <c r="B223" s="224"/>
      <c r="C223" s="473"/>
      <c r="D223" s="476">
        <f t="shared" si="9"/>
        <v>0</v>
      </c>
      <c r="F223" s="121"/>
      <c r="G223" s="121"/>
      <c r="H223" s="213"/>
      <c r="I223" s="224"/>
      <c r="J223" s="473"/>
      <c r="K223" s="476">
        <f t="shared" si="10"/>
        <v>0</v>
      </c>
      <c r="M223" s="121"/>
      <c r="N223" s="121"/>
      <c r="P223" s="224"/>
      <c r="Q223" s="473"/>
      <c r="R223" s="476">
        <f t="shared" si="11"/>
        <v>0</v>
      </c>
      <c r="T223" s="121"/>
      <c r="U223" s="121"/>
    </row>
    <row r="224" spans="2:21" ht="15" customHeight="1" x14ac:dyDescent="0.2">
      <c r="B224" s="224"/>
      <c r="C224" s="473"/>
      <c r="D224" s="476">
        <f t="shared" si="9"/>
        <v>0</v>
      </c>
      <c r="F224" s="121"/>
      <c r="G224" s="121"/>
      <c r="H224" s="213"/>
      <c r="I224" s="224"/>
      <c r="J224" s="473"/>
      <c r="K224" s="476">
        <f t="shared" si="10"/>
        <v>0</v>
      </c>
      <c r="M224" s="121"/>
      <c r="N224" s="121"/>
      <c r="P224" s="224"/>
      <c r="Q224" s="473"/>
      <c r="R224" s="476">
        <f t="shared" si="11"/>
        <v>0</v>
      </c>
      <c r="T224" s="121"/>
      <c r="U224" s="121"/>
    </row>
    <row r="225" spans="2:21" ht="15" customHeight="1" x14ac:dyDescent="0.2">
      <c r="B225" s="224"/>
      <c r="C225" s="473"/>
      <c r="D225" s="476">
        <f t="shared" si="9"/>
        <v>0</v>
      </c>
      <c r="F225" s="121"/>
      <c r="G225" s="121"/>
      <c r="H225" s="213"/>
      <c r="I225" s="224"/>
      <c r="J225" s="473"/>
      <c r="K225" s="476">
        <f t="shared" si="10"/>
        <v>0</v>
      </c>
      <c r="M225" s="121"/>
      <c r="N225" s="121"/>
      <c r="P225" s="224"/>
      <c r="Q225" s="473"/>
      <c r="R225" s="476">
        <f t="shared" si="11"/>
        <v>0</v>
      </c>
      <c r="T225" s="121"/>
      <c r="U225" s="121"/>
    </row>
    <row r="226" spans="2:21" ht="15" customHeight="1" x14ac:dyDescent="0.2">
      <c r="B226" s="224"/>
      <c r="C226" s="473"/>
      <c r="D226" s="476">
        <f t="shared" si="9"/>
        <v>0</v>
      </c>
      <c r="F226" s="121"/>
      <c r="G226" s="121"/>
      <c r="H226" s="213"/>
      <c r="I226" s="224"/>
      <c r="J226" s="473"/>
      <c r="K226" s="476">
        <f t="shared" si="10"/>
        <v>0</v>
      </c>
      <c r="M226" s="121"/>
      <c r="N226" s="121"/>
      <c r="P226" s="224"/>
      <c r="Q226" s="473"/>
      <c r="R226" s="476">
        <f t="shared" si="11"/>
        <v>0</v>
      </c>
      <c r="T226" s="121"/>
      <c r="U226" s="121"/>
    </row>
    <row r="227" spans="2:21" ht="15" customHeight="1" x14ac:dyDescent="0.2">
      <c r="B227" s="224"/>
      <c r="C227" s="473"/>
      <c r="D227" s="476">
        <f t="shared" si="9"/>
        <v>0</v>
      </c>
      <c r="F227" s="121"/>
      <c r="G227" s="121"/>
      <c r="H227" s="213"/>
      <c r="I227" s="224"/>
      <c r="J227" s="473"/>
      <c r="K227" s="476">
        <f t="shared" si="10"/>
        <v>0</v>
      </c>
      <c r="M227" s="121"/>
      <c r="N227" s="121"/>
      <c r="P227" s="224"/>
      <c r="Q227" s="473"/>
      <c r="R227" s="476">
        <f t="shared" si="11"/>
        <v>0</v>
      </c>
      <c r="T227" s="121"/>
      <c r="U227" s="121"/>
    </row>
    <row r="228" spans="2:21" ht="15" customHeight="1" x14ac:dyDescent="0.2">
      <c r="B228" s="224"/>
      <c r="C228" s="473"/>
      <c r="D228" s="476">
        <f t="shared" si="9"/>
        <v>0</v>
      </c>
      <c r="F228" s="121"/>
      <c r="G228" s="121"/>
      <c r="H228" s="213"/>
      <c r="I228" s="224"/>
      <c r="J228" s="473"/>
      <c r="K228" s="476">
        <f t="shared" si="10"/>
        <v>0</v>
      </c>
      <c r="M228" s="121"/>
      <c r="N228" s="121"/>
      <c r="P228" s="224"/>
      <c r="Q228" s="473"/>
      <c r="R228" s="476">
        <f t="shared" si="11"/>
        <v>0</v>
      </c>
      <c r="T228" s="121"/>
      <c r="U228" s="121"/>
    </row>
    <row r="229" spans="2:21" ht="15" customHeight="1" x14ac:dyDescent="0.2">
      <c r="B229" s="224"/>
      <c r="C229" s="473"/>
      <c r="D229" s="476">
        <f t="shared" si="9"/>
        <v>0</v>
      </c>
      <c r="F229" s="121"/>
      <c r="G229" s="121"/>
      <c r="H229" s="213"/>
      <c r="I229" s="224"/>
      <c r="J229" s="473"/>
      <c r="K229" s="476">
        <f t="shared" si="10"/>
        <v>0</v>
      </c>
      <c r="M229" s="121"/>
      <c r="N229" s="121"/>
      <c r="P229" s="224"/>
      <c r="Q229" s="473"/>
      <c r="R229" s="476">
        <f t="shared" si="11"/>
        <v>0</v>
      </c>
      <c r="T229" s="121"/>
      <c r="U229" s="121"/>
    </row>
    <row r="230" spans="2:21" ht="15" customHeight="1" x14ac:dyDescent="0.2">
      <c r="B230" s="224"/>
      <c r="C230" s="473"/>
      <c r="D230" s="476">
        <f t="shared" si="9"/>
        <v>0</v>
      </c>
      <c r="F230" s="121"/>
      <c r="G230" s="121"/>
      <c r="H230" s="213"/>
      <c r="I230" s="224"/>
      <c r="J230" s="473"/>
      <c r="K230" s="476">
        <f t="shared" si="10"/>
        <v>0</v>
      </c>
      <c r="M230" s="121"/>
      <c r="N230" s="121"/>
      <c r="P230" s="224"/>
      <c r="Q230" s="473"/>
      <c r="R230" s="476">
        <f t="shared" si="11"/>
        <v>0</v>
      </c>
      <c r="T230" s="121"/>
      <c r="U230" s="121"/>
    </row>
    <row r="231" spans="2:21" ht="15" customHeight="1" x14ac:dyDescent="0.2">
      <c r="B231" s="224"/>
      <c r="C231" s="473"/>
      <c r="D231" s="476">
        <f t="shared" si="9"/>
        <v>0</v>
      </c>
      <c r="F231" s="121"/>
      <c r="G231" s="121"/>
      <c r="H231" s="213"/>
      <c r="I231" s="224"/>
      <c r="J231" s="473"/>
      <c r="K231" s="476">
        <f t="shared" si="10"/>
        <v>0</v>
      </c>
      <c r="M231" s="121"/>
      <c r="N231" s="121"/>
      <c r="P231" s="224"/>
      <c r="Q231" s="473"/>
      <c r="R231" s="476">
        <f t="shared" si="11"/>
        <v>0</v>
      </c>
      <c r="T231" s="121"/>
      <c r="U231" s="121"/>
    </row>
    <row r="232" spans="2:21" ht="15" customHeight="1" x14ac:dyDescent="0.2">
      <c r="B232" s="224"/>
      <c r="C232" s="473"/>
      <c r="D232" s="476">
        <f t="shared" si="9"/>
        <v>0</v>
      </c>
      <c r="F232" s="121"/>
      <c r="G232" s="121"/>
      <c r="H232" s="213"/>
      <c r="I232" s="224"/>
      <c r="J232" s="473"/>
      <c r="K232" s="476">
        <f t="shared" si="10"/>
        <v>0</v>
      </c>
      <c r="M232" s="121"/>
      <c r="N232" s="121"/>
      <c r="P232" s="224"/>
      <c r="Q232" s="473"/>
      <c r="R232" s="476">
        <f t="shared" si="11"/>
        <v>0</v>
      </c>
      <c r="T232" s="121"/>
      <c r="U232" s="121"/>
    </row>
    <row r="233" spans="2:21" ht="15" customHeight="1" x14ac:dyDescent="0.2">
      <c r="B233" s="224"/>
      <c r="C233" s="473"/>
      <c r="D233" s="476">
        <f t="shared" si="9"/>
        <v>0</v>
      </c>
      <c r="F233" s="121"/>
      <c r="G233" s="121"/>
      <c r="H233" s="213"/>
      <c r="I233" s="224"/>
      <c r="J233" s="473"/>
      <c r="K233" s="476">
        <f t="shared" si="10"/>
        <v>0</v>
      </c>
      <c r="M233" s="121"/>
      <c r="N233" s="121"/>
      <c r="P233" s="224"/>
      <c r="Q233" s="473"/>
      <c r="R233" s="476">
        <f t="shared" si="11"/>
        <v>0</v>
      </c>
      <c r="T233" s="121"/>
      <c r="U233" s="121"/>
    </row>
    <row r="234" spans="2:21" ht="15" customHeight="1" x14ac:dyDescent="0.2">
      <c r="B234" s="224"/>
      <c r="C234" s="473"/>
      <c r="D234" s="476">
        <f t="shared" si="9"/>
        <v>0</v>
      </c>
      <c r="F234" s="121"/>
      <c r="G234" s="121"/>
      <c r="H234" s="213"/>
      <c r="I234" s="224"/>
      <c r="J234" s="473"/>
      <c r="K234" s="476">
        <f t="shared" si="10"/>
        <v>0</v>
      </c>
      <c r="M234" s="121"/>
      <c r="N234" s="121"/>
      <c r="P234" s="224"/>
      <c r="Q234" s="473"/>
      <c r="R234" s="476">
        <f t="shared" si="11"/>
        <v>0</v>
      </c>
      <c r="T234" s="121"/>
      <c r="U234" s="121"/>
    </row>
    <row r="235" spans="2:21" ht="15" customHeight="1" x14ac:dyDescent="0.2">
      <c r="B235" s="224"/>
      <c r="C235" s="473"/>
      <c r="D235" s="476">
        <f t="shared" si="9"/>
        <v>0</v>
      </c>
      <c r="F235" s="121"/>
      <c r="G235" s="121"/>
      <c r="H235" s="213"/>
      <c r="I235" s="224"/>
      <c r="J235" s="473"/>
      <c r="K235" s="476">
        <f t="shared" si="10"/>
        <v>0</v>
      </c>
      <c r="M235" s="121"/>
      <c r="N235" s="121"/>
      <c r="P235" s="224"/>
      <c r="Q235" s="473"/>
      <c r="R235" s="476">
        <f t="shared" si="11"/>
        <v>0</v>
      </c>
      <c r="T235" s="121"/>
      <c r="U235" s="121"/>
    </row>
    <row r="236" spans="2:21" ht="15" customHeight="1" x14ac:dyDescent="0.2">
      <c r="B236" s="224"/>
      <c r="C236" s="473"/>
      <c r="D236" s="476">
        <f t="shared" si="9"/>
        <v>0</v>
      </c>
      <c r="F236" s="121"/>
      <c r="G236" s="121"/>
      <c r="H236" s="213"/>
      <c r="I236" s="224"/>
      <c r="J236" s="473"/>
      <c r="K236" s="476">
        <f t="shared" si="10"/>
        <v>0</v>
      </c>
      <c r="M236" s="121"/>
      <c r="N236" s="121"/>
      <c r="P236" s="224"/>
      <c r="Q236" s="473"/>
      <c r="R236" s="476">
        <f t="shared" si="11"/>
        <v>0</v>
      </c>
      <c r="T236" s="121"/>
      <c r="U236" s="121"/>
    </row>
    <row r="237" spans="2:21" ht="15" customHeight="1" x14ac:dyDescent="0.2">
      <c r="B237" s="224"/>
      <c r="C237" s="473"/>
      <c r="D237" s="476">
        <f t="shared" si="9"/>
        <v>0</v>
      </c>
      <c r="F237" s="121"/>
      <c r="G237" s="121"/>
      <c r="H237" s="213"/>
      <c r="I237" s="224"/>
      <c r="J237" s="473"/>
      <c r="K237" s="476">
        <f t="shared" si="10"/>
        <v>0</v>
      </c>
      <c r="M237" s="121"/>
      <c r="N237" s="121"/>
      <c r="P237" s="224"/>
      <c r="Q237" s="473"/>
      <c r="R237" s="476">
        <f t="shared" si="11"/>
        <v>0</v>
      </c>
      <c r="T237" s="121"/>
      <c r="U237" s="121"/>
    </row>
    <row r="238" spans="2:21" ht="15" customHeight="1" x14ac:dyDescent="0.2">
      <c r="B238" s="224"/>
      <c r="C238" s="473"/>
      <c r="D238" s="476">
        <f t="shared" si="9"/>
        <v>0</v>
      </c>
      <c r="F238" s="121"/>
      <c r="G238" s="121"/>
      <c r="H238" s="213"/>
      <c r="I238" s="224"/>
      <c r="J238" s="473"/>
      <c r="K238" s="476">
        <f t="shared" si="10"/>
        <v>0</v>
      </c>
      <c r="M238" s="121"/>
      <c r="N238" s="121"/>
      <c r="P238" s="224"/>
      <c r="Q238" s="473"/>
      <c r="R238" s="476">
        <f t="shared" si="11"/>
        <v>0</v>
      </c>
      <c r="T238" s="121"/>
      <c r="U238" s="121"/>
    </row>
    <row r="239" spans="2:21" ht="15" customHeight="1" x14ac:dyDescent="0.2">
      <c r="B239" s="224"/>
      <c r="C239" s="473"/>
      <c r="D239" s="476">
        <f t="shared" si="9"/>
        <v>0</v>
      </c>
      <c r="F239" s="121"/>
      <c r="G239" s="121"/>
      <c r="H239" s="213"/>
      <c r="I239" s="224"/>
      <c r="J239" s="473"/>
      <c r="K239" s="476">
        <f t="shared" si="10"/>
        <v>0</v>
      </c>
      <c r="M239" s="121"/>
      <c r="N239" s="121"/>
      <c r="P239" s="224"/>
      <c r="Q239" s="473"/>
      <c r="R239" s="476">
        <f t="shared" si="11"/>
        <v>0</v>
      </c>
      <c r="T239" s="121"/>
      <c r="U239" s="121"/>
    </row>
    <row r="240" spans="2:21" ht="15" customHeight="1" x14ac:dyDescent="0.2">
      <c r="B240" s="224"/>
      <c r="C240" s="473"/>
      <c r="D240" s="476">
        <f t="shared" si="9"/>
        <v>0</v>
      </c>
      <c r="F240" s="121"/>
      <c r="G240" s="121"/>
      <c r="H240" s="213"/>
      <c r="I240" s="224"/>
      <c r="J240" s="473"/>
      <c r="K240" s="476">
        <f t="shared" si="10"/>
        <v>0</v>
      </c>
      <c r="M240" s="121"/>
      <c r="N240" s="121"/>
      <c r="P240" s="224"/>
      <c r="Q240" s="473"/>
      <c r="R240" s="476">
        <f t="shared" si="11"/>
        <v>0</v>
      </c>
      <c r="T240" s="121"/>
      <c r="U240" s="121"/>
    </row>
    <row r="241" spans="2:21" ht="15" customHeight="1" x14ac:dyDescent="0.2">
      <c r="B241" s="224"/>
      <c r="C241" s="473"/>
      <c r="D241" s="476">
        <f t="shared" si="9"/>
        <v>0</v>
      </c>
      <c r="F241" s="121"/>
      <c r="G241" s="121"/>
      <c r="H241" s="213"/>
      <c r="I241" s="224"/>
      <c r="J241" s="473"/>
      <c r="K241" s="476">
        <f t="shared" si="10"/>
        <v>0</v>
      </c>
      <c r="M241" s="121"/>
      <c r="N241" s="121"/>
      <c r="P241" s="224"/>
      <c r="Q241" s="473"/>
      <c r="R241" s="476">
        <f t="shared" si="11"/>
        <v>0</v>
      </c>
      <c r="T241" s="121"/>
      <c r="U241" s="121"/>
    </row>
    <row r="242" spans="2:21" ht="15" customHeight="1" x14ac:dyDescent="0.2">
      <c r="B242" s="224"/>
      <c r="C242" s="473"/>
      <c r="D242" s="476">
        <f t="shared" si="9"/>
        <v>0</v>
      </c>
      <c r="F242" s="121"/>
      <c r="G242" s="121"/>
      <c r="H242" s="213"/>
      <c r="I242" s="224"/>
      <c r="J242" s="473"/>
      <c r="K242" s="476">
        <f t="shared" si="10"/>
        <v>0</v>
      </c>
      <c r="M242" s="121"/>
      <c r="N242" s="121"/>
      <c r="P242" s="224"/>
      <c r="Q242" s="473"/>
      <c r="R242" s="476">
        <f t="shared" si="11"/>
        <v>0</v>
      </c>
      <c r="T242" s="121"/>
      <c r="U242" s="121"/>
    </row>
    <row r="243" spans="2:21" ht="15" customHeight="1" x14ac:dyDescent="0.2">
      <c r="B243" s="224"/>
      <c r="C243" s="473"/>
      <c r="D243" s="476">
        <f t="shared" si="9"/>
        <v>0</v>
      </c>
      <c r="F243" s="121"/>
      <c r="G243" s="121"/>
      <c r="H243" s="213"/>
      <c r="I243" s="224"/>
      <c r="J243" s="473"/>
      <c r="K243" s="476">
        <f t="shared" si="10"/>
        <v>0</v>
      </c>
      <c r="M243" s="121"/>
      <c r="N243" s="121"/>
      <c r="P243" s="224"/>
      <c r="Q243" s="473"/>
      <c r="R243" s="476">
        <f t="shared" si="11"/>
        <v>0</v>
      </c>
      <c r="T243" s="121"/>
      <c r="U243" s="121"/>
    </row>
    <row r="244" spans="2:21" ht="15" customHeight="1" x14ac:dyDescent="0.2">
      <c r="B244" s="224"/>
      <c r="C244" s="473"/>
      <c r="D244" s="476">
        <f t="shared" si="9"/>
        <v>0</v>
      </c>
      <c r="F244" s="121"/>
      <c r="G244" s="121"/>
      <c r="H244" s="213"/>
      <c r="I244" s="224"/>
      <c r="J244" s="473"/>
      <c r="K244" s="476">
        <f t="shared" si="10"/>
        <v>0</v>
      </c>
      <c r="M244" s="121"/>
      <c r="N244" s="121"/>
      <c r="P244" s="224"/>
      <c r="Q244" s="473"/>
      <c r="R244" s="476">
        <f t="shared" si="11"/>
        <v>0</v>
      </c>
      <c r="T244" s="121"/>
      <c r="U244" s="121"/>
    </row>
    <row r="245" spans="2:21" ht="15" customHeight="1" x14ac:dyDescent="0.2">
      <c r="B245" s="224"/>
      <c r="C245" s="473"/>
      <c r="D245" s="476">
        <f t="shared" si="9"/>
        <v>0</v>
      </c>
      <c r="F245" s="121"/>
      <c r="G245" s="121"/>
      <c r="H245" s="213"/>
      <c r="I245" s="224"/>
      <c r="J245" s="473"/>
      <c r="K245" s="476">
        <f t="shared" si="10"/>
        <v>0</v>
      </c>
      <c r="M245" s="121"/>
      <c r="N245" s="121"/>
      <c r="P245" s="224"/>
      <c r="Q245" s="473"/>
      <c r="R245" s="476">
        <f t="shared" si="11"/>
        <v>0</v>
      </c>
      <c r="T245" s="121"/>
      <c r="U245" s="121"/>
    </row>
    <row r="246" spans="2:21" ht="15" customHeight="1" x14ac:dyDescent="0.2">
      <c r="B246" s="224"/>
      <c r="C246" s="473"/>
      <c r="D246" s="476">
        <f t="shared" si="9"/>
        <v>0</v>
      </c>
      <c r="F246" s="121"/>
      <c r="G246" s="121"/>
      <c r="H246" s="213"/>
      <c r="I246" s="224"/>
      <c r="J246" s="473"/>
      <c r="K246" s="476">
        <f t="shared" si="10"/>
        <v>0</v>
      </c>
      <c r="M246" s="121"/>
      <c r="N246" s="121"/>
      <c r="P246" s="224"/>
      <c r="Q246" s="473"/>
      <c r="R246" s="476">
        <f t="shared" si="11"/>
        <v>0</v>
      </c>
      <c r="T246" s="121"/>
      <c r="U246" s="121"/>
    </row>
    <row r="247" spans="2:21" ht="15" customHeight="1" x14ac:dyDescent="0.2">
      <c r="B247" s="224"/>
      <c r="C247" s="473"/>
      <c r="D247" s="476">
        <f t="shared" si="9"/>
        <v>0</v>
      </c>
      <c r="F247" s="121"/>
      <c r="G247" s="121"/>
      <c r="H247" s="213"/>
      <c r="I247" s="224"/>
      <c r="J247" s="473"/>
      <c r="K247" s="476">
        <f t="shared" si="10"/>
        <v>0</v>
      </c>
      <c r="M247" s="121"/>
      <c r="N247" s="121"/>
      <c r="P247" s="224"/>
      <c r="Q247" s="473"/>
      <c r="R247" s="476">
        <f t="shared" si="11"/>
        <v>0</v>
      </c>
      <c r="T247" s="121"/>
      <c r="U247" s="121"/>
    </row>
    <row r="248" spans="2:21" ht="15" customHeight="1" x14ac:dyDescent="0.2">
      <c r="B248" s="224"/>
      <c r="C248" s="473"/>
      <c r="D248" s="476">
        <f t="shared" si="9"/>
        <v>0</v>
      </c>
      <c r="F248" s="121"/>
      <c r="G248" s="121"/>
      <c r="H248" s="213"/>
      <c r="I248" s="224"/>
      <c r="J248" s="473"/>
      <c r="K248" s="476">
        <f t="shared" si="10"/>
        <v>0</v>
      </c>
      <c r="M248" s="121"/>
      <c r="N248" s="121"/>
      <c r="P248" s="224"/>
      <c r="Q248" s="473"/>
      <c r="R248" s="476">
        <f t="shared" si="11"/>
        <v>0</v>
      </c>
      <c r="T248" s="121"/>
      <c r="U248" s="121"/>
    </row>
    <row r="249" spans="2:21" ht="15" customHeight="1" x14ac:dyDescent="0.2">
      <c r="B249" s="224"/>
      <c r="C249" s="473"/>
      <c r="D249" s="476">
        <f t="shared" si="9"/>
        <v>0</v>
      </c>
      <c r="F249" s="121"/>
      <c r="G249" s="121"/>
      <c r="H249" s="213"/>
      <c r="I249" s="224"/>
      <c r="J249" s="473"/>
      <c r="K249" s="476">
        <f t="shared" si="10"/>
        <v>0</v>
      </c>
      <c r="M249" s="121"/>
      <c r="N249" s="121"/>
      <c r="P249" s="224"/>
      <c r="Q249" s="473"/>
      <c r="R249" s="476">
        <f t="shared" si="11"/>
        <v>0</v>
      </c>
      <c r="T249" s="121"/>
      <c r="U249" s="121"/>
    </row>
    <row r="250" spans="2:21" ht="15" customHeight="1" x14ac:dyDescent="0.2">
      <c r="B250" s="224"/>
      <c r="C250" s="473"/>
      <c r="D250" s="476">
        <f t="shared" si="9"/>
        <v>0</v>
      </c>
      <c r="F250" s="121"/>
      <c r="G250" s="121"/>
      <c r="H250" s="213"/>
      <c r="I250" s="224"/>
      <c r="J250" s="473"/>
      <c r="K250" s="476">
        <f t="shared" si="10"/>
        <v>0</v>
      </c>
      <c r="M250" s="121"/>
      <c r="N250" s="121"/>
      <c r="P250" s="224"/>
      <c r="Q250" s="473"/>
      <c r="R250" s="476">
        <f t="shared" si="11"/>
        <v>0</v>
      </c>
      <c r="T250" s="121"/>
      <c r="U250" s="121"/>
    </row>
    <row r="251" spans="2:21" ht="15" customHeight="1" x14ac:dyDescent="0.2">
      <c r="B251" s="224"/>
      <c r="C251" s="473"/>
      <c r="D251" s="476">
        <f t="shared" si="9"/>
        <v>0</v>
      </c>
      <c r="F251" s="121"/>
      <c r="G251" s="121"/>
      <c r="H251" s="213"/>
      <c r="I251" s="224"/>
      <c r="J251" s="473"/>
      <c r="K251" s="476">
        <f t="shared" si="10"/>
        <v>0</v>
      </c>
      <c r="M251" s="121"/>
      <c r="N251" s="121"/>
      <c r="P251" s="224"/>
      <c r="Q251" s="473"/>
      <c r="R251" s="476">
        <f t="shared" si="11"/>
        <v>0</v>
      </c>
      <c r="T251" s="121"/>
      <c r="U251" s="121"/>
    </row>
    <row r="252" spans="2:21" ht="15" customHeight="1" x14ac:dyDescent="0.2">
      <c r="B252" s="224"/>
      <c r="C252" s="473"/>
      <c r="D252" s="476">
        <f t="shared" si="9"/>
        <v>0</v>
      </c>
      <c r="F252" s="121"/>
      <c r="G252" s="121"/>
      <c r="H252" s="213"/>
      <c r="I252" s="224"/>
      <c r="J252" s="473"/>
      <c r="K252" s="476">
        <f t="shared" si="10"/>
        <v>0</v>
      </c>
      <c r="M252" s="121"/>
      <c r="N252" s="121"/>
      <c r="P252" s="224"/>
      <c r="Q252" s="473"/>
      <c r="R252" s="476">
        <f t="shared" si="11"/>
        <v>0</v>
      </c>
      <c r="T252" s="121"/>
      <c r="U252" s="121"/>
    </row>
    <row r="253" spans="2:21" ht="15" customHeight="1" x14ac:dyDescent="0.2">
      <c r="B253" s="224"/>
      <c r="C253" s="473"/>
      <c r="D253" s="476">
        <f t="shared" si="9"/>
        <v>0</v>
      </c>
      <c r="F253" s="121"/>
      <c r="G253" s="121"/>
      <c r="H253" s="213"/>
      <c r="I253" s="224"/>
      <c r="J253" s="473"/>
      <c r="K253" s="476">
        <f t="shared" si="10"/>
        <v>0</v>
      </c>
      <c r="M253" s="121"/>
      <c r="N253" s="121"/>
      <c r="P253" s="224"/>
      <c r="Q253" s="473"/>
      <c r="R253" s="476">
        <f t="shared" si="11"/>
        <v>0</v>
      </c>
      <c r="T253" s="121"/>
      <c r="U253" s="121"/>
    </row>
    <row r="254" spans="2:21" ht="15" customHeight="1" x14ac:dyDescent="0.2">
      <c r="B254" s="224"/>
      <c r="C254" s="473"/>
      <c r="D254" s="476">
        <f t="shared" si="9"/>
        <v>0</v>
      </c>
      <c r="F254" s="121"/>
      <c r="G254" s="121"/>
      <c r="H254" s="213"/>
      <c r="I254" s="224"/>
      <c r="J254" s="473"/>
      <c r="K254" s="476">
        <f t="shared" si="10"/>
        <v>0</v>
      </c>
      <c r="M254" s="121"/>
      <c r="N254" s="121"/>
      <c r="P254" s="224"/>
      <c r="Q254" s="473"/>
      <c r="R254" s="476">
        <f t="shared" si="11"/>
        <v>0</v>
      </c>
      <c r="T254" s="121"/>
      <c r="U254" s="121"/>
    </row>
    <row r="255" spans="2:21" ht="15" customHeight="1" x14ac:dyDescent="0.2">
      <c r="B255" s="224"/>
      <c r="C255" s="473"/>
      <c r="D255" s="476">
        <f t="shared" si="9"/>
        <v>0</v>
      </c>
      <c r="F255" s="121"/>
      <c r="G255" s="121"/>
      <c r="H255" s="213"/>
      <c r="I255" s="224"/>
      <c r="J255" s="473"/>
      <c r="K255" s="476">
        <f t="shared" si="10"/>
        <v>0</v>
      </c>
      <c r="M255" s="121"/>
      <c r="N255" s="121"/>
      <c r="P255" s="224"/>
      <c r="Q255" s="473"/>
      <c r="R255" s="476">
        <f t="shared" si="11"/>
        <v>0</v>
      </c>
      <c r="T255" s="121"/>
      <c r="U255" s="121"/>
    </row>
    <row r="256" spans="2:21" ht="15" customHeight="1" x14ac:dyDescent="0.2">
      <c r="B256" s="224"/>
      <c r="C256" s="473"/>
      <c r="D256" s="476">
        <f t="shared" si="9"/>
        <v>0</v>
      </c>
      <c r="F256" s="121"/>
      <c r="G256" s="121"/>
      <c r="H256" s="213"/>
      <c r="I256" s="224"/>
      <c r="J256" s="473"/>
      <c r="K256" s="476">
        <f t="shared" si="10"/>
        <v>0</v>
      </c>
      <c r="M256" s="121"/>
      <c r="N256" s="121"/>
      <c r="P256" s="224"/>
      <c r="Q256" s="473"/>
      <c r="R256" s="476">
        <f t="shared" si="11"/>
        <v>0</v>
      </c>
      <c r="T256" s="121"/>
      <c r="U256" s="121"/>
    </row>
    <row r="257" spans="2:21" ht="15" customHeight="1" x14ac:dyDescent="0.2">
      <c r="B257" s="224"/>
      <c r="C257" s="473"/>
      <c r="D257" s="476">
        <f t="shared" si="9"/>
        <v>0</v>
      </c>
      <c r="F257" s="121"/>
      <c r="G257" s="121"/>
      <c r="H257" s="213"/>
      <c r="I257" s="224"/>
      <c r="J257" s="473"/>
      <c r="K257" s="476">
        <f t="shared" si="10"/>
        <v>0</v>
      </c>
      <c r="M257" s="121"/>
      <c r="N257" s="121"/>
      <c r="P257" s="224"/>
      <c r="Q257" s="473"/>
      <c r="R257" s="476">
        <f t="shared" si="11"/>
        <v>0</v>
      </c>
      <c r="T257" s="121"/>
      <c r="U257" s="121"/>
    </row>
    <row r="258" spans="2:21" ht="15" customHeight="1" x14ac:dyDescent="0.2">
      <c r="B258" s="224"/>
      <c r="C258" s="473"/>
      <c r="D258" s="476">
        <f t="shared" si="9"/>
        <v>0</v>
      </c>
      <c r="F258" s="121"/>
      <c r="G258" s="121"/>
      <c r="H258" s="213"/>
      <c r="I258" s="224"/>
      <c r="J258" s="473"/>
      <c r="K258" s="476">
        <f t="shared" si="10"/>
        <v>0</v>
      </c>
      <c r="M258" s="121"/>
      <c r="N258" s="121"/>
      <c r="P258" s="224"/>
      <c r="Q258" s="473"/>
      <c r="R258" s="476">
        <f t="shared" si="11"/>
        <v>0</v>
      </c>
      <c r="T258" s="121"/>
      <c r="U258" s="121"/>
    </row>
    <row r="259" spans="2:21" ht="15" customHeight="1" x14ac:dyDescent="0.2">
      <c r="B259" s="224"/>
      <c r="C259" s="473"/>
      <c r="D259" s="476">
        <f t="shared" si="9"/>
        <v>0</v>
      </c>
      <c r="F259" s="121"/>
      <c r="G259" s="121"/>
      <c r="H259" s="213"/>
      <c r="I259" s="224"/>
      <c r="J259" s="473"/>
      <c r="K259" s="476">
        <f t="shared" si="10"/>
        <v>0</v>
      </c>
      <c r="M259" s="121"/>
      <c r="N259" s="121"/>
      <c r="P259" s="224"/>
      <c r="Q259" s="473"/>
      <c r="R259" s="476">
        <f t="shared" si="11"/>
        <v>0</v>
      </c>
      <c r="T259" s="121"/>
      <c r="U259" s="121"/>
    </row>
    <row r="260" spans="2:21" ht="15" customHeight="1" x14ac:dyDescent="0.2">
      <c r="B260" s="224"/>
      <c r="C260" s="473"/>
      <c r="D260" s="476">
        <f t="shared" si="9"/>
        <v>0</v>
      </c>
      <c r="F260" s="121"/>
      <c r="G260" s="121"/>
      <c r="H260" s="213"/>
      <c r="I260" s="224"/>
      <c r="J260" s="473"/>
      <c r="K260" s="476">
        <f t="shared" si="10"/>
        <v>0</v>
      </c>
      <c r="M260" s="121"/>
      <c r="N260" s="121"/>
      <c r="P260" s="224"/>
      <c r="Q260" s="473"/>
      <c r="R260" s="476">
        <f t="shared" si="11"/>
        <v>0</v>
      </c>
      <c r="T260" s="121"/>
      <c r="U260" s="121"/>
    </row>
    <row r="261" spans="2:21" ht="15" customHeight="1" x14ac:dyDescent="0.2">
      <c r="B261" s="224"/>
      <c r="C261" s="473"/>
      <c r="D261" s="476">
        <f t="shared" si="9"/>
        <v>0</v>
      </c>
      <c r="F261" s="121"/>
      <c r="G261" s="121"/>
      <c r="H261" s="213"/>
      <c r="I261" s="224"/>
      <c r="J261" s="473"/>
      <c r="K261" s="476">
        <f t="shared" si="10"/>
        <v>0</v>
      </c>
      <c r="M261" s="121"/>
      <c r="N261" s="121"/>
      <c r="P261" s="224"/>
      <c r="Q261" s="473"/>
      <c r="R261" s="476">
        <f t="shared" si="11"/>
        <v>0</v>
      </c>
      <c r="T261" s="121"/>
      <c r="U261" s="121"/>
    </row>
    <row r="262" spans="2:21" ht="15" customHeight="1" x14ac:dyDescent="0.2">
      <c r="B262" s="224"/>
      <c r="C262" s="473"/>
      <c r="D262" s="476">
        <f t="shared" si="9"/>
        <v>0</v>
      </c>
      <c r="F262" s="121"/>
      <c r="G262" s="121"/>
      <c r="H262" s="213"/>
      <c r="I262" s="224"/>
      <c r="J262" s="473"/>
      <c r="K262" s="476">
        <f t="shared" si="10"/>
        <v>0</v>
      </c>
      <c r="M262" s="121"/>
      <c r="N262" s="121"/>
      <c r="P262" s="224"/>
      <c r="Q262" s="473"/>
      <c r="R262" s="476">
        <f t="shared" si="11"/>
        <v>0</v>
      </c>
      <c r="T262" s="121"/>
      <c r="U262" s="121"/>
    </row>
    <row r="263" spans="2:21" ht="15" customHeight="1" x14ac:dyDescent="0.2">
      <c r="B263" s="224"/>
      <c r="C263" s="473"/>
      <c r="D263" s="476">
        <f t="shared" si="9"/>
        <v>0</v>
      </c>
      <c r="F263" s="121"/>
      <c r="G263" s="121"/>
      <c r="H263" s="213"/>
      <c r="I263" s="224"/>
      <c r="J263" s="473"/>
      <c r="K263" s="476">
        <f t="shared" si="10"/>
        <v>0</v>
      </c>
      <c r="M263" s="121"/>
      <c r="N263" s="121"/>
      <c r="P263" s="224"/>
      <c r="Q263" s="473"/>
      <c r="R263" s="476">
        <f t="shared" si="11"/>
        <v>0</v>
      </c>
      <c r="T263" s="121"/>
      <c r="U263" s="121"/>
    </row>
    <row r="264" spans="2:21" ht="15" customHeight="1" x14ac:dyDescent="0.2">
      <c r="B264" s="224"/>
      <c r="C264" s="473"/>
      <c r="D264" s="476">
        <f t="shared" si="9"/>
        <v>0</v>
      </c>
      <c r="F264" s="121"/>
      <c r="G264" s="121"/>
      <c r="H264" s="213"/>
      <c r="I264" s="224"/>
      <c r="J264" s="473"/>
      <c r="K264" s="476">
        <f t="shared" si="10"/>
        <v>0</v>
      </c>
      <c r="M264" s="121"/>
      <c r="N264" s="121"/>
      <c r="P264" s="224"/>
      <c r="Q264" s="473"/>
      <c r="R264" s="476">
        <f t="shared" si="11"/>
        <v>0</v>
      </c>
      <c r="T264" s="121"/>
      <c r="U264" s="121"/>
    </row>
    <row r="265" spans="2:21" ht="15" customHeight="1" x14ac:dyDescent="0.2">
      <c r="B265" s="224"/>
      <c r="C265" s="473"/>
      <c r="D265" s="476">
        <f t="shared" si="9"/>
        <v>0</v>
      </c>
      <c r="F265" s="121"/>
      <c r="G265" s="121"/>
      <c r="H265" s="213"/>
      <c r="I265" s="224"/>
      <c r="J265" s="473"/>
      <c r="K265" s="476">
        <f t="shared" si="10"/>
        <v>0</v>
      </c>
      <c r="M265" s="121"/>
      <c r="N265" s="121"/>
      <c r="P265" s="224"/>
      <c r="Q265" s="473"/>
      <c r="R265" s="476">
        <f t="shared" si="11"/>
        <v>0</v>
      </c>
      <c r="T265" s="121"/>
      <c r="U265" s="121"/>
    </row>
    <row r="266" spans="2:21" ht="15" customHeight="1" x14ac:dyDescent="0.2">
      <c r="B266" s="224"/>
      <c r="C266" s="473"/>
      <c r="D266" s="476">
        <f t="shared" si="9"/>
        <v>0</v>
      </c>
      <c r="F266" s="121"/>
      <c r="G266" s="121"/>
      <c r="H266" s="213"/>
      <c r="I266" s="224"/>
      <c r="J266" s="473"/>
      <c r="K266" s="476">
        <f t="shared" si="10"/>
        <v>0</v>
      </c>
      <c r="M266" s="121"/>
      <c r="N266" s="121"/>
      <c r="P266" s="224"/>
      <c r="Q266" s="473"/>
      <c r="R266" s="476">
        <f t="shared" si="11"/>
        <v>0</v>
      </c>
      <c r="T266" s="121"/>
      <c r="U266" s="121"/>
    </row>
    <row r="267" spans="2:21" ht="15" customHeight="1" x14ac:dyDescent="0.2">
      <c r="B267" s="224"/>
      <c r="C267" s="473"/>
      <c r="D267" s="476">
        <f t="shared" si="9"/>
        <v>0</v>
      </c>
      <c r="F267" s="121"/>
      <c r="G267" s="121"/>
      <c r="H267" s="213"/>
      <c r="I267" s="224"/>
      <c r="J267" s="473"/>
      <c r="K267" s="476">
        <f t="shared" si="10"/>
        <v>0</v>
      </c>
      <c r="M267" s="121"/>
      <c r="N267" s="121"/>
      <c r="P267" s="224"/>
      <c r="Q267" s="473"/>
      <c r="R267" s="476">
        <f t="shared" si="11"/>
        <v>0</v>
      </c>
      <c r="T267" s="121"/>
      <c r="U267" s="121"/>
    </row>
    <row r="268" spans="2:21" ht="15" customHeight="1" x14ac:dyDescent="0.2">
      <c r="B268" s="224"/>
      <c r="C268" s="473"/>
      <c r="D268" s="476">
        <f t="shared" si="9"/>
        <v>0</v>
      </c>
      <c r="F268" s="121"/>
      <c r="G268" s="121"/>
      <c r="H268" s="213"/>
      <c r="I268" s="224"/>
      <c r="J268" s="473"/>
      <c r="K268" s="476">
        <f t="shared" si="10"/>
        <v>0</v>
      </c>
      <c r="M268" s="121"/>
      <c r="N268" s="121"/>
      <c r="P268" s="224"/>
      <c r="Q268" s="473"/>
      <c r="R268" s="476">
        <f t="shared" si="11"/>
        <v>0</v>
      </c>
      <c r="T268" s="121"/>
      <c r="U268" s="121"/>
    </row>
    <row r="269" spans="2:21" ht="15" customHeight="1" x14ac:dyDescent="0.2">
      <c r="B269" s="224"/>
      <c r="C269" s="473"/>
      <c r="D269" s="476">
        <f t="shared" si="9"/>
        <v>0</v>
      </c>
      <c r="F269" s="121"/>
      <c r="G269" s="121"/>
      <c r="H269" s="213"/>
      <c r="I269" s="224"/>
      <c r="J269" s="473"/>
      <c r="K269" s="476">
        <f t="shared" si="10"/>
        <v>0</v>
      </c>
      <c r="M269" s="121"/>
      <c r="N269" s="121"/>
      <c r="P269" s="224"/>
      <c r="Q269" s="473"/>
      <c r="R269" s="476">
        <f t="shared" si="11"/>
        <v>0</v>
      </c>
      <c r="T269" s="121"/>
      <c r="U269" s="121"/>
    </row>
    <row r="270" spans="2:21" ht="15" customHeight="1" x14ac:dyDescent="0.2">
      <c r="B270" s="224"/>
      <c r="C270" s="473"/>
      <c r="D270" s="476">
        <f t="shared" si="9"/>
        <v>0</v>
      </c>
      <c r="F270" s="121"/>
      <c r="G270" s="121"/>
      <c r="H270" s="213"/>
      <c r="I270" s="224"/>
      <c r="J270" s="473"/>
      <c r="K270" s="476">
        <f t="shared" si="10"/>
        <v>0</v>
      </c>
      <c r="M270" s="121"/>
      <c r="N270" s="121"/>
      <c r="P270" s="224"/>
      <c r="Q270" s="473"/>
      <c r="R270" s="476">
        <f t="shared" si="11"/>
        <v>0</v>
      </c>
      <c r="T270" s="121"/>
      <c r="U270" s="121"/>
    </row>
    <row r="271" spans="2:21" ht="15" customHeight="1" x14ac:dyDescent="0.2">
      <c r="B271" s="224"/>
      <c r="C271" s="473"/>
      <c r="D271" s="476">
        <f t="shared" si="9"/>
        <v>0</v>
      </c>
      <c r="F271" s="121"/>
      <c r="G271" s="121"/>
      <c r="I271" s="224"/>
      <c r="J271" s="473"/>
      <c r="K271" s="476">
        <f t="shared" si="10"/>
        <v>0</v>
      </c>
      <c r="M271" s="121"/>
      <c r="N271" s="121"/>
      <c r="P271" s="224"/>
      <c r="Q271" s="473"/>
      <c r="R271" s="476">
        <f t="shared" si="11"/>
        <v>0</v>
      </c>
      <c r="T271" s="121"/>
      <c r="U271" s="121"/>
    </row>
    <row r="272" spans="2:21" ht="15" customHeight="1" x14ac:dyDescent="0.2">
      <c r="B272" s="224"/>
      <c r="C272" s="473"/>
      <c r="D272" s="476">
        <f t="shared" si="9"/>
        <v>0</v>
      </c>
      <c r="F272" s="121"/>
      <c r="G272" s="121"/>
      <c r="I272" s="224"/>
      <c r="J272" s="473"/>
      <c r="K272" s="476">
        <f t="shared" si="10"/>
        <v>0</v>
      </c>
      <c r="M272" s="121"/>
      <c r="N272" s="121"/>
      <c r="P272" s="224"/>
      <c r="Q272" s="473"/>
      <c r="R272" s="476">
        <f t="shared" si="11"/>
        <v>0</v>
      </c>
      <c r="T272" s="121"/>
      <c r="U272" s="121"/>
    </row>
    <row r="273" spans="2:21" ht="15" customHeight="1" x14ac:dyDescent="0.2">
      <c r="B273" s="224"/>
      <c r="C273" s="473"/>
      <c r="D273" s="476">
        <f t="shared" si="9"/>
        <v>0</v>
      </c>
      <c r="F273" s="121"/>
      <c r="G273" s="121"/>
      <c r="I273" s="224"/>
      <c r="J273" s="473"/>
      <c r="K273" s="476">
        <f t="shared" si="10"/>
        <v>0</v>
      </c>
      <c r="M273" s="121"/>
      <c r="N273" s="121"/>
      <c r="P273" s="224"/>
      <c r="Q273" s="473"/>
      <c r="R273" s="476">
        <f t="shared" si="11"/>
        <v>0</v>
      </c>
      <c r="T273" s="121"/>
      <c r="U273" s="121"/>
    </row>
    <row r="274" spans="2:21" ht="15" customHeight="1" x14ac:dyDescent="0.2">
      <c r="B274" s="224"/>
      <c r="C274" s="473"/>
      <c r="D274" s="476">
        <f t="shared" ref="D274:D337" si="12">C274/1000</f>
        <v>0</v>
      </c>
      <c r="F274" s="121"/>
      <c r="G274" s="121"/>
      <c r="I274" s="224"/>
      <c r="J274" s="473"/>
      <c r="K274" s="476">
        <f t="shared" ref="K274:K337" si="13">J274/1000</f>
        <v>0</v>
      </c>
      <c r="M274" s="121"/>
      <c r="N274" s="121"/>
      <c r="P274" s="224"/>
      <c r="Q274" s="473"/>
      <c r="R274" s="476">
        <f t="shared" ref="R274:R337" si="14">Q274/1000</f>
        <v>0</v>
      </c>
      <c r="T274" s="121"/>
      <c r="U274" s="121"/>
    </row>
    <row r="275" spans="2:21" ht="15" customHeight="1" x14ac:dyDescent="0.2">
      <c r="B275" s="224"/>
      <c r="C275" s="473"/>
      <c r="D275" s="476">
        <f t="shared" si="12"/>
        <v>0</v>
      </c>
      <c r="F275" s="121"/>
      <c r="G275" s="121"/>
      <c r="I275" s="224"/>
      <c r="J275" s="473"/>
      <c r="K275" s="476">
        <f t="shared" si="13"/>
        <v>0</v>
      </c>
      <c r="M275" s="121"/>
      <c r="N275" s="121"/>
      <c r="P275" s="224"/>
      <c r="Q275" s="473"/>
      <c r="R275" s="476">
        <f t="shared" si="14"/>
        <v>0</v>
      </c>
      <c r="T275" s="121"/>
      <c r="U275" s="121"/>
    </row>
    <row r="276" spans="2:21" ht="15" customHeight="1" x14ac:dyDescent="0.2">
      <c r="B276" s="224"/>
      <c r="C276" s="473"/>
      <c r="D276" s="476">
        <f t="shared" si="12"/>
        <v>0</v>
      </c>
      <c r="F276" s="121"/>
      <c r="G276" s="121"/>
      <c r="I276" s="224"/>
      <c r="J276" s="473"/>
      <c r="K276" s="476">
        <f t="shared" si="13"/>
        <v>0</v>
      </c>
      <c r="M276" s="121"/>
      <c r="N276" s="121"/>
      <c r="P276" s="224"/>
      <c r="Q276" s="473"/>
      <c r="R276" s="476">
        <f t="shared" si="14"/>
        <v>0</v>
      </c>
      <c r="T276" s="121"/>
      <c r="U276" s="121"/>
    </row>
    <row r="277" spans="2:21" ht="15" customHeight="1" x14ac:dyDescent="0.2">
      <c r="B277" s="224"/>
      <c r="C277" s="473"/>
      <c r="D277" s="476">
        <f t="shared" si="12"/>
        <v>0</v>
      </c>
      <c r="F277" s="121"/>
      <c r="G277" s="121"/>
      <c r="I277" s="224"/>
      <c r="J277" s="473"/>
      <c r="K277" s="476">
        <f t="shared" si="13"/>
        <v>0</v>
      </c>
      <c r="M277" s="121"/>
      <c r="N277" s="121"/>
      <c r="P277" s="224"/>
      <c r="Q277" s="473"/>
      <c r="R277" s="476">
        <f t="shared" si="14"/>
        <v>0</v>
      </c>
      <c r="T277" s="121"/>
      <c r="U277" s="121"/>
    </row>
    <row r="278" spans="2:21" ht="15" customHeight="1" x14ac:dyDescent="0.2">
      <c r="B278" s="224"/>
      <c r="C278" s="473"/>
      <c r="D278" s="476">
        <f t="shared" si="12"/>
        <v>0</v>
      </c>
      <c r="F278" s="121"/>
      <c r="G278" s="121"/>
      <c r="I278" s="224"/>
      <c r="J278" s="473"/>
      <c r="K278" s="476">
        <f t="shared" si="13"/>
        <v>0</v>
      </c>
      <c r="M278" s="121"/>
      <c r="N278" s="121"/>
      <c r="P278" s="224"/>
      <c r="Q278" s="473"/>
      <c r="R278" s="476">
        <f t="shared" si="14"/>
        <v>0</v>
      </c>
      <c r="T278" s="121"/>
      <c r="U278" s="121"/>
    </row>
    <row r="279" spans="2:21" ht="15" customHeight="1" x14ac:dyDescent="0.2">
      <c r="B279" s="224"/>
      <c r="C279" s="473"/>
      <c r="D279" s="476">
        <f t="shared" si="12"/>
        <v>0</v>
      </c>
      <c r="F279" s="121"/>
      <c r="G279" s="121"/>
      <c r="I279" s="224"/>
      <c r="J279" s="473"/>
      <c r="K279" s="476">
        <f t="shared" si="13"/>
        <v>0</v>
      </c>
      <c r="M279" s="121"/>
      <c r="N279" s="121"/>
      <c r="P279" s="224"/>
      <c r="Q279" s="473"/>
      <c r="R279" s="476">
        <f t="shared" si="14"/>
        <v>0</v>
      </c>
      <c r="T279" s="121"/>
      <c r="U279" s="121"/>
    </row>
    <row r="280" spans="2:21" ht="15" customHeight="1" x14ac:dyDescent="0.2">
      <c r="B280" s="224"/>
      <c r="C280" s="473"/>
      <c r="D280" s="476">
        <f t="shared" si="12"/>
        <v>0</v>
      </c>
      <c r="F280" s="121"/>
      <c r="G280" s="121"/>
      <c r="I280" s="224"/>
      <c r="J280" s="473"/>
      <c r="K280" s="476">
        <f t="shared" si="13"/>
        <v>0</v>
      </c>
      <c r="M280" s="121"/>
      <c r="N280" s="121"/>
      <c r="P280" s="224"/>
      <c r="Q280" s="473"/>
      <c r="R280" s="476">
        <f t="shared" si="14"/>
        <v>0</v>
      </c>
      <c r="T280" s="121"/>
      <c r="U280" s="121"/>
    </row>
    <row r="281" spans="2:21" ht="15" customHeight="1" x14ac:dyDescent="0.2">
      <c r="B281" s="224"/>
      <c r="C281" s="473"/>
      <c r="D281" s="476">
        <f t="shared" si="12"/>
        <v>0</v>
      </c>
      <c r="F281" s="121"/>
      <c r="G281" s="121"/>
      <c r="I281" s="224"/>
      <c r="J281" s="473"/>
      <c r="K281" s="476">
        <f t="shared" si="13"/>
        <v>0</v>
      </c>
      <c r="M281" s="121"/>
      <c r="N281" s="121"/>
      <c r="P281" s="224"/>
      <c r="Q281" s="473"/>
      <c r="R281" s="476">
        <f t="shared" si="14"/>
        <v>0</v>
      </c>
      <c r="T281" s="121"/>
      <c r="U281" s="121"/>
    </row>
    <row r="282" spans="2:21" ht="15" customHeight="1" x14ac:dyDescent="0.2">
      <c r="B282" s="224"/>
      <c r="C282" s="473"/>
      <c r="D282" s="476">
        <f t="shared" si="12"/>
        <v>0</v>
      </c>
      <c r="F282" s="121"/>
      <c r="G282" s="121"/>
      <c r="I282" s="224"/>
      <c r="J282" s="473"/>
      <c r="K282" s="476">
        <f t="shared" si="13"/>
        <v>0</v>
      </c>
      <c r="M282" s="121"/>
      <c r="N282" s="121"/>
      <c r="P282" s="224"/>
      <c r="Q282" s="473"/>
      <c r="R282" s="476">
        <f t="shared" si="14"/>
        <v>0</v>
      </c>
      <c r="T282" s="121"/>
      <c r="U282" s="121"/>
    </row>
    <row r="283" spans="2:21" ht="15" customHeight="1" x14ac:dyDescent="0.2">
      <c r="B283" s="224"/>
      <c r="C283" s="473"/>
      <c r="D283" s="476">
        <f t="shared" si="12"/>
        <v>0</v>
      </c>
      <c r="F283" s="121"/>
      <c r="G283" s="121"/>
      <c r="I283" s="224"/>
      <c r="J283" s="473"/>
      <c r="K283" s="476">
        <f t="shared" si="13"/>
        <v>0</v>
      </c>
      <c r="M283" s="121"/>
      <c r="N283" s="121"/>
      <c r="P283" s="224"/>
      <c r="Q283" s="473"/>
      <c r="R283" s="476">
        <f t="shared" si="14"/>
        <v>0</v>
      </c>
      <c r="T283" s="121"/>
      <c r="U283" s="121"/>
    </row>
    <row r="284" spans="2:21" ht="15" customHeight="1" x14ac:dyDescent="0.2">
      <c r="B284" s="224"/>
      <c r="C284" s="473"/>
      <c r="D284" s="476">
        <f t="shared" si="12"/>
        <v>0</v>
      </c>
      <c r="F284" s="121"/>
      <c r="G284" s="121"/>
      <c r="I284" s="224"/>
      <c r="J284" s="473"/>
      <c r="K284" s="476">
        <f t="shared" si="13"/>
        <v>0</v>
      </c>
      <c r="M284" s="121"/>
      <c r="N284" s="121"/>
      <c r="P284" s="224"/>
      <c r="Q284" s="473"/>
      <c r="R284" s="476">
        <f t="shared" si="14"/>
        <v>0</v>
      </c>
      <c r="T284" s="121"/>
      <c r="U284" s="121"/>
    </row>
    <row r="285" spans="2:21" ht="15" customHeight="1" x14ac:dyDescent="0.2">
      <c r="B285" s="224"/>
      <c r="C285" s="473"/>
      <c r="D285" s="476">
        <f t="shared" si="12"/>
        <v>0</v>
      </c>
      <c r="F285" s="121"/>
      <c r="G285" s="121"/>
      <c r="I285" s="224"/>
      <c r="J285" s="473"/>
      <c r="K285" s="476">
        <f t="shared" si="13"/>
        <v>0</v>
      </c>
      <c r="M285" s="121"/>
      <c r="N285" s="121"/>
      <c r="P285" s="224"/>
      <c r="Q285" s="473"/>
      <c r="R285" s="476">
        <f t="shared" si="14"/>
        <v>0</v>
      </c>
      <c r="T285" s="121"/>
      <c r="U285" s="121"/>
    </row>
    <row r="286" spans="2:21" ht="15" customHeight="1" x14ac:dyDescent="0.2">
      <c r="B286" s="224"/>
      <c r="C286" s="473"/>
      <c r="D286" s="476">
        <f t="shared" si="12"/>
        <v>0</v>
      </c>
      <c r="F286" s="121"/>
      <c r="G286" s="121"/>
      <c r="I286" s="224"/>
      <c r="J286" s="473"/>
      <c r="K286" s="476">
        <f t="shared" si="13"/>
        <v>0</v>
      </c>
      <c r="M286" s="121"/>
      <c r="N286" s="121"/>
      <c r="P286" s="224"/>
      <c r="Q286" s="473"/>
      <c r="R286" s="476">
        <f t="shared" si="14"/>
        <v>0</v>
      </c>
      <c r="T286" s="121"/>
      <c r="U286" s="121"/>
    </row>
    <row r="287" spans="2:21" ht="15" customHeight="1" x14ac:dyDescent="0.2">
      <c r="B287" s="224"/>
      <c r="C287" s="473"/>
      <c r="D287" s="476">
        <f t="shared" si="12"/>
        <v>0</v>
      </c>
      <c r="F287" s="121"/>
      <c r="G287" s="121"/>
      <c r="I287" s="224"/>
      <c r="J287" s="473"/>
      <c r="K287" s="476">
        <f t="shared" si="13"/>
        <v>0</v>
      </c>
      <c r="M287" s="121"/>
      <c r="N287" s="121"/>
      <c r="P287" s="224"/>
      <c r="Q287" s="473"/>
      <c r="R287" s="476">
        <f t="shared" si="14"/>
        <v>0</v>
      </c>
      <c r="T287" s="121"/>
      <c r="U287" s="121"/>
    </row>
    <row r="288" spans="2:21" ht="15" customHeight="1" x14ac:dyDescent="0.2">
      <c r="B288" s="224"/>
      <c r="C288" s="473"/>
      <c r="D288" s="476">
        <f t="shared" si="12"/>
        <v>0</v>
      </c>
      <c r="F288" s="121"/>
      <c r="G288" s="121"/>
      <c r="I288" s="224"/>
      <c r="J288" s="473"/>
      <c r="K288" s="476">
        <f t="shared" si="13"/>
        <v>0</v>
      </c>
      <c r="M288" s="121"/>
      <c r="N288" s="121"/>
      <c r="P288" s="224"/>
      <c r="Q288" s="473"/>
      <c r="R288" s="476">
        <f t="shared" si="14"/>
        <v>0</v>
      </c>
      <c r="T288" s="121"/>
      <c r="U288" s="121"/>
    </row>
    <row r="289" spans="2:21" ht="15" customHeight="1" x14ac:dyDescent="0.2">
      <c r="B289" s="224"/>
      <c r="C289" s="473"/>
      <c r="D289" s="476">
        <f t="shared" si="12"/>
        <v>0</v>
      </c>
      <c r="F289" s="121"/>
      <c r="G289" s="121"/>
      <c r="I289" s="224"/>
      <c r="J289" s="473"/>
      <c r="K289" s="476">
        <f t="shared" si="13"/>
        <v>0</v>
      </c>
      <c r="M289" s="121"/>
      <c r="N289" s="121"/>
      <c r="P289" s="224"/>
      <c r="Q289" s="473"/>
      <c r="R289" s="476">
        <f t="shared" si="14"/>
        <v>0</v>
      </c>
      <c r="T289" s="121"/>
      <c r="U289" s="121"/>
    </row>
    <row r="290" spans="2:21" ht="15" customHeight="1" x14ac:dyDescent="0.2">
      <c r="B290" s="224"/>
      <c r="C290" s="473"/>
      <c r="D290" s="476">
        <f t="shared" si="12"/>
        <v>0</v>
      </c>
      <c r="F290" s="121"/>
      <c r="G290" s="121"/>
      <c r="I290" s="224"/>
      <c r="J290" s="473"/>
      <c r="K290" s="476">
        <f t="shared" si="13"/>
        <v>0</v>
      </c>
      <c r="M290" s="121"/>
      <c r="N290" s="121"/>
      <c r="P290" s="224"/>
      <c r="Q290" s="473"/>
      <c r="R290" s="476">
        <f t="shared" si="14"/>
        <v>0</v>
      </c>
      <c r="T290" s="121"/>
      <c r="U290" s="121"/>
    </row>
    <row r="291" spans="2:21" ht="15" customHeight="1" x14ac:dyDescent="0.2">
      <c r="B291" s="224"/>
      <c r="C291" s="473"/>
      <c r="D291" s="476">
        <f t="shared" si="12"/>
        <v>0</v>
      </c>
      <c r="F291" s="121"/>
      <c r="G291" s="121"/>
      <c r="I291" s="224"/>
      <c r="J291" s="473"/>
      <c r="K291" s="476">
        <f t="shared" si="13"/>
        <v>0</v>
      </c>
      <c r="M291" s="121"/>
      <c r="N291" s="121"/>
      <c r="P291" s="224"/>
      <c r="Q291" s="473"/>
      <c r="R291" s="476">
        <f t="shared" si="14"/>
        <v>0</v>
      </c>
      <c r="T291" s="121"/>
      <c r="U291" s="121"/>
    </row>
    <row r="292" spans="2:21" ht="15" customHeight="1" x14ac:dyDescent="0.2">
      <c r="B292" s="224"/>
      <c r="C292" s="473"/>
      <c r="D292" s="476">
        <f t="shared" si="12"/>
        <v>0</v>
      </c>
      <c r="F292" s="121"/>
      <c r="G292" s="121"/>
      <c r="I292" s="224"/>
      <c r="J292" s="473"/>
      <c r="K292" s="476">
        <f t="shared" si="13"/>
        <v>0</v>
      </c>
      <c r="M292" s="121"/>
      <c r="N292" s="121"/>
      <c r="P292" s="224"/>
      <c r="Q292" s="473"/>
      <c r="R292" s="476">
        <f t="shared" si="14"/>
        <v>0</v>
      </c>
      <c r="T292" s="121"/>
      <c r="U292" s="121"/>
    </row>
    <row r="293" spans="2:21" ht="15" customHeight="1" x14ac:dyDescent="0.2">
      <c r="B293" s="224"/>
      <c r="C293" s="473"/>
      <c r="D293" s="476">
        <f t="shared" si="12"/>
        <v>0</v>
      </c>
      <c r="F293" s="121"/>
      <c r="G293" s="121"/>
      <c r="I293" s="224"/>
      <c r="J293" s="473"/>
      <c r="K293" s="476">
        <f t="shared" si="13"/>
        <v>0</v>
      </c>
      <c r="M293" s="121"/>
      <c r="N293" s="121"/>
      <c r="P293" s="224"/>
      <c r="Q293" s="473"/>
      <c r="R293" s="476">
        <f t="shared" si="14"/>
        <v>0</v>
      </c>
      <c r="T293" s="121"/>
      <c r="U293" s="121"/>
    </row>
    <row r="294" spans="2:21" ht="15" customHeight="1" x14ac:dyDescent="0.2">
      <c r="B294" s="224"/>
      <c r="C294" s="473"/>
      <c r="D294" s="476">
        <f t="shared" si="12"/>
        <v>0</v>
      </c>
      <c r="F294" s="121"/>
      <c r="G294" s="121"/>
      <c r="I294" s="224"/>
      <c r="J294" s="473"/>
      <c r="K294" s="476">
        <f t="shared" si="13"/>
        <v>0</v>
      </c>
      <c r="M294" s="121"/>
      <c r="N294" s="121"/>
      <c r="P294" s="224"/>
      <c r="Q294" s="473"/>
      <c r="R294" s="476">
        <f t="shared" si="14"/>
        <v>0</v>
      </c>
      <c r="T294" s="121"/>
      <c r="U294" s="121"/>
    </row>
    <row r="295" spans="2:21" ht="15" customHeight="1" x14ac:dyDescent="0.2">
      <c r="B295" s="224"/>
      <c r="C295" s="473"/>
      <c r="D295" s="476">
        <f t="shared" si="12"/>
        <v>0</v>
      </c>
      <c r="F295" s="121"/>
      <c r="G295" s="121"/>
      <c r="I295" s="224"/>
      <c r="J295" s="473"/>
      <c r="K295" s="476">
        <f t="shared" si="13"/>
        <v>0</v>
      </c>
      <c r="M295" s="121"/>
      <c r="N295" s="121"/>
      <c r="P295" s="224"/>
      <c r="Q295" s="473"/>
      <c r="R295" s="476">
        <f t="shared" si="14"/>
        <v>0</v>
      </c>
      <c r="T295" s="121"/>
      <c r="U295" s="121"/>
    </row>
    <row r="296" spans="2:21" ht="15" customHeight="1" x14ac:dyDescent="0.2">
      <c r="B296" s="224"/>
      <c r="C296" s="473"/>
      <c r="D296" s="476">
        <f t="shared" si="12"/>
        <v>0</v>
      </c>
      <c r="F296" s="121"/>
      <c r="G296" s="121"/>
      <c r="I296" s="224"/>
      <c r="J296" s="473"/>
      <c r="K296" s="476">
        <f t="shared" si="13"/>
        <v>0</v>
      </c>
      <c r="M296" s="121"/>
      <c r="N296" s="121"/>
      <c r="P296" s="224"/>
      <c r="Q296" s="473"/>
      <c r="R296" s="476">
        <f t="shared" si="14"/>
        <v>0</v>
      </c>
      <c r="T296" s="121"/>
      <c r="U296" s="121"/>
    </row>
    <row r="297" spans="2:21" ht="15" customHeight="1" x14ac:dyDescent="0.2">
      <c r="B297" s="224"/>
      <c r="C297" s="473"/>
      <c r="D297" s="476">
        <f t="shared" si="12"/>
        <v>0</v>
      </c>
      <c r="F297" s="121"/>
      <c r="G297" s="121"/>
      <c r="I297" s="224"/>
      <c r="J297" s="473"/>
      <c r="K297" s="476">
        <f t="shared" si="13"/>
        <v>0</v>
      </c>
      <c r="M297" s="121"/>
      <c r="N297" s="121"/>
      <c r="P297" s="224"/>
      <c r="Q297" s="473"/>
      <c r="R297" s="476">
        <f t="shared" si="14"/>
        <v>0</v>
      </c>
      <c r="T297" s="121"/>
      <c r="U297" s="121"/>
    </row>
    <row r="298" spans="2:21" ht="15" customHeight="1" x14ac:dyDescent="0.2">
      <c r="B298" s="224"/>
      <c r="C298" s="473"/>
      <c r="D298" s="476">
        <f t="shared" si="12"/>
        <v>0</v>
      </c>
      <c r="F298" s="121"/>
      <c r="G298" s="121"/>
      <c r="I298" s="224"/>
      <c r="J298" s="473"/>
      <c r="K298" s="476">
        <f t="shared" si="13"/>
        <v>0</v>
      </c>
      <c r="M298" s="121"/>
      <c r="N298" s="121"/>
      <c r="P298" s="224"/>
      <c r="Q298" s="473"/>
      <c r="R298" s="476">
        <f t="shared" si="14"/>
        <v>0</v>
      </c>
      <c r="T298" s="121"/>
      <c r="U298" s="121"/>
    </row>
    <row r="299" spans="2:21" ht="15" customHeight="1" x14ac:dyDescent="0.2">
      <c r="B299" s="224"/>
      <c r="C299" s="473"/>
      <c r="D299" s="476">
        <f t="shared" si="12"/>
        <v>0</v>
      </c>
      <c r="F299" s="121"/>
      <c r="G299" s="121"/>
      <c r="I299" s="224"/>
      <c r="J299" s="473"/>
      <c r="K299" s="476">
        <f t="shared" si="13"/>
        <v>0</v>
      </c>
      <c r="M299" s="121"/>
      <c r="N299" s="121"/>
      <c r="P299" s="224"/>
      <c r="Q299" s="473"/>
      <c r="R299" s="476">
        <f t="shared" si="14"/>
        <v>0</v>
      </c>
      <c r="T299" s="121"/>
      <c r="U299" s="121"/>
    </row>
    <row r="300" spans="2:21" ht="15" customHeight="1" x14ac:dyDescent="0.2">
      <c r="B300" s="224"/>
      <c r="C300" s="473"/>
      <c r="D300" s="476">
        <f t="shared" si="12"/>
        <v>0</v>
      </c>
      <c r="F300" s="121"/>
      <c r="G300" s="121"/>
      <c r="I300" s="224"/>
      <c r="J300" s="473"/>
      <c r="K300" s="476">
        <f t="shared" si="13"/>
        <v>0</v>
      </c>
      <c r="M300" s="121"/>
      <c r="N300" s="121"/>
      <c r="P300" s="224"/>
      <c r="Q300" s="473"/>
      <c r="R300" s="476">
        <f t="shared" si="14"/>
        <v>0</v>
      </c>
      <c r="T300" s="121"/>
      <c r="U300" s="121"/>
    </row>
    <row r="301" spans="2:21" ht="15" customHeight="1" x14ac:dyDescent="0.2">
      <c r="B301" s="224"/>
      <c r="C301" s="473"/>
      <c r="D301" s="476">
        <f t="shared" si="12"/>
        <v>0</v>
      </c>
      <c r="F301" s="121"/>
      <c r="G301" s="121"/>
      <c r="I301" s="224"/>
      <c r="J301" s="473"/>
      <c r="K301" s="476">
        <f t="shared" si="13"/>
        <v>0</v>
      </c>
      <c r="M301" s="121"/>
      <c r="N301" s="121"/>
      <c r="P301" s="224"/>
      <c r="Q301" s="473"/>
      <c r="R301" s="476">
        <f t="shared" si="14"/>
        <v>0</v>
      </c>
      <c r="T301" s="121"/>
      <c r="U301" s="121"/>
    </row>
    <row r="302" spans="2:21" ht="15" customHeight="1" x14ac:dyDescent="0.2">
      <c r="B302" s="224"/>
      <c r="C302" s="473"/>
      <c r="D302" s="476">
        <f t="shared" si="12"/>
        <v>0</v>
      </c>
      <c r="F302" s="121"/>
      <c r="G302" s="121"/>
      <c r="I302" s="224"/>
      <c r="J302" s="473"/>
      <c r="K302" s="476">
        <f t="shared" si="13"/>
        <v>0</v>
      </c>
      <c r="M302" s="121"/>
      <c r="N302" s="121"/>
      <c r="P302" s="224"/>
      <c r="Q302" s="473"/>
      <c r="R302" s="476">
        <f t="shared" si="14"/>
        <v>0</v>
      </c>
      <c r="T302" s="121"/>
      <c r="U302" s="121"/>
    </row>
    <row r="303" spans="2:21" ht="15" customHeight="1" x14ac:dyDescent="0.2">
      <c r="B303" s="224"/>
      <c r="C303" s="473"/>
      <c r="D303" s="476">
        <f t="shared" si="12"/>
        <v>0</v>
      </c>
      <c r="F303" s="121"/>
      <c r="G303" s="121"/>
      <c r="I303" s="224"/>
      <c r="J303" s="473"/>
      <c r="K303" s="476">
        <f t="shared" si="13"/>
        <v>0</v>
      </c>
      <c r="M303" s="121"/>
      <c r="N303" s="121"/>
      <c r="P303" s="224"/>
      <c r="Q303" s="473"/>
      <c r="R303" s="476">
        <f t="shared" si="14"/>
        <v>0</v>
      </c>
      <c r="T303" s="121"/>
      <c r="U303" s="121"/>
    </row>
    <row r="304" spans="2:21" ht="15" customHeight="1" x14ac:dyDescent="0.2">
      <c r="B304" s="224"/>
      <c r="C304" s="473"/>
      <c r="D304" s="476">
        <f t="shared" si="12"/>
        <v>0</v>
      </c>
      <c r="F304" s="121"/>
      <c r="G304" s="121"/>
      <c r="I304" s="224"/>
      <c r="J304" s="473"/>
      <c r="K304" s="476">
        <f t="shared" si="13"/>
        <v>0</v>
      </c>
      <c r="M304" s="121"/>
      <c r="N304" s="121"/>
      <c r="P304" s="224"/>
      <c r="Q304" s="473"/>
      <c r="R304" s="476">
        <f t="shared" si="14"/>
        <v>0</v>
      </c>
      <c r="T304" s="121"/>
      <c r="U304" s="121"/>
    </row>
    <row r="305" spans="2:21" ht="15" customHeight="1" x14ac:dyDescent="0.2">
      <c r="B305" s="224"/>
      <c r="C305" s="473"/>
      <c r="D305" s="476">
        <f t="shared" si="12"/>
        <v>0</v>
      </c>
      <c r="F305" s="121"/>
      <c r="G305" s="121"/>
      <c r="I305" s="224"/>
      <c r="J305" s="473"/>
      <c r="K305" s="476">
        <f t="shared" si="13"/>
        <v>0</v>
      </c>
      <c r="M305" s="121"/>
      <c r="N305" s="121"/>
      <c r="P305" s="224"/>
      <c r="Q305" s="473"/>
      <c r="R305" s="476">
        <f t="shared" si="14"/>
        <v>0</v>
      </c>
      <c r="T305" s="121"/>
      <c r="U305" s="121"/>
    </row>
    <row r="306" spans="2:21" ht="15" customHeight="1" x14ac:dyDescent="0.2">
      <c r="B306" s="224"/>
      <c r="C306" s="473"/>
      <c r="D306" s="476">
        <f t="shared" si="12"/>
        <v>0</v>
      </c>
      <c r="F306" s="121"/>
      <c r="G306" s="121"/>
      <c r="I306" s="224"/>
      <c r="J306" s="473"/>
      <c r="K306" s="476">
        <f t="shared" si="13"/>
        <v>0</v>
      </c>
      <c r="M306" s="121"/>
      <c r="N306" s="121"/>
      <c r="P306" s="224"/>
      <c r="Q306" s="473"/>
      <c r="R306" s="476">
        <f t="shared" si="14"/>
        <v>0</v>
      </c>
      <c r="T306" s="121"/>
      <c r="U306" s="121"/>
    </row>
    <row r="307" spans="2:21" ht="15" customHeight="1" x14ac:dyDescent="0.2">
      <c r="B307" s="224"/>
      <c r="C307" s="473"/>
      <c r="D307" s="476">
        <f t="shared" si="12"/>
        <v>0</v>
      </c>
      <c r="F307" s="121"/>
      <c r="G307" s="121"/>
      <c r="I307" s="224"/>
      <c r="J307" s="473"/>
      <c r="K307" s="476">
        <f t="shared" si="13"/>
        <v>0</v>
      </c>
      <c r="M307" s="121"/>
      <c r="N307" s="121"/>
      <c r="P307" s="224"/>
      <c r="Q307" s="473"/>
      <c r="R307" s="476">
        <f t="shared" si="14"/>
        <v>0</v>
      </c>
      <c r="T307" s="121"/>
      <c r="U307" s="121"/>
    </row>
    <row r="308" spans="2:21" ht="15" customHeight="1" x14ac:dyDescent="0.2">
      <c r="B308" s="224"/>
      <c r="C308" s="473"/>
      <c r="D308" s="476">
        <f t="shared" si="12"/>
        <v>0</v>
      </c>
      <c r="F308" s="121"/>
      <c r="G308" s="121"/>
      <c r="I308" s="224"/>
      <c r="J308" s="473"/>
      <c r="K308" s="476">
        <f t="shared" si="13"/>
        <v>0</v>
      </c>
      <c r="M308" s="121"/>
      <c r="N308" s="121"/>
      <c r="P308" s="224"/>
      <c r="Q308" s="473"/>
      <c r="R308" s="476">
        <f t="shared" si="14"/>
        <v>0</v>
      </c>
      <c r="T308" s="121"/>
      <c r="U308" s="121"/>
    </row>
    <row r="309" spans="2:21" ht="15" customHeight="1" x14ac:dyDescent="0.2">
      <c r="B309" s="224"/>
      <c r="C309" s="473"/>
      <c r="D309" s="476">
        <f t="shared" si="12"/>
        <v>0</v>
      </c>
      <c r="F309" s="121"/>
      <c r="G309" s="121"/>
      <c r="I309" s="224"/>
      <c r="J309" s="473"/>
      <c r="K309" s="476">
        <f t="shared" si="13"/>
        <v>0</v>
      </c>
      <c r="M309" s="121"/>
      <c r="N309" s="121"/>
      <c r="P309" s="224"/>
      <c r="Q309" s="473"/>
      <c r="R309" s="476">
        <f t="shared" si="14"/>
        <v>0</v>
      </c>
      <c r="T309" s="121"/>
      <c r="U309" s="121"/>
    </row>
    <row r="310" spans="2:21" ht="15" customHeight="1" x14ac:dyDescent="0.2">
      <c r="B310" s="224"/>
      <c r="C310" s="473"/>
      <c r="D310" s="476">
        <f t="shared" si="12"/>
        <v>0</v>
      </c>
      <c r="F310" s="121"/>
      <c r="G310" s="121"/>
      <c r="I310" s="224"/>
      <c r="J310" s="473"/>
      <c r="K310" s="476">
        <f t="shared" si="13"/>
        <v>0</v>
      </c>
      <c r="M310" s="121"/>
      <c r="N310" s="121"/>
      <c r="P310" s="224"/>
      <c r="Q310" s="473"/>
      <c r="R310" s="476">
        <f t="shared" si="14"/>
        <v>0</v>
      </c>
      <c r="T310" s="121"/>
      <c r="U310" s="121"/>
    </row>
    <row r="311" spans="2:21" ht="15" customHeight="1" x14ac:dyDescent="0.2">
      <c r="B311" s="224"/>
      <c r="C311" s="473"/>
      <c r="D311" s="476">
        <f t="shared" si="12"/>
        <v>0</v>
      </c>
      <c r="F311" s="121"/>
      <c r="G311" s="121"/>
      <c r="I311" s="224"/>
      <c r="J311" s="473"/>
      <c r="K311" s="476">
        <f t="shared" si="13"/>
        <v>0</v>
      </c>
      <c r="M311" s="121"/>
      <c r="N311" s="121"/>
      <c r="P311" s="224"/>
      <c r="Q311" s="473"/>
      <c r="R311" s="476">
        <f t="shared" si="14"/>
        <v>0</v>
      </c>
      <c r="T311" s="121"/>
      <c r="U311" s="121"/>
    </row>
    <row r="312" spans="2:21" ht="15" customHeight="1" x14ac:dyDescent="0.2">
      <c r="B312" s="224"/>
      <c r="C312" s="473"/>
      <c r="D312" s="476">
        <f t="shared" si="12"/>
        <v>0</v>
      </c>
      <c r="F312" s="121"/>
      <c r="G312" s="121"/>
      <c r="I312" s="224"/>
      <c r="J312" s="473"/>
      <c r="K312" s="476">
        <f t="shared" si="13"/>
        <v>0</v>
      </c>
      <c r="M312" s="121"/>
      <c r="N312" s="121"/>
      <c r="P312" s="224"/>
      <c r="Q312" s="473"/>
      <c r="R312" s="476">
        <f t="shared" si="14"/>
        <v>0</v>
      </c>
      <c r="T312" s="121"/>
      <c r="U312" s="121"/>
    </row>
    <row r="313" spans="2:21" ht="15" customHeight="1" x14ac:dyDescent="0.2">
      <c r="B313" s="224"/>
      <c r="C313" s="473"/>
      <c r="D313" s="476">
        <f t="shared" si="12"/>
        <v>0</v>
      </c>
      <c r="F313" s="121"/>
      <c r="G313" s="121"/>
      <c r="I313" s="224"/>
      <c r="J313" s="473"/>
      <c r="K313" s="476">
        <f t="shared" si="13"/>
        <v>0</v>
      </c>
      <c r="M313" s="121"/>
      <c r="N313" s="121"/>
      <c r="P313" s="224"/>
      <c r="Q313" s="473"/>
      <c r="R313" s="476">
        <f t="shared" si="14"/>
        <v>0</v>
      </c>
      <c r="T313" s="121"/>
      <c r="U313" s="121"/>
    </row>
    <row r="314" spans="2:21" ht="15" customHeight="1" x14ac:dyDescent="0.2">
      <c r="B314" s="224"/>
      <c r="C314" s="473"/>
      <c r="D314" s="476">
        <f t="shared" si="12"/>
        <v>0</v>
      </c>
      <c r="F314" s="121"/>
      <c r="G314" s="121"/>
      <c r="I314" s="224"/>
      <c r="J314" s="473"/>
      <c r="K314" s="476">
        <f t="shared" si="13"/>
        <v>0</v>
      </c>
      <c r="M314" s="121"/>
      <c r="N314" s="121"/>
      <c r="P314" s="224"/>
      <c r="Q314" s="473"/>
      <c r="R314" s="476">
        <f t="shared" si="14"/>
        <v>0</v>
      </c>
      <c r="T314" s="121"/>
      <c r="U314" s="121"/>
    </row>
    <row r="315" spans="2:21" ht="15" customHeight="1" x14ac:dyDescent="0.2">
      <c r="B315" s="224"/>
      <c r="C315" s="473"/>
      <c r="D315" s="476">
        <f t="shared" si="12"/>
        <v>0</v>
      </c>
      <c r="F315" s="121"/>
      <c r="G315" s="121"/>
      <c r="I315" s="224"/>
      <c r="J315" s="473"/>
      <c r="K315" s="476">
        <f t="shared" si="13"/>
        <v>0</v>
      </c>
      <c r="M315" s="121"/>
      <c r="N315" s="121"/>
      <c r="P315" s="224"/>
      <c r="Q315" s="473"/>
      <c r="R315" s="476">
        <f t="shared" si="14"/>
        <v>0</v>
      </c>
      <c r="T315" s="121"/>
      <c r="U315" s="121"/>
    </row>
    <row r="316" spans="2:21" ht="15" customHeight="1" x14ac:dyDescent="0.2">
      <c r="B316" s="224"/>
      <c r="C316" s="473"/>
      <c r="D316" s="476">
        <f t="shared" si="12"/>
        <v>0</v>
      </c>
      <c r="F316" s="121"/>
      <c r="G316" s="121"/>
      <c r="I316" s="224"/>
      <c r="J316" s="473"/>
      <c r="K316" s="476">
        <f t="shared" si="13"/>
        <v>0</v>
      </c>
      <c r="M316" s="121"/>
      <c r="N316" s="121"/>
      <c r="P316" s="224"/>
      <c r="Q316" s="473"/>
      <c r="R316" s="476">
        <f t="shared" si="14"/>
        <v>0</v>
      </c>
      <c r="T316" s="121"/>
      <c r="U316" s="121"/>
    </row>
    <row r="317" spans="2:21" ht="15" customHeight="1" x14ac:dyDescent="0.2">
      <c r="B317" s="224"/>
      <c r="C317" s="473"/>
      <c r="D317" s="476">
        <f t="shared" si="12"/>
        <v>0</v>
      </c>
      <c r="F317" s="121"/>
      <c r="G317" s="121"/>
      <c r="I317" s="224"/>
      <c r="J317" s="473"/>
      <c r="K317" s="476">
        <f t="shared" si="13"/>
        <v>0</v>
      </c>
      <c r="M317" s="121"/>
      <c r="N317" s="121"/>
      <c r="P317" s="224"/>
      <c r="Q317" s="473"/>
      <c r="R317" s="476">
        <f t="shared" si="14"/>
        <v>0</v>
      </c>
      <c r="T317" s="121"/>
      <c r="U317" s="121"/>
    </row>
    <row r="318" spans="2:21" ht="15" customHeight="1" x14ac:dyDescent="0.2">
      <c r="B318" s="224"/>
      <c r="C318" s="473"/>
      <c r="D318" s="476">
        <f t="shared" si="12"/>
        <v>0</v>
      </c>
      <c r="F318" s="121"/>
      <c r="G318" s="121"/>
      <c r="I318" s="224"/>
      <c r="J318" s="473"/>
      <c r="K318" s="476">
        <f t="shared" si="13"/>
        <v>0</v>
      </c>
      <c r="M318" s="121"/>
      <c r="N318" s="121"/>
      <c r="P318" s="224"/>
      <c r="Q318" s="473"/>
      <c r="R318" s="476">
        <f t="shared" si="14"/>
        <v>0</v>
      </c>
      <c r="T318" s="121"/>
      <c r="U318" s="121"/>
    </row>
    <row r="319" spans="2:21" ht="15" customHeight="1" x14ac:dyDescent="0.2">
      <c r="B319" s="224"/>
      <c r="C319" s="473"/>
      <c r="D319" s="476">
        <f t="shared" si="12"/>
        <v>0</v>
      </c>
      <c r="F319" s="121"/>
      <c r="G319" s="121"/>
      <c r="I319" s="224"/>
      <c r="J319" s="473"/>
      <c r="K319" s="476">
        <f t="shared" si="13"/>
        <v>0</v>
      </c>
      <c r="M319" s="121"/>
      <c r="N319" s="121"/>
      <c r="P319" s="224"/>
      <c r="Q319" s="473"/>
      <c r="R319" s="476">
        <f t="shared" si="14"/>
        <v>0</v>
      </c>
      <c r="T319" s="121"/>
      <c r="U319" s="121"/>
    </row>
    <row r="320" spans="2:21" ht="15" customHeight="1" x14ac:dyDescent="0.2">
      <c r="B320" s="224"/>
      <c r="C320" s="473"/>
      <c r="D320" s="476">
        <f t="shared" si="12"/>
        <v>0</v>
      </c>
      <c r="F320" s="121"/>
      <c r="G320" s="121"/>
      <c r="I320" s="224"/>
      <c r="J320" s="473"/>
      <c r="K320" s="476">
        <f t="shared" si="13"/>
        <v>0</v>
      </c>
      <c r="M320" s="121"/>
      <c r="N320" s="121"/>
      <c r="P320" s="224"/>
      <c r="Q320" s="473"/>
      <c r="R320" s="476">
        <f t="shared" si="14"/>
        <v>0</v>
      </c>
      <c r="T320" s="121"/>
      <c r="U320" s="121"/>
    </row>
    <row r="321" spans="2:21" ht="15" customHeight="1" x14ac:dyDescent="0.2">
      <c r="B321" s="224"/>
      <c r="C321" s="473"/>
      <c r="D321" s="476">
        <f t="shared" si="12"/>
        <v>0</v>
      </c>
      <c r="F321" s="121"/>
      <c r="G321" s="121"/>
      <c r="I321" s="224"/>
      <c r="J321" s="473"/>
      <c r="K321" s="476">
        <f t="shared" si="13"/>
        <v>0</v>
      </c>
      <c r="M321" s="121"/>
      <c r="N321" s="121"/>
      <c r="P321" s="224"/>
      <c r="Q321" s="473"/>
      <c r="R321" s="476">
        <f t="shared" si="14"/>
        <v>0</v>
      </c>
      <c r="T321" s="121"/>
      <c r="U321" s="121"/>
    </row>
    <row r="322" spans="2:21" ht="15" customHeight="1" x14ac:dyDescent="0.2">
      <c r="B322" s="224"/>
      <c r="C322" s="473"/>
      <c r="D322" s="476">
        <f t="shared" si="12"/>
        <v>0</v>
      </c>
      <c r="F322" s="121"/>
      <c r="G322" s="121"/>
      <c r="I322" s="224"/>
      <c r="J322" s="473"/>
      <c r="K322" s="476">
        <f t="shared" si="13"/>
        <v>0</v>
      </c>
      <c r="M322" s="121"/>
      <c r="N322" s="121"/>
      <c r="P322" s="224"/>
      <c r="Q322" s="473"/>
      <c r="R322" s="476">
        <f t="shared" si="14"/>
        <v>0</v>
      </c>
      <c r="T322" s="121"/>
      <c r="U322" s="121"/>
    </row>
    <row r="323" spans="2:21" ht="15" customHeight="1" x14ac:dyDescent="0.2">
      <c r="B323" s="224"/>
      <c r="C323" s="473"/>
      <c r="D323" s="476">
        <f t="shared" si="12"/>
        <v>0</v>
      </c>
      <c r="F323" s="121"/>
      <c r="G323" s="121"/>
      <c r="I323" s="224"/>
      <c r="J323" s="473"/>
      <c r="K323" s="476">
        <f t="shared" si="13"/>
        <v>0</v>
      </c>
      <c r="M323" s="121"/>
      <c r="N323" s="121"/>
      <c r="P323" s="224"/>
      <c r="Q323" s="473"/>
      <c r="R323" s="476">
        <f t="shared" si="14"/>
        <v>0</v>
      </c>
      <c r="T323" s="121"/>
      <c r="U323" s="121"/>
    </row>
    <row r="324" spans="2:21" ht="15" customHeight="1" x14ac:dyDescent="0.2">
      <c r="B324" s="224"/>
      <c r="C324" s="473"/>
      <c r="D324" s="476">
        <f t="shared" si="12"/>
        <v>0</v>
      </c>
      <c r="F324" s="121"/>
      <c r="G324" s="121"/>
      <c r="I324" s="224"/>
      <c r="J324" s="473"/>
      <c r="K324" s="476">
        <f t="shared" si="13"/>
        <v>0</v>
      </c>
      <c r="M324" s="121"/>
      <c r="N324" s="121"/>
      <c r="P324" s="224"/>
      <c r="Q324" s="473"/>
      <c r="R324" s="476">
        <f t="shared" si="14"/>
        <v>0</v>
      </c>
      <c r="T324" s="121"/>
      <c r="U324" s="121"/>
    </row>
    <row r="325" spans="2:21" ht="15" customHeight="1" x14ac:dyDescent="0.2">
      <c r="B325" s="224"/>
      <c r="C325" s="473"/>
      <c r="D325" s="476">
        <f t="shared" si="12"/>
        <v>0</v>
      </c>
      <c r="F325" s="121"/>
      <c r="G325" s="121"/>
      <c r="I325" s="224"/>
      <c r="J325" s="473"/>
      <c r="K325" s="476">
        <f t="shared" si="13"/>
        <v>0</v>
      </c>
      <c r="M325" s="121"/>
      <c r="N325" s="121"/>
      <c r="P325" s="224"/>
      <c r="Q325" s="473"/>
      <c r="R325" s="476">
        <f t="shared" si="14"/>
        <v>0</v>
      </c>
      <c r="T325" s="121"/>
      <c r="U325" s="121"/>
    </row>
    <row r="326" spans="2:21" ht="15" customHeight="1" x14ac:dyDescent="0.2">
      <c r="B326" s="224"/>
      <c r="C326" s="473"/>
      <c r="D326" s="476">
        <f t="shared" si="12"/>
        <v>0</v>
      </c>
      <c r="F326" s="121"/>
      <c r="G326" s="121"/>
      <c r="I326" s="224"/>
      <c r="J326" s="473"/>
      <c r="K326" s="476">
        <f t="shared" si="13"/>
        <v>0</v>
      </c>
      <c r="M326" s="121"/>
      <c r="N326" s="121"/>
      <c r="P326" s="224"/>
      <c r="Q326" s="473"/>
      <c r="R326" s="476">
        <f t="shared" si="14"/>
        <v>0</v>
      </c>
      <c r="T326" s="121"/>
      <c r="U326" s="121"/>
    </row>
    <row r="327" spans="2:21" ht="15" customHeight="1" x14ac:dyDescent="0.2">
      <c r="B327" s="224"/>
      <c r="C327" s="473"/>
      <c r="D327" s="476">
        <f t="shared" si="12"/>
        <v>0</v>
      </c>
      <c r="F327" s="121"/>
      <c r="G327" s="121"/>
      <c r="I327" s="224"/>
      <c r="J327" s="473"/>
      <c r="K327" s="476">
        <f t="shared" si="13"/>
        <v>0</v>
      </c>
      <c r="M327" s="121"/>
      <c r="N327" s="121"/>
      <c r="P327" s="224"/>
      <c r="Q327" s="473"/>
      <c r="R327" s="476">
        <f t="shared" si="14"/>
        <v>0</v>
      </c>
      <c r="T327" s="121"/>
      <c r="U327" s="121"/>
    </row>
    <row r="328" spans="2:21" ht="15" customHeight="1" x14ac:dyDescent="0.2">
      <c r="B328" s="224"/>
      <c r="C328" s="473"/>
      <c r="D328" s="476">
        <f t="shared" si="12"/>
        <v>0</v>
      </c>
      <c r="F328" s="121"/>
      <c r="G328" s="121"/>
      <c r="I328" s="224"/>
      <c r="J328" s="473"/>
      <c r="K328" s="476">
        <f t="shared" si="13"/>
        <v>0</v>
      </c>
      <c r="M328" s="121"/>
      <c r="N328" s="121"/>
      <c r="P328" s="224"/>
      <c r="Q328" s="473"/>
      <c r="R328" s="476">
        <f t="shared" si="14"/>
        <v>0</v>
      </c>
      <c r="T328" s="121"/>
      <c r="U328" s="121"/>
    </row>
    <row r="329" spans="2:21" ht="15" customHeight="1" x14ac:dyDescent="0.2">
      <c r="B329" s="224"/>
      <c r="C329" s="473"/>
      <c r="D329" s="476">
        <f t="shared" si="12"/>
        <v>0</v>
      </c>
      <c r="F329" s="121"/>
      <c r="G329" s="121"/>
      <c r="I329" s="224"/>
      <c r="J329" s="473"/>
      <c r="K329" s="476">
        <f t="shared" si="13"/>
        <v>0</v>
      </c>
      <c r="M329" s="121"/>
      <c r="N329" s="121"/>
      <c r="P329" s="224"/>
      <c r="Q329" s="473"/>
      <c r="R329" s="476">
        <f t="shared" si="14"/>
        <v>0</v>
      </c>
      <c r="T329" s="121"/>
      <c r="U329" s="121"/>
    </row>
    <row r="330" spans="2:21" ht="15" customHeight="1" x14ac:dyDescent="0.2">
      <c r="B330" s="224"/>
      <c r="C330" s="473"/>
      <c r="D330" s="476">
        <f t="shared" si="12"/>
        <v>0</v>
      </c>
      <c r="F330" s="121"/>
      <c r="G330" s="121"/>
      <c r="I330" s="224"/>
      <c r="J330" s="473"/>
      <c r="K330" s="476">
        <f t="shared" si="13"/>
        <v>0</v>
      </c>
      <c r="M330" s="121"/>
      <c r="N330" s="121"/>
      <c r="P330" s="224"/>
      <c r="Q330" s="473"/>
      <c r="R330" s="476">
        <f t="shared" si="14"/>
        <v>0</v>
      </c>
      <c r="T330" s="121"/>
      <c r="U330" s="121"/>
    </row>
    <row r="331" spans="2:21" ht="15" customHeight="1" x14ac:dyDescent="0.2">
      <c r="B331" s="224"/>
      <c r="C331" s="473"/>
      <c r="D331" s="476">
        <f t="shared" si="12"/>
        <v>0</v>
      </c>
      <c r="F331" s="121"/>
      <c r="G331" s="121"/>
      <c r="I331" s="224"/>
      <c r="J331" s="473"/>
      <c r="K331" s="476">
        <f t="shared" si="13"/>
        <v>0</v>
      </c>
      <c r="M331" s="121"/>
      <c r="N331" s="121"/>
      <c r="P331" s="224"/>
      <c r="Q331" s="473"/>
      <c r="R331" s="476">
        <f t="shared" si="14"/>
        <v>0</v>
      </c>
      <c r="T331" s="121"/>
      <c r="U331" s="121"/>
    </row>
    <row r="332" spans="2:21" ht="15" customHeight="1" x14ac:dyDescent="0.2">
      <c r="B332" s="224"/>
      <c r="C332" s="473"/>
      <c r="D332" s="476">
        <f t="shared" si="12"/>
        <v>0</v>
      </c>
      <c r="F332" s="121"/>
      <c r="G332" s="121"/>
      <c r="I332" s="224"/>
      <c r="J332" s="473"/>
      <c r="K332" s="476">
        <f t="shared" si="13"/>
        <v>0</v>
      </c>
      <c r="M332" s="121"/>
      <c r="N332" s="121"/>
      <c r="P332" s="224"/>
      <c r="Q332" s="473"/>
      <c r="R332" s="476">
        <f t="shared" si="14"/>
        <v>0</v>
      </c>
      <c r="T332" s="121"/>
      <c r="U332" s="121"/>
    </row>
    <row r="333" spans="2:21" ht="15" customHeight="1" x14ac:dyDescent="0.2">
      <c r="B333" s="224"/>
      <c r="C333" s="473"/>
      <c r="D333" s="476">
        <f t="shared" si="12"/>
        <v>0</v>
      </c>
      <c r="F333" s="121"/>
      <c r="G333" s="121"/>
      <c r="I333" s="224"/>
      <c r="J333" s="473"/>
      <c r="K333" s="476">
        <f t="shared" si="13"/>
        <v>0</v>
      </c>
      <c r="M333" s="121"/>
      <c r="N333" s="121"/>
      <c r="P333" s="224"/>
      <c r="Q333" s="473"/>
      <c r="R333" s="476">
        <f t="shared" si="14"/>
        <v>0</v>
      </c>
      <c r="T333" s="121"/>
      <c r="U333" s="121"/>
    </row>
    <row r="334" spans="2:21" ht="15" customHeight="1" x14ac:dyDescent="0.2">
      <c r="B334" s="224"/>
      <c r="C334" s="473"/>
      <c r="D334" s="476">
        <f t="shared" si="12"/>
        <v>0</v>
      </c>
      <c r="F334" s="121"/>
      <c r="G334" s="121"/>
      <c r="I334" s="224"/>
      <c r="J334" s="473"/>
      <c r="K334" s="476">
        <f t="shared" si="13"/>
        <v>0</v>
      </c>
      <c r="M334" s="121"/>
      <c r="N334" s="121"/>
      <c r="P334" s="224"/>
      <c r="Q334" s="473"/>
      <c r="R334" s="476">
        <f t="shared" si="14"/>
        <v>0</v>
      </c>
      <c r="T334" s="121"/>
      <c r="U334" s="121"/>
    </row>
    <row r="335" spans="2:21" ht="15" customHeight="1" x14ac:dyDescent="0.2">
      <c r="B335" s="224"/>
      <c r="C335" s="473"/>
      <c r="D335" s="476">
        <f t="shared" si="12"/>
        <v>0</v>
      </c>
      <c r="F335" s="121"/>
      <c r="G335" s="121"/>
      <c r="I335" s="224"/>
      <c r="J335" s="473"/>
      <c r="K335" s="476">
        <f t="shared" si="13"/>
        <v>0</v>
      </c>
      <c r="M335" s="121"/>
      <c r="N335" s="121"/>
      <c r="P335" s="224"/>
      <c r="Q335" s="473"/>
      <c r="R335" s="476">
        <f t="shared" si="14"/>
        <v>0</v>
      </c>
      <c r="T335" s="121"/>
      <c r="U335" s="121"/>
    </row>
    <row r="336" spans="2:21" ht="15" customHeight="1" x14ac:dyDescent="0.2">
      <c r="B336" s="224"/>
      <c r="C336" s="473"/>
      <c r="D336" s="476">
        <f t="shared" si="12"/>
        <v>0</v>
      </c>
      <c r="F336" s="121"/>
      <c r="G336" s="121"/>
      <c r="I336" s="224"/>
      <c r="J336" s="473"/>
      <c r="K336" s="476">
        <f t="shared" si="13"/>
        <v>0</v>
      </c>
      <c r="M336" s="121"/>
      <c r="N336" s="121"/>
      <c r="P336" s="224"/>
      <c r="Q336" s="473"/>
      <c r="R336" s="476">
        <f t="shared" si="14"/>
        <v>0</v>
      </c>
      <c r="T336" s="121"/>
      <c r="U336" s="121"/>
    </row>
    <row r="337" spans="2:21" ht="15" customHeight="1" x14ac:dyDescent="0.2">
      <c r="B337" s="224"/>
      <c r="C337" s="473"/>
      <c r="D337" s="476">
        <f t="shared" si="12"/>
        <v>0</v>
      </c>
      <c r="F337" s="121"/>
      <c r="G337" s="121"/>
      <c r="I337" s="224"/>
      <c r="J337" s="473"/>
      <c r="K337" s="476">
        <f t="shared" si="13"/>
        <v>0</v>
      </c>
      <c r="M337" s="121"/>
      <c r="N337" s="121"/>
      <c r="P337" s="224"/>
      <c r="Q337" s="473"/>
      <c r="R337" s="476">
        <f t="shared" si="14"/>
        <v>0</v>
      </c>
      <c r="T337" s="121"/>
      <c r="U337" s="121"/>
    </row>
    <row r="338" spans="2:21" ht="15" customHeight="1" x14ac:dyDescent="0.2">
      <c r="B338" s="224"/>
      <c r="C338" s="473"/>
      <c r="D338" s="476">
        <f t="shared" ref="D338:D401" si="15">C338/1000</f>
        <v>0</v>
      </c>
      <c r="F338" s="121"/>
      <c r="G338" s="121"/>
      <c r="I338" s="224"/>
      <c r="J338" s="473"/>
      <c r="K338" s="476">
        <f t="shared" ref="K338:K401" si="16">J338/1000</f>
        <v>0</v>
      </c>
      <c r="M338" s="121"/>
      <c r="N338" s="121"/>
      <c r="P338" s="224"/>
      <c r="Q338" s="473"/>
      <c r="R338" s="476">
        <f t="shared" ref="R338:R401" si="17">Q338/1000</f>
        <v>0</v>
      </c>
      <c r="T338" s="121"/>
      <c r="U338" s="121"/>
    </row>
    <row r="339" spans="2:21" ht="15" customHeight="1" x14ac:dyDescent="0.2">
      <c r="B339" s="224"/>
      <c r="C339" s="473"/>
      <c r="D339" s="476">
        <f t="shared" si="15"/>
        <v>0</v>
      </c>
      <c r="F339" s="121"/>
      <c r="G339" s="121"/>
      <c r="I339" s="224"/>
      <c r="J339" s="473"/>
      <c r="K339" s="476">
        <f t="shared" si="16"/>
        <v>0</v>
      </c>
      <c r="M339" s="121"/>
      <c r="N339" s="121"/>
      <c r="P339" s="224"/>
      <c r="Q339" s="473"/>
      <c r="R339" s="476">
        <f t="shared" si="17"/>
        <v>0</v>
      </c>
      <c r="T339" s="121"/>
      <c r="U339" s="121"/>
    </row>
    <row r="340" spans="2:21" ht="15" customHeight="1" x14ac:dyDescent="0.2">
      <c r="B340" s="224"/>
      <c r="C340" s="473"/>
      <c r="D340" s="476">
        <f t="shared" si="15"/>
        <v>0</v>
      </c>
      <c r="F340" s="121"/>
      <c r="G340" s="121"/>
      <c r="I340" s="224"/>
      <c r="J340" s="473"/>
      <c r="K340" s="476">
        <f t="shared" si="16"/>
        <v>0</v>
      </c>
      <c r="M340" s="121"/>
      <c r="N340" s="121"/>
      <c r="P340" s="224"/>
      <c r="Q340" s="473"/>
      <c r="R340" s="476">
        <f t="shared" si="17"/>
        <v>0</v>
      </c>
      <c r="T340" s="121"/>
      <c r="U340" s="121"/>
    </row>
    <row r="341" spans="2:21" ht="15" customHeight="1" x14ac:dyDescent="0.2">
      <c r="B341" s="224"/>
      <c r="C341" s="473"/>
      <c r="D341" s="476">
        <f t="shared" si="15"/>
        <v>0</v>
      </c>
      <c r="F341" s="121"/>
      <c r="G341" s="121"/>
      <c r="I341" s="224"/>
      <c r="J341" s="473"/>
      <c r="K341" s="476">
        <f t="shared" si="16"/>
        <v>0</v>
      </c>
      <c r="M341" s="121"/>
      <c r="N341" s="121"/>
      <c r="P341" s="224"/>
      <c r="Q341" s="473"/>
      <c r="R341" s="476">
        <f t="shared" si="17"/>
        <v>0</v>
      </c>
      <c r="T341" s="121"/>
      <c r="U341" s="121"/>
    </row>
    <row r="342" spans="2:21" ht="15" customHeight="1" x14ac:dyDescent="0.2">
      <c r="B342" s="224"/>
      <c r="C342" s="473"/>
      <c r="D342" s="476">
        <f t="shared" si="15"/>
        <v>0</v>
      </c>
      <c r="F342" s="121"/>
      <c r="G342" s="121"/>
      <c r="I342" s="224"/>
      <c r="J342" s="473"/>
      <c r="K342" s="476">
        <f t="shared" si="16"/>
        <v>0</v>
      </c>
      <c r="M342" s="121"/>
      <c r="N342" s="121"/>
      <c r="P342" s="224"/>
      <c r="Q342" s="473"/>
      <c r="R342" s="476">
        <f t="shared" si="17"/>
        <v>0</v>
      </c>
      <c r="T342" s="121"/>
      <c r="U342" s="121"/>
    </row>
    <row r="343" spans="2:21" ht="15" customHeight="1" x14ac:dyDescent="0.2">
      <c r="B343" s="224"/>
      <c r="C343" s="473"/>
      <c r="D343" s="476">
        <f t="shared" si="15"/>
        <v>0</v>
      </c>
      <c r="F343" s="121"/>
      <c r="G343" s="121"/>
      <c r="I343" s="224"/>
      <c r="J343" s="473"/>
      <c r="K343" s="476">
        <f t="shared" si="16"/>
        <v>0</v>
      </c>
      <c r="M343" s="121"/>
      <c r="N343" s="121"/>
      <c r="P343" s="224"/>
      <c r="Q343" s="473"/>
      <c r="R343" s="476">
        <f t="shared" si="17"/>
        <v>0</v>
      </c>
      <c r="T343" s="121"/>
      <c r="U343" s="121"/>
    </row>
    <row r="344" spans="2:21" ht="15" customHeight="1" x14ac:dyDescent="0.2">
      <c r="B344" s="224"/>
      <c r="C344" s="473"/>
      <c r="D344" s="476">
        <f t="shared" si="15"/>
        <v>0</v>
      </c>
      <c r="F344" s="121"/>
      <c r="G344" s="121"/>
      <c r="I344" s="224"/>
      <c r="J344" s="473"/>
      <c r="K344" s="476">
        <f t="shared" si="16"/>
        <v>0</v>
      </c>
      <c r="M344" s="121"/>
      <c r="N344" s="121"/>
      <c r="P344" s="224"/>
      <c r="Q344" s="473"/>
      <c r="R344" s="476">
        <f t="shared" si="17"/>
        <v>0</v>
      </c>
      <c r="T344" s="121"/>
      <c r="U344" s="121"/>
    </row>
    <row r="345" spans="2:21" ht="15" customHeight="1" x14ac:dyDescent="0.2">
      <c r="B345" s="224"/>
      <c r="C345" s="473"/>
      <c r="D345" s="476">
        <f t="shared" si="15"/>
        <v>0</v>
      </c>
      <c r="F345" s="121"/>
      <c r="G345" s="121"/>
      <c r="I345" s="224"/>
      <c r="J345" s="473"/>
      <c r="K345" s="476">
        <f t="shared" si="16"/>
        <v>0</v>
      </c>
      <c r="M345" s="121"/>
      <c r="N345" s="121"/>
      <c r="P345" s="224"/>
      <c r="Q345" s="473"/>
      <c r="R345" s="476">
        <f t="shared" si="17"/>
        <v>0</v>
      </c>
      <c r="T345" s="121"/>
      <c r="U345" s="121"/>
    </row>
    <row r="346" spans="2:21" ht="15" customHeight="1" x14ac:dyDescent="0.2">
      <c r="B346" s="224"/>
      <c r="C346" s="473"/>
      <c r="D346" s="476">
        <f t="shared" si="15"/>
        <v>0</v>
      </c>
      <c r="F346" s="121"/>
      <c r="G346" s="121"/>
      <c r="I346" s="224"/>
      <c r="J346" s="473"/>
      <c r="K346" s="476">
        <f t="shared" si="16"/>
        <v>0</v>
      </c>
      <c r="M346" s="121"/>
      <c r="N346" s="121"/>
      <c r="P346" s="224"/>
      <c r="Q346" s="473"/>
      <c r="R346" s="476">
        <f t="shared" si="17"/>
        <v>0</v>
      </c>
      <c r="T346" s="121"/>
      <c r="U346" s="121"/>
    </row>
    <row r="347" spans="2:21" ht="15" customHeight="1" x14ac:dyDescent="0.2">
      <c r="B347" s="224"/>
      <c r="C347" s="473"/>
      <c r="D347" s="476">
        <f t="shared" si="15"/>
        <v>0</v>
      </c>
      <c r="F347" s="121"/>
      <c r="G347" s="121"/>
      <c r="I347" s="224"/>
      <c r="J347" s="473"/>
      <c r="K347" s="476">
        <f t="shared" si="16"/>
        <v>0</v>
      </c>
      <c r="M347" s="121"/>
      <c r="N347" s="121"/>
      <c r="P347" s="224"/>
      <c r="Q347" s="473"/>
      <c r="R347" s="476">
        <f t="shared" si="17"/>
        <v>0</v>
      </c>
      <c r="T347" s="121"/>
      <c r="U347" s="121"/>
    </row>
    <row r="348" spans="2:21" ht="15" customHeight="1" x14ac:dyDescent="0.2">
      <c r="B348" s="224"/>
      <c r="C348" s="473"/>
      <c r="D348" s="476">
        <f t="shared" si="15"/>
        <v>0</v>
      </c>
      <c r="F348" s="121"/>
      <c r="G348" s="121"/>
      <c r="I348" s="224"/>
      <c r="J348" s="473"/>
      <c r="K348" s="476">
        <f t="shared" si="16"/>
        <v>0</v>
      </c>
      <c r="M348" s="121"/>
      <c r="N348" s="121"/>
      <c r="P348" s="224"/>
      <c r="Q348" s="473"/>
      <c r="R348" s="476">
        <f t="shared" si="17"/>
        <v>0</v>
      </c>
      <c r="T348" s="121"/>
      <c r="U348" s="121"/>
    </row>
    <row r="349" spans="2:21" ht="15" customHeight="1" x14ac:dyDescent="0.2">
      <c r="B349" s="224"/>
      <c r="C349" s="473"/>
      <c r="D349" s="476">
        <f t="shared" si="15"/>
        <v>0</v>
      </c>
      <c r="F349" s="121"/>
      <c r="G349" s="121"/>
      <c r="I349" s="224"/>
      <c r="J349" s="473"/>
      <c r="K349" s="476">
        <f t="shared" si="16"/>
        <v>0</v>
      </c>
      <c r="M349" s="121"/>
      <c r="N349" s="121"/>
      <c r="P349" s="224"/>
      <c r="Q349" s="473"/>
      <c r="R349" s="476">
        <f t="shared" si="17"/>
        <v>0</v>
      </c>
      <c r="T349" s="121"/>
      <c r="U349" s="121"/>
    </row>
    <row r="350" spans="2:21" ht="15" customHeight="1" x14ac:dyDescent="0.2">
      <c r="B350" s="224"/>
      <c r="C350" s="473"/>
      <c r="D350" s="476">
        <f t="shared" si="15"/>
        <v>0</v>
      </c>
      <c r="F350" s="121"/>
      <c r="G350" s="121"/>
      <c r="I350" s="224"/>
      <c r="J350" s="473"/>
      <c r="K350" s="476">
        <f t="shared" si="16"/>
        <v>0</v>
      </c>
      <c r="M350" s="121"/>
      <c r="N350" s="121"/>
      <c r="P350" s="224"/>
      <c r="Q350" s="473"/>
      <c r="R350" s="476">
        <f t="shared" si="17"/>
        <v>0</v>
      </c>
      <c r="T350" s="121"/>
      <c r="U350" s="121"/>
    </row>
    <row r="351" spans="2:21" ht="15" customHeight="1" x14ac:dyDescent="0.2">
      <c r="B351" s="224"/>
      <c r="C351" s="473"/>
      <c r="D351" s="476">
        <f t="shared" si="15"/>
        <v>0</v>
      </c>
      <c r="F351" s="121"/>
      <c r="G351" s="121"/>
      <c r="I351" s="224"/>
      <c r="J351" s="473"/>
      <c r="K351" s="476">
        <f t="shared" si="16"/>
        <v>0</v>
      </c>
      <c r="M351" s="121"/>
      <c r="N351" s="121"/>
      <c r="P351" s="224"/>
      <c r="Q351" s="473"/>
      <c r="R351" s="476">
        <f t="shared" si="17"/>
        <v>0</v>
      </c>
      <c r="T351" s="121"/>
      <c r="U351" s="121"/>
    </row>
    <row r="352" spans="2:21" ht="15" customHeight="1" x14ac:dyDescent="0.2">
      <c r="B352" s="224"/>
      <c r="C352" s="473"/>
      <c r="D352" s="476">
        <f t="shared" si="15"/>
        <v>0</v>
      </c>
      <c r="F352" s="121"/>
      <c r="G352" s="121"/>
      <c r="I352" s="224"/>
      <c r="J352" s="473"/>
      <c r="K352" s="476">
        <f t="shared" si="16"/>
        <v>0</v>
      </c>
      <c r="M352" s="121"/>
      <c r="N352" s="121"/>
      <c r="P352" s="224"/>
      <c r="Q352" s="473"/>
      <c r="R352" s="476">
        <f t="shared" si="17"/>
        <v>0</v>
      </c>
      <c r="T352" s="121"/>
      <c r="U352" s="121"/>
    </row>
    <row r="353" spans="2:21" ht="15" customHeight="1" x14ac:dyDescent="0.2">
      <c r="B353" s="224"/>
      <c r="C353" s="473"/>
      <c r="D353" s="476">
        <f t="shared" si="15"/>
        <v>0</v>
      </c>
      <c r="F353" s="121"/>
      <c r="G353" s="121"/>
      <c r="I353" s="224"/>
      <c r="J353" s="473"/>
      <c r="K353" s="476">
        <f t="shared" si="16"/>
        <v>0</v>
      </c>
      <c r="M353" s="121"/>
      <c r="N353" s="121"/>
      <c r="P353" s="224"/>
      <c r="Q353" s="473"/>
      <c r="R353" s="476">
        <f t="shared" si="17"/>
        <v>0</v>
      </c>
      <c r="T353" s="121"/>
      <c r="U353" s="121"/>
    </row>
    <row r="354" spans="2:21" ht="15" customHeight="1" x14ac:dyDescent="0.2">
      <c r="B354" s="224"/>
      <c r="C354" s="473"/>
      <c r="D354" s="476">
        <f t="shared" si="15"/>
        <v>0</v>
      </c>
      <c r="F354" s="121"/>
      <c r="G354" s="121"/>
      <c r="I354" s="224"/>
      <c r="J354" s="473"/>
      <c r="K354" s="476">
        <f t="shared" si="16"/>
        <v>0</v>
      </c>
      <c r="M354" s="121"/>
      <c r="N354" s="121"/>
      <c r="P354" s="224"/>
      <c r="Q354" s="473"/>
      <c r="R354" s="476">
        <f t="shared" si="17"/>
        <v>0</v>
      </c>
      <c r="T354" s="121"/>
      <c r="U354" s="121"/>
    </row>
    <row r="355" spans="2:21" ht="15" customHeight="1" x14ac:dyDescent="0.2">
      <c r="B355" s="224"/>
      <c r="C355" s="473"/>
      <c r="D355" s="476">
        <f t="shared" si="15"/>
        <v>0</v>
      </c>
      <c r="F355" s="121"/>
      <c r="G355" s="121"/>
      <c r="I355" s="224"/>
      <c r="J355" s="473"/>
      <c r="K355" s="476">
        <f t="shared" si="16"/>
        <v>0</v>
      </c>
      <c r="M355" s="121"/>
      <c r="N355" s="121"/>
      <c r="P355" s="224"/>
      <c r="Q355" s="473"/>
      <c r="R355" s="476">
        <f t="shared" si="17"/>
        <v>0</v>
      </c>
      <c r="T355" s="121"/>
      <c r="U355" s="121"/>
    </row>
    <row r="356" spans="2:21" ht="15" customHeight="1" x14ac:dyDescent="0.2">
      <c r="B356" s="224"/>
      <c r="C356" s="473"/>
      <c r="D356" s="476">
        <f t="shared" si="15"/>
        <v>0</v>
      </c>
      <c r="F356" s="121"/>
      <c r="G356" s="121"/>
      <c r="I356" s="224"/>
      <c r="J356" s="473"/>
      <c r="K356" s="476">
        <f t="shared" si="16"/>
        <v>0</v>
      </c>
      <c r="M356" s="121"/>
      <c r="N356" s="121"/>
      <c r="P356" s="224"/>
      <c r="Q356" s="473"/>
      <c r="R356" s="476">
        <f t="shared" si="17"/>
        <v>0</v>
      </c>
      <c r="T356" s="121"/>
      <c r="U356" s="121"/>
    </row>
    <row r="357" spans="2:21" ht="15" customHeight="1" x14ac:dyDescent="0.2">
      <c r="B357" s="224"/>
      <c r="C357" s="473"/>
      <c r="D357" s="476">
        <f t="shared" si="15"/>
        <v>0</v>
      </c>
      <c r="F357" s="121"/>
      <c r="G357" s="121"/>
      <c r="I357" s="224"/>
      <c r="J357" s="473"/>
      <c r="K357" s="476">
        <f t="shared" si="16"/>
        <v>0</v>
      </c>
      <c r="M357" s="121"/>
      <c r="N357" s="121"/>
      <c r="P357" s="224"/>
      <c r="Q357" s="473"/>
      <c r="R357" s="476">
        <f t="shared" si="17"/>
        <v>0</v>
      </c>
      <c r="T357" s="121"/>
      <c r="U357" s="121"/>
    </row>
    <row r="358" spans="2:21" ht="15" customHeight="1" x14ac:dyDescent="0.2">
      <c r="B358" s="224"/>
      <c r="C358" s="473"/>
      <c r="D358" s="476">
        <f t="shared" si="15"/>
        <v>0</v>
      </c>
      <c r="F358" s="121"/>
      <c r="G358" s="121"/>
      <c r="I358" s="224"/>
      <c r="J358" s="473"/>
      <c r="K358" s="476">
        <f t="shared" si="16"/>
        <v>0</v>
      </c>
      <c r="M358" s="121"/>
      <c r="N358" s="121"/>
      <c r="P358" s="224"/>
      <c r="Q358" s="473"/>
      <c r="R358" s="476">
        <f t="shared" si="17"/>
        <v>0</v>
      </c>
      <c r="T358" s="121"/>
      <c r="U358" s="121"/>
    </row>
    <row r="359" spans="2:21" ht="15" customHeight="1" x14ac:dyDescent="0.2">
      <c r="B359" s="224"/>
      <c r="C359" s="473"/>
      <c r="D359" s="476">
        <f t="shared" si="15"/>
        <v>0</v>
      </c>
      <c r="F359" s="121"/>
      <c r="G359" s="121"/>
      <c r="I359" s="224"/>
      <c r="J359" s="473"/>
      <c r="K359" s="476">
        <f t="shared" si="16"/>
        <v>0</v>
      </c>
      <c r="M359" s="121"/>
      <c r="N359" s="121"/>
      <c r="P359" s="224"/>
      <c r="Q359" s="473"/>
      <c r="R359" s="476">
        <f t="shared" si="17"/>
        <v>0</v>
      </c>
      <c r="T359" s="121"/>
      <c r="U359" s="121"/>
    </row>
    <row r="360" spans="2:21" ht="15" customHeight="1" x14ac:dyDescent="0.2">
      <c r="B360" s="224"/>
      <c r="C360" s="473"/>
      <c r="D360" s="476">
        <f t="shared" si="15"/>
        <v>0</v>
      </c>
      <c r="F360" s="121"/>
      <c r="G360" s="121"/>
      <c r="I360" s="224"/>
      <c r="J360" s="473"/>
      <c r="K360" s="476">
        <f t="shared" si="16"/>
        <v>0</v>
      </c>
      <c r="M360" s="121"/>
      <c r="N360" s="121"/>
      <c r="P360" s="224"/>
      <c r="Q360" s="473"/>
      <c r="R360" s="476">
        <f t="shared" si="17"/>
        <v>0</v>
      </c>
      <c r="T360" s="121"/>
      <c r="U360" s="121"/>
    </row>
    <row r="361" spans="2:21" ht="15" customHeight="1" x14ac:dyDescent="0.2">
      <c r="B361" s="224"/>
      <c r="C361" s="473"/>
      <c r="D361" s="476">
        <f t="shared" si="15"/>
        <v>0</v>
      </c>
      <c r="F361" s="121"/>
      <c r="G361" s="121"/>
      <c r="I361" s="224"/>
      <c r="J361" s="473"/>
      <c r="K361" s="476">
        <f t="shared" si="16"/>
        <v>0</v>
      </c>
      <c r="M361" s="121"/>
      <c r="N361" s="121"/>
      <c r="P361" s="224"/>
      <c r="Q361" s="473"/>
      <c r="R361" s="476">
        <f t="shared" si="17"/>
        <v>0</v>
      </c>
      <c r="T361" s="121"/>
      <c r="U361" s="121"/>
    </row>
    <row r="362" spans="2:21" ht="15" customHeight="1" x14ac:dyDescent="0.2">
      <c r="B362" s="224"/>
      <c r="C362" s="473"/>
      <c r="D362" s="476">
        <f t="shared" si="15"/>
        <v>0</v>
      </c>
      <c r="F362" s="121"/>
      <c r="G362" s="121"/>
      <c r="I362" s="224"/>
      <c r="J362" s="473"/>
      <c r="K362" s="476">
        <f t="shared" si="16"/>
        <v>0</v>
      </c>
      <c r="M362" s="121"/>
      <c r="N362" s="121"/>
      <c r="P362" s="224"/>
      <c r="Q362" s="473"/>
      <c r="R362" s="476">
        <f t="shared" si="17"/>
        <v>0</v>
      </c>
      <c r="T362" s="121"/>
      <c r="U362" s="121"/>
    </row>
    <row r="363" spans="2:21" ht="15" customHeight="1" x14ac:dyDescent="0.2">
      <c r="B363" s="224"/>
      <c r="C363" s="473"/>
      <c r="D363" s="476">
        <f t="shared" si="15"/>
        <v>0</v>
      </c>
      <c r="F363" s="121"/>
      <c r="G363" s="121"/>
      <c r="I363" s="224"/>
      <c r="J363" s="473"/>
      <c r="K363" s="476">
        <f t="shared" si="16"/>
        <v>0</v>
      </c>
      <c r="M363" s="121"/>
      <c r="N363" s="121"/>
      <c r="P363" s="224"/>
      <c r="Q363" s="473"/>
      <c r="R363" s="476">
        <f t="shared" si="17"/>
        <v>0</v>
      </c>
      <c r="T363" s="121"/>
      <c r="U363" s="121"/>
    </row>
    <row r="364" spans="2:21" ht="15" customHeight="1" x14ac:dyDescent="0.2">
      <c r="B364" s="224"/>
      <c r="C364" s="473"/>
      <c r="D364" s="476">
        <f t="shared" si="15"/>
        <v>0</v>
      </c>
      <c r="F364" s="121"/>
      <c r="G364" s="121"/>
      <c r="I364" s="224"/>
      <c r="J364" s="473"/>
      <c r="K364" s="476">
        <f t="shared" si="16"/>
        <v>0</v>
      </c>
      <c r="M364" s="121"/>
      <c r="N364" s="121"/>
      <c r="P364" s="224"/>
      <c r="Q364" s="473"/>
      <c r="R364" s="476">
        <f t="shared" si="17"/>
        <v>0</v>
      </c>
      <c r="T364" s="121"/>
      <c r="U364" s="121"/>
    </row>
    <row r="365" spans="2:21" ht="15" customHeight="1" x14ac:dyDescent="0.2">
      <c r="B365" s="224"/>
      <c r="C365" s="473"/>
      <c r="D365" s="476">
        <f t="shared" si="15"/>
        <v>0</v>
      </c>
      <c r="F365" s="121"/>
      <c r="G365" s="121"/>
      <c r="I365" s="224"/>
      <c r="J365" s="473"/>
      <c r="K365" s="476">
        <f t="shared" si="16"/>
        <v>0</v>
      </c>
      <c r="M365" s="121"/>
      <c r="N365" s="121"/>
      <c r="P365" s="224"/>
      <c r="Q365" s="473"/>
      <c r="R365" s="476">
        <f t="shared" si="17"/>
        <v>0</v>
      </c>
      <c r="T365" s="121"/>
      <c r="U365" s="121"/>
    </row>
    <row r="366" spans="2:21" ht="15" customHeight="1" x14ac:dyDescent="0.2">
      <c r="B366" s="224"/>
      <c r="C366" s="473"/>
      <c r="D366" s="476">
        <f t="shared" si="15"/>
        <v>0</v>
      </c>
      <c r="F366" s="121"/>
      <c r="G366" s="121"/>
      <c r="I366" s="224"/>
      <c r="J366" s="473"/>
      <c r="K366" s="476">
        <f t="shared" si="16"/>
        <v>0</v>
      </c>
      <c r="M366" s="121"/>
      <c r="N366" s="121"/>
      <c r="P366" s="224"/>
      <c r="Q366" s="473"/>
      <c r="R366" s="476">
        <f t="shared" si="17"/>
        <v>0</v>
      </c>
      <c r="T366" s="121"/>
      <c r="U366" s="121"/>
    </row>
    <row r="367" spans="2:21" ht="15" customHeight="1" x14ac:dyDescent="0.2">
      <c r="B367" s="224"/>
      <c r="C367" s="473"/>
      <c r="D367" s="476">
        <f t="shared" si="15"/>
        <v>0</v>
      </c>
      <c r="F367" s="121"/>
      <c r="G367" s="121"/>
      <c r="I367" s="224"/>
      <c r="J367" s="473"/>
      <c r="K367" s="476">
        <f t="shared" si="16"/>
        <v>0</v>
      </c>
      <c r="M367" s="121"/>
      <c r="N367" s="121"/>
      <c r="P367" s="224"/>
      <c r="Q367" s="473"/>
      <c r="R367" s="476">
        <f t="shared" si="17"/>
        <v>0</v>
      </c>
      <c r="T367" s="121"/>
      <c r="U367" s="121"/>
    </row>
    <row r="368" spans="2:21" ht="15" customHeight="1" x14ac:dyDescent="0.2">
      <c r="B368" s="224"/>
      <c r="C368" s="473"/>
      <c r="D368" s="476">
        <f t="shared" si="15"/>
        <v>0</v>
      </c>
      <c r="F368" s="121"/>
      <c r="G368" s="121"/>
      <c r="I368" s="224"/>
      <c r="J368" s="473"/>
      <c r="K368" s="476">
        <f t="shared" si="16"/>
        <v>0</v>
      </c>
      <c r="M368" s="121"/>
      <c r="N368" s="121"/>
      <c r="P368" s="224"/>
      <c r="Q368" s="473"/>
      <c r="R368" s="476">
        <f t="shared" si="17"/>
        <v>0</v>
      </c>
      <c r="T368" s="121"/>
      <c r="U368" s="121"/>
    </row>
    <row r="369" spans="2:18" ht="15" customHeight="1" x14ac:dyDescent="0.2">
      <c r="B369" s="224"/>
      <c r="C369" s="473"/>
      <c r="D369" s="476">
        <f t="shared" si="15"/>
        <v>0</v>
      </c>
      <c r="I369" s="224"/>
      <c r="J369" s="473"/>
      <c r="K369" s="476">
        <f t="shared" si="16"/>
        <v>0</v>
      </c>
      <c r="P369" s="224"/>
      <c r="Q369" s="473"/>
      <c r="R369" s="476">
        <f t="shared" si="17"/>
        <v>0</v>
      </c>
    </row>
    <row r="370" spans="2:18" ht="15" customHeight="1" x14ac:dyDescent="0.2">
      <c r="B370" s="224"/>
      <c r="C370" s="473"/>
      <c r="D370" s="476">
        <f t="shared" si="15"/>
        <v>0</v>
      </c>
      <c r="I370" s="224"/>
      <c r="J370" s="473"/>
      <c r="K370" s="476">
        <f t="shared" si="16"/>
        <v>0</v>
      </c>
      <c r="P370" s="224"/>
      <c r="Q370" s="473"/>
      <c r="R370" s="476">
        <f t="shared" si="17"/>
        <v>0</v>
      </c>
    </row>
    <row r="371" spans="2:18" ht="15" customHeight="1" x14ac:dyDescent="0.2">
      <c r="B371" s="224"/>
      <c r="C371" s="473"/>
      <c r="D371" s="476">
        <f t="shared" si="15"/>
        <v>0</v>
      </c>
      <c r="I371" s="224"/>
      <c r="J371" s="473"/>
      <c r="K371" s="476">
        <f t="shared" si="16"/>
        <v>0</v>
      </c>
      <c r="P371" s="224"/>
      <c r="Q371" s="473"/>
      <c r="R371" s="476">
        <f t="shared" si="17"/>
        <v>0</v>
      </c>
    </row>
    <row r="372" spans="2:18" ht="15" customHeight="1" x14ac:dyDescent="0.2">
      <c r="B372" s="224"/>
      <c r="C372" s="473"/>
      <c r="D372" s="476">
        <f t="shared" si="15"/>
        <v>0</v>
      </c>
      <c r="I372" s="224"/>
      <c r="J372" s="473"/>
      <c r="K372" s="476">
        <f t="shared" si="16"/>
        <v>0</v>
      </c>
      <c r="P372" s="224"/>
      <c r="Q372" s="473"/>
      <c r="R372" s="476">
        <f t="shared" si="17"/>
        <v>0</v>
      </c>
    </row>
    <row r="373" spans="2:18" ht="15" customHeight="1" x14ac:dyDescent="0.2">
      <c r="B373" s="224"/>
      <c r="C373" s="473"/>
      <c r="D373" s="476">
        <f t="shared" si="15"/>
        <v>0</v>
      </c>
      <c r="I373" s="224"/>
      <c r="J373" s="473"/>
      <c r="K373" s="476">
        <f t="shared" si="16"/>
        <v>0</v>
      </c>
      <c r="P373" s="224"/>
      <c r="Q373" s="473"/>
      <c r="R373" s="476">
        <f t="shared" si="17"/>
        <v>0</v>
      </c>
    </row>
    <row r="374" spans="2:18" ht="15" customHeight="1" x14ac:dyDescent="0.2">
      <c r="B374" s="224"/>
      <c r="C374" s="473"/>
      <c r="D374" s="476">
        <f t="shared" si="15"/>
        <v>0</v>
      </c>
      <c r="I374" s="224"/>
      <c r="J374" s="473"/>
      <c r="K374" s="476">
        <f t="shared" si="16"/>
        <v>0</v>
      </c>
      <c r="P374" s="224"/>
      <c r="Q374" s="473"/>
      <c r="R374" s="476">
        <f t="shared" si="17"/>
        <v>0</v>
      </c>
    </row>
    <row r="375" spans="2:18" ht="15" customHeight="1" x14ac:dyDescent="0.2">
      <c r="B375" s="224"/>
      <c r="C375" s="473"/>
      <c r="D375" s="476">
        <f t="shared" si="15"/>
        <v>0</v>
      </c>
      <c r="I375" s="224"/>
      <c r="J375" s="473"/>
      <c r="K375" s="476">
        <f t="shared" si="16"/>
        <v>0</v>
      </c>
      <c r="P375" s="224"/>
      <c r="Q375" s="473"/>
      <c r="R375" s="476">
        <f t="shared" si="17"/>
        <v>0</v>
      </c>
    </row>
    <row r="376" spans="2:18" ht="15" customHeight="1" x14ac:dyDescent="0.2">
      <c r="B376" s="224"/>
      <c r="C376" s="473"/>
      <c r="D376" s="476">
        <f t="shared" si="15"/>
        <v>0</v>
      </c>
      <c r="I376" s="224"/>
      <c r="J376" s="473"/>
      <c r="K376" s="476">
        <f t="shared" si="16"/>
        <v>0</v>
      </c>
      <c r="P376" s="224"/>
      <c r="Q376" s="473"/>
      <c r="R376" s="476">
        <f t="shared" si="17"/>
        <v>0</v>
      </c>
    </row>
    <row r="377" spans="2:18" ht="15" customHeight="1" x14ac:dyDescent="0.2">
      <c r="B377" s="224"/>
      <c r="C377" s="473"/>
      <c r="D377" s="476">
        <f t="shared" si="15"/>
        <v>0</v>
      </c>
      <c r="I377" s="224"/>
      <c r="J377" s="473"/>
      <c r="K377" s="476">
        <f t="shared" si="16"/>
        <v>0</v>
      </c>
      <c r="P377" s="224"/>
      <c r="Q377" s="473"/>
      <c r="R377" s="476">
        <f t="shared" si="17"/>
        <v>0</v>
      </c>
    </row>
    <row r="378" spans="2:18" ht="15" customHeight="1" x14ac:dyDescent="0.2">
      <c r="B378" s="224"/>
      <c r="C378" s="473"/>
      <c r="D378" s="476">
        <f t="shared" si="15"/>
        <v>0</v>
      </c>
      <c r="I378" s="224"/>
      <c r="J378" s="473"/>
      <c r="K378" s="476">
        <f t="shared" si="16"/>
        <v>0</v>
      </c>
      <c r="P378" s="224"/>
      <c r="Q378" s="473"/>
      <c r="R378" s="476">
        <f t="shared" si="17"/>
        <v>0</v>
      </c>
    </row>
    <row r="379" spans="2:18" ht="15" customHeight="1" x14ac:dyDescent="0.2">
      <c r="B379" s="224"/>
      <c r="C379" s="473"/>
      <c r="D379" s="476">
        <f t="shared" si="15"/>
        <v>0</v>
      </c>
      <c r="I379" s="224"/>
      <c r="J379" s="473"/>
      <c r="K379" s="476">
        <f t="shared" si="16"/>
        <v>0</v>
      </c>
      <c r="P379" s="224"/>
      <c r="Q379" s="473"/>
      <c r="R379" s="476">
        <f t="shared" si="17"/>
        <v>0</v>
      </c>
    </row>
    <row r="380" spans="2:18" ht="15" customHeight="1" x14ac:dyDescent="0.2">
      <c r="B380" s="224"/>
      <c r="C380" s="473"/>
      <c r="D380" s="476">
        <f t="shared" si="15"/>
        <v>0</v>
      </c>
      <c r="I380" s="224"/>
      <c r="J380" s="473"/>
      <c r="K380" s="476">
        <f t="shared" si="16"/>
        <v>0</v>
      </c>
      <c r="P380" s="224"/>
      <c r="Q380" s="473"/>
      <c r="R380" s="476">
        <f t="shared" si="17"/>
        <v>0</v>
      </c>
    </row>
    <row r="381" spans="2:18" ht="15" customHeight="1" x14ac:dyDescent="0.2">
      <c r="B381" s="224"/>
      <c r="C381" s="473"/>
      <c r="D381" s="476">
        <f t="shared" si="15"/>
        <v>0</v>
      </c>
      <c r="I381" s="224"/>
      <c r="J381" s="473"/>
      <c r="K381" s="476">
        <f t="shared" si="16"/>
        <v>0</v>
      </c>
      <c r="P381" s="224"/>
      <c r="Q381" s="473"/>
      <c r="R381" s="476">
        <f t="shared" si="17"/>
        <v>0</v>
      </c>
    </row>
    <row r="382" spans="2:18" ht="15" customHeight="1" x14ac:dyDescent="0.2">
      <c r="B382" s="224"/>
      <c r="C382" s="473"/>
      <c r="D382" s="476">
        <f t="shared" si="15"/>
        <v>0</v>
      </c>
      <c r="I382" s="224"/>
      <c r="J382" s="473"/>
      <c r="K382" s="476">
        <f t="shared" si="16"/>
        <v>0</v>
      </c>
      <c r="P382" s="224"/>
      <c r="Q382" s="473"/>
      <c r="R382" s="476">
        <f t="shared" si="17"/>
        <v>0</v>
      </c>
    </row>
    <row r="383" spans="2:18" ht="15" customHeight="1" x14ac:dyDescent="0.2">
      <c r="B383" s="224"/>
      <c r="C383" s="473"/>
      <c r="D383" s="476">
        <f t="shared" si="15"/>
        <v>0</v>
      </c>
      <c r="I383" s="224"/>
      <c r="J383" s="473"/>
      <c r="K383" s="476">
        <f t="shared" si="16"/>
        <v>0</v>
      </c>
      <c r="P383" s="224"/>
      <c r="Q383" s="473"/>
      <c r="R383" s="476">
        <f t="shared" si="17"/>
        <v>0</v>
      </c>
    </row>
    <row r="384" spans="2:18" ht="15" customHeight="1" x14ac:dyDescent="0.2">
      <c r="B384" s="224"/>
      <c r="C384" s="473"/>
      <c r="D384" s="476">
        <f t="shared" si="15"/>
        <v>0</v>
      </c>
      <c r="I384" s="224"/>
      <c r="J384" s="473"/>
      <c r="K384" s="476">
        <f t="shared" si="16"/>
        <v>0</v>
      </c>
      <c r="P384" s="224"/>
      <c r="Q384" s="473"/>
      <c r="R384" s="476">
        <f t="shared" si="17"/>
        <v>0</v>
      </c>
    </row>
    <row r="385" spans="2:18" ht="15" customHeight="1" x14ac:dyDescent="0.2">
      <c r="B385" s="224"/>
      <c r="C385" s="473"/>
      <c r="D385" s="476">
        <f t="shared" si="15"/>
        <v>0</v>
      </c>
      <c r="I385" s="224"/>
      <c r="J385" s="473"/>
      <c r="K385" s="476">
        <f t="shared" si="16"/>
        <v>0</v>
      </c>
      <c r="P385" s="224"/>
      <c r="Q385" s="473"/>
      <c r="R385" s="476">
        <f t="shared" si="17"/>
        <v>0</v>
      </c>
    </row>
    <row r="386" spans="2:18" ht="15" customHeight="1" x14ac:dyDescent="0.2">
      <c r="B386" s="224"/>
      <c r="C386" s="473"/>
      <c r="D386" s="476">
        <f t="shared" si="15"/>
        <v>0</v>
      </c>
      <c r="I386" s="224"/>
      <c r="J386" s="473"/>
      <c r="K386" s="476">
        <f t="shared" si="16"/>
        <v>0</v>
      </c>
      <c r="P386" s="224"/>
      <c r="Q386" s="473"/>
      <c r="R386" s="476">
        <f t="shared" si="17"/>
        <v>0</v>
      </c>
    </row>
    <row r="387" spans="2:18" ht="15" customHeight="1" x14ac:dyDescent="0.2">
      <c r="B387" s="224"/>
      <c r="C387" s="473"/>
      <c r="D387" s="476">
        <f t="shared" si="15"/>
        <v>0</v>
      </c>
      <c r="I387" s="224"/>
      <c r="J387" s="473"/>
      <c r="K387" s="476">
        <f t="shared" si="16"/>
        <v>0</v>
      </c>
      <c r="P387" s="224"/>
      <c r="Q387" s="473"/>
      <c r="R387" s="476">
        <f t="shared" si="17"/>
        <v>0</v>
      </c>
    </row>
    <row r="388" spans="2:18" ht="15" customHeight="1" x14ac:dyDescent="0.2">
      <c r="B388" s="224"/>
      <c r="C388" s="473"/>
      <c r="D388" s="476">
        <f t="shared" si="15"/>
        <v>0</v>
      </c>
      <c r="I388" s="224"/>
      <c r="J388" s="473"/>
      <c r="K388" s="476">
        <f t="shared" si="16"/>
        <v>0</v>
      </c>
      <c r="P388" s="224"/>
      <c r="Q388" s="473"/>
      <c r="R388" s="476">
        <f t="shared" si="17"/>
        <v>0</v>
      </c>
    </row>
    <row r="389" spans="2:18" ht="15" customHeight="1" x14ac:dyDescent="0.2">
      <c r="B389" s="224"/>
      <c r="C389" s="473"/>
      <c r="D389" s="476">
        <f t="shared" si="15"/>
        <v>0</v>
      </c>
      <c r="I389" s="224"/>
      <c r="J389" s="473"/>
      <c r="K389" s="476">
        <f t="shared" si="16"/>
        <v>0</v>
      </c>
      <c r="P389" s="224"/>
      <c r="Q389" s="473"/>
      <c r="R389" s="476">
        <f t="shared" si="17"/>
        <v>0</v>
      </c>
    </row>
    <row r="390" spans="2:18" ht="15" customHeight="1" x14ac:dyDescent="0.2">
      <c r="B390" s="224"/>
      <c r="C390" s="473"/>
      <c r="D390" s="476">
        <f t="shared" si="15"/>
        <v>0</v>
      </c>
      <c r="I390" s="224"/>
      <c r="J390" s="473"/>
      <c r="K390" s="476">
        <f t="shared" si="16"/>
        <v>0</v>
      </c>
      <c r="P390" s="224"/>
      <c r="Q390" s="473"/>
      <c r="R390" s="476">
        <f t="shared" si="17"/>
        <v>0</v>
      </c>
    </row>
    <row r="391" spans="2:18" ht="15" customHeight="1" x14ac:dyDescent="0.2">
      <c r="B391" s="224"/>
      <c r="C391" s="473"/>
      <c r="D391" s="476">
        <f t="shared" si="15"/>
        <v>0</v>
      </c>
      <c r="I391" s="224"/>
      <c r="J391" s="473"/>
      <c r="K391" s="476">
        <f t="shared" si="16"/>
        <v>0</v>
      </c>
      <c r="P391" s="224"/>
      <c r="Q391" s="473"/>
      <c r="R391" s="476">
        <f t="shared" si="17"/>
        <v>0</v>
      </c>
    </row>
    <row r="392" spans="2:18" ht="15" customHeight="1" x14ac:dyDescent="0.2">
      <c r="B392" s="224"/>
      <c r="C392" s="473"/>
      <c r="D392" s="476">
        <f t="shared" si="15"/>
        <v>0</v>
      </c>
      <c r="I392" s="224"/>
      <c r="J392" s="473"/>
      <c r="K392" s="476">
        <f t="shared" si="16"/>
        <v>0</v>
      </c>
      <c r="P392" s="224"/>
      <c r="Q392" s="473"/>
      <c r="R392" s="476">
        <f t="shared" si="17"/>
        <v>0</v>
      </c>
    </row>
    <row r="393" spans="2:18" ht="15" customHeight="1" x14ac:dyDescent="0.2">
      <c r="B393" s="224"/>
      <c r="C393" s="473"/>
      <c r="D393" s="476">
        <f t="shared" si="15"/>
        <v>0</v>
      </c>
      <c r="I393" s="224"/>
      <c r="J393" s="473"/>
      <c r="K393" s="476">
        <f t="shared" si="16"/>
        <v>0</v>
      </c>
      <c r="P393" s="224"/>
      <c r="Q393" s="473"/>
      <c r="R393" s="476">
        <f t="shared" si="17"/>
        <v>0</v>
      </c>
    </row>
    <row r="394" spans="2:18" ht="15" customHeight="1" x14ac:dyDescent="0.2">
      <c r="B394" s="224"/>
      <c r="C394" s="473"/>
      <c r="D394" s="476">
        <f t="shared" si="15"/>
        <v>0</v>
      </c>
      <c r="I394" s="224"/>
      <c r="J394" s="473"/>
      <c r="K394" s="476">
        <f t="shared" si="16"/>
        <v>0</v>
      </c>
      <c r="P394" s="224"/>
      <c r="Q394" s="473"/>
      <c r="R394" s="476">
        <f t="shared" si="17"/>
        <v>0</v>
      </c>
    </row>
    <row r="395" spans="2:18" ht="15" customHeight="1" x14ac:dyDescent="0.2">
      <c r="B395" s="224"/>
      <c r="C395" s="473"/>
      <c r="D395" s="476">
        <f t="shared" si="15"/>
        <v>0</v>
      </c>
      <c r="I395" s="224"/>
      <c r="J395" s="473"/>
      <c r="K395" s="476">
        <f t="shared" si="16"/>
        <v>0</v>
      </c>
      <c r="P395" s="224"/>
      <c r="Q395" s="473"/>
      <c r="R395" s="476">
        <f t="shared" si="17"/>
        <v>0</v>
      </c>
    </row>
    <row r="396" spans="2:18" ht="15" customHeight="1" x14ac:dyDescent="0.2">
      <c r="B396" s="224"/>
      <c r="C396" s="473"/>
      <c r="D396" s="476">
        <f t="shared" si="15"/>
        <v>0</v>
      </c>
      <c r="I396" s="224"/>
      <c r="J396" s="473"/>
      <c r="K396" s="476">
        <f t="shared" si="16"/>
        <v>0</v>
      </c>
      <c r="P396" s="224"/>
      <c r="Q396" s="473"/>
      <c r="R396" s="476">
        <f t="shared" si="17"/>
        <v>0</v>
      </c>
    </row>
    <row r="397" spans="2:18" ht="15" customHeight="1" x14ac:dyDescent="0.2">
      <c r="B397" s="224"/>
      <c r="C397" s="473"/>
      <c r="D397" s="476">
        <f t="shared" si="15"/>
        <v>0</v>
      </c>
      <c r="I397" s="224"/>
      <c r="J397" s="473"/>
      <c r="K397" s="476">
        <f t="shared" si="16"/>
        <v>0</v>
      </c>
      <c r="P397" s="224"/>
      <c r="Q397" s="473"/>
      <c r="R397" s="476">
        <f t="shared" si="17"/>
        <v>0</v>
      </c>
    </row>
    <row r="398" spans="2:18" ht="15" customHeight="1" x14ac:dyDescent="0.2">
      <c r="B398" s="224"/>
      <c r="C398" s="473"/>
      <c r="D398" s="476">
        <f t="shared" si="15"/>
        <v>0</v>
      </c>
      <c r="I398" s="224"/>
      <c r="J398" s="473"/>
      <c r="K398" s="476">
        <f t="shared" si="16"/>
        <v>0</v>
      </c>
      <c r="P398" s="224"/>
      <c r="Q398" s="473"/>
      <c r="R398" s="476">
        <f t="shared" si="17"/>
        <v>0</v>
      </c>
    </row>
    <row r="399" spans="2:18" ht="15" customHeight="1" x14ac:dyDescent="0.2">
      <c r="B399" s="224"/>
      <c r="C399" s="473"/>
      <c r="D399" s="476">
        <f t="shared" si="15"/>
        <v>0</v>
      </c>
      <c r="I399" s="224"/>
      <c r="J399" s="473"/>
      <c r="K399" s="476">
        <f t="shared" si="16"/>
        <v>0</v>
      </c>
      <c r="P399" s="224"/>
      <c r="Q399" s="473"/>
      <c r="R399" s="476">
        <f t="shared" si="17"/>
        <v>0</v>
      </c>
    </row>
    <row r="400" spans="2:18" ht="15" customHeight="1" x14ac:dyDescent="0.2">
      <c r="B400" s="224"/>
      <c r="C400" s="473"/>
      <c r="D400" s="476">
        <f t="shared" si="15"/>
        <v>0</v>
      </c>
      <c r="I400" s="224"/>
      <c r="J400" s="473"/>
      <c r="K400" s="476">
        <f t="shared" si="16"/>
        <v>0</v>
      </c>
      <c r="P400" s="224"/>
      <c r="Q400" s="473"/>
      <c r="R400" s="476">
        <f t="shared" si="17"/>
        <v>0</v>
      </c>
    </row>
    <row r="401" spans="2:18" ht="15" customHeight="1" x14ac:dyDescent="0.2">
      <c r="B401" s="224"/>
      <c r="C401" s="473"/>
      <c r="D401" s="476">
        <f t="shared" si="15"/>
        <v>0</v>
      </c>
      <c r="I401" s="224"/>
      <c r="J401" s="473"/>
      <c r="K401" s="476">
        <f t="shared" si="16"/>
        <v>0</v>
      </c>
      <c r="P401" s="224"/>
      <c r="Q401" s="473"/>
      <c r="R401" s="476">
        <f t="shared" si="17"/>
        <v>0</v>
      </c>
    </row>
    <row r="402" spans="2:18" ht="15" customHeight="1" x14ac:dyDescent="0.2">
      <c r="B402" s="224"/>
      <c r="C402" s="473"/>
      <c r="D402" s="476">
        <f t="shared" ref="D402:D465" si="18">C402/1000</f>
        <v>0</v>
      </c>
      <c r="I402" s="224"/>
      <c r="J402" s="473"/>
      <c r="K402" s="476">
        <f t="shared" ref="K402:K465" si="19">J402/1000</f>
        <v>0</v>
      </c>
      <c r="P402" s="224"/>
      <c r="Q402" s="473"/>
      <c r="R402" s="476">
        <f t="shared" ref="R402:R465" si="20">Q402/1000</f>
        <v>0</v>
      </c>
    </row>
    <row r="403" spans="2:18" ht="15" customHeight="1" x14ac:dyDescent="0.2">
      <c r="B403" s="224"/>
      <c r="C403" s="473"/>
      <c r="D403" s="476">
        <f t="shared" si="18"/>
        <v>0</v>
      </c>
      <c r="I403" s="224"/>
      <c r="J403" s="473"/>
      <c r="K403" s="476">
        <f t="shared" si="19"/>
        <v>0</v>
      </c>
      <c r="P403" s="224"/>
      <c r="Q403" s="473"/>
      <c r="R403" s="476">
        <f t="shared" si="20"/>
        <v>0</v>
      </c>
    </row>
    <row r="404" spans="2:18" ht="15" customHeight="1" x14ac:dyDescent="0.2">
      <c r="B404" s="224"/>
      <c r="C404" s="473"/>
      <c r="D404" s="476">
        <f t="shared" si="18"/>
        <v>0</v>
      </c>
      <c r="I404" s="224"/>
      <c r="J404" s="473"/>
      <c r="K404" s="476">
        <f t="shared" si="19"/>
        <v>0</v>
      </c>
      <c r="P404" s="224"/>
      <c r="Q404" s="473"/>
      <c r="R404" s="476">
        <f t="shared" si="20"/>
        <v>0</v>
      </c>
    </row>
    <row r="405" spans="2:18" ht="15" customHeight="1" x14ac:dyDescent="0.2">
      <c r="B405" s="224"/>
      <c r="C405" s="473"/>
      <c r="D405" s="476">
        <f t="shared" si="18"/>
        <v>0</v>
      </c>
      <c r="I405" s="224"/>
      <c r="J405" s="473"/>
      <c r="K405" s="476">
        <f t="shared" si="19"/>
        <v>0</v>
      </c>
      <c r="P405" s="224"/>
      <c r="Q405" s="473"/>
      <c r="R405" s="476">
        <f t="shared" si="20"/>
        <v>0</v>
      </c>
    </row>
    <row r="406" spans="2:18" ht="15" customHeight="1" x14ac:dyDescent="0.2">
      <c r="B406" s="224"/>
      <c r="C406" s="473"/>
      <c r="D406" s="476">
        <f t="shared" si="18"/>
        <v>0</v>
      </c>
      <c r="I406" s="224"/>
      <c r="J406" s="473"/>
      <c r="K406" s="476">
        <f t="shared" si="19"/>
        <v>0</v>
      </c>
      <c r="P406" s="224"/>
      <c r="Q406" s="473"/>
      <c r="R406" s="476">
        <f t="shared" si="20"/>
        <v>0</v>
      </c>
    </row>
    <row r="407" spans="2:18" ht="15" customHeight="1" x14ac:dyDescent="0.2">
      <c r="B407" s="224"/>
      <c r="C407" s="473"/>
      <c r="D407" s="476">
        <f t="shared" si="18"/>
        <v>0</v>
      </c>
      <c r="I407" s="224"/>
      <c r="J407" s="473"/>
      <c r="K407" s="476">
        <f t="shared" si="19"/>
        <v>0</v>
      </c>
      <c r="P407" s="224"/>
      <c r="Q407" s="473"/>
      <c r="R407" s="476">
        <f t="shared" si="20"/>
        <v>0</v>
      </c>
    </row>
    <row r="408" spans="2:18" ht="15" customHeight="1" x14ac:dyDescent="0.2">
      <c r="B408" s="224"/>
      <c r="C408" s="473"/>
      <c r="D408" s="476">
        <f t="shared" si="18"/>
        <v>0</v>
      </c>
      <c r="I408" s="224"/>
      <c r="J408" s="473"/>
      <c r="K408" s="476">
        <f t="shared" si="19"/>
        <v>0</v>
      </c>
      <c r="P408" s="224"/>
      <c r="Q408" s="473"/>
      <c r="R408" s="476">
        <f t="shared" si="20"/>
        <v>0</v>
      </c>
    </row>
    <row r="409" spans="2:18" ht="15" customHeight="1" x14ac:dyDescent="0.2">
      <c r="B409" s="224"/>
      <c r="C409" s="473"/>
      <c r="D409" s="476">
        <f t="shared" si="18"/>
        <v>0</v>
      </c>
      <c r="I409" s="224"/>
      <c r="J409" s="473"/>
      <c r="K409" s="476">
        <f t="shared" si="19"/>
        <v>0</v>
      </c>
      <c r="P409" s="224"/>
      <c r="Q409" s="473"/>
      <c r="R409" s="476">
        <f t="shared" si="20"/>
        <v>0</v>
      </c>
    </row>
    <row r="410" spans="2:18" ht="15" customHeight="1" x14ac:dyDescent="0.2">
      <c r="B410" s="224"/>
      <c r="C410" s="473"/>
      <c r="D410" s="476">
        <f t="shared" si="18"/>
        <v>0</v>
      </c>
      <c r="I410" s="224"/>
      <c r="J410" s="473"/>
      <c r="K410" s="476">
        <f t="shared" si="19"/>
        <v>0</v>
      </c>
      <c r="P410" s="224"/>
      <c r="Q410" s="473"/>
      <c r="R410" s="476">
        <f t="shared" si="20"/>
        <v>0</v>
      </c>
    </row>
    <row r="411" spans="2:18" ht="15" customHeight="1" x14ac:dyDescent="0.2">
      <c r="B411" s="224"/>
      <c r="C411" s="473"/>
      <c r="D411" s="476">
        <f t="shared" si="18"/>
        <v>0</v>
      </c>
      <c r="I411" s="224"/>
      <c r="J411" s="473"/>
      <c r="K411" s="476">
        <f t="shared" si="19"/>
        <v>0</v>
      </c>
      <c r="P411" s="224"/>
      <c r="Q411" s="473"/>
      <c r="R411" s="476">
        <f t="shared" si="20"/>
        <v>0</v>
      </c>
    </row>
    <row r="412" spans="2:18" ht="15" customHeight="1" x14ac:dyDescent="0.2">
      <c r="B412" s="224"/>
      <c r="C412" s="473"/>
      <c r="D412" s="476">
        <f t="shared" si="18"/>
        <v>0</v>
      </c>
      <c r="I412" s="224"/>
      <c r="J412" s="473"/>
      <c r="K412" s="476">
        <f t="shared" si="19"/>
        <v>0</v>
      </c>
      <c r="P412" s="224"/>
      <c r="Q412" s="473"/>
      <c r="R412" s="476">
        <f t="shared" si="20"/>
        <v>0</v>
      </c>
    </row>
    <row r="413" spans="2:18" ht="15" customHeight="1" x14ac:dyDescent="0.2">
      <c r="B413" s="224"/>
      <c r="C413" s="473"/>
      <c r="D413" s="476">
        <f t="shared" si="18"/>
        <v>0</v>
      </c>
      <c r="I413" s="224"/>
      <c r="J413" s="473"/>
      <c r="K413" s="476">
        <f t="shared" si="19"/>
        <v>0</v>
      </c>
      <c r="P413" s="224"/>
      <c r="Q413" s="473"/>
      <c r="R413" s="476">
        <f t="shared" si="20"/>
        <v>0</v>
      </c>
    </row>
    <row r="414" spans="2:18" ht="15" customHeight="1" x14ac:dyDescent="0.2">
      <c r="B414" s="224"/>
      <c r="C414" s="473"/>
      <c r="D414" s="476">
        <f t="shared" si="18"/>
        <v>0</v>
      </c>
      <c r="I414" s="224"/>
      <c r="J414" s="473"/>
      <c r="K414" s="476">
        <f t="shared" si="19"/>
        <v>0</v>
      </c>
      <c r="P414" s="224"/>
      <c r="Q414" s="473"/>
      <c r="R414" s="476">
        <f t="shared" si="20"/>
        <v>0</v>
      </c>
    </row>
    <row r="415" spans="2:18" ht="15" customHeight="1" x14ac:dyDescent="0.2">
      <c r="B415" s="224"/>
      <c r="C415" s="473"/>
      <c r="D415" s="476">
        <f t="shared" si="18"/>
        <v>0</v>
      </c>
      <c r="I415" s="224"/>
      <c r="J415" s="473"/>
      <c r="K415" s="476">
        <f t="shared" si="19"/>
        <v>0</v>
      </c>
      <c r="P415" s="224"/>
      <c r="Q415" s="473"/>
      <c r="R415" s="476">
        <f t="shared" si="20"/>
        <v>0</v>
      </c>
    </row>
    <row r="416" spans="2:18" ht="15" customHeight="1" x14ac:dyDescent="0.2">
      <c r="B416" s="224"/>
      <c r="C416" s="473"/>
      <c r="D416" s="476">
        <f t="shared" si="18"/>
        <v>0</v>
      </c>
      <c r="I416" s="224"/>
      <c r="J416" s="473"/>
      <c r="K416" s="476">
        <f t="shared" si="19"/>
        <v>0</v>
      </c>
      <c r="P416" s="224"/>
      <c r="Q416" s="473"/>
      <c r="R416" s="476">
        <f t="shared" si="20"/>
        <v>0</v>
      </c>
    </row>
    <row r="417" spans="2:18" ht="15" customHeight="1" x14ac:dyDescent="0.2">
      <c r="B417" s="224"/>
      <c r="C417" s="473"/>
      <c r="D417" s="476">
        <f t="shared" si="18"/>
        <v>0</v>
      </c>
      <c r="I417" s="224"/>
      <c r="J417" s="473"/>
      <c r="K417" s="476">
        <f t="shared" si="19"/>
        <v>0</v>
      </c>
      <c r="P417" s="224"/>
      <c r="Q417" s="473"/>
      <c r="R417" s="476">
        <f t="shared" si="20"/>
        <v>0</v>
      </c>
    </row>
    <row r="418" spans="2:18" ht="15" customHeight="1" x14ac:dyDescent="0.2">
      <c r="B418" s="224"/>
      <c r="C418" s="473"/>
      <c r="D418" s="476">
        <f t="shared" si="18"/>
        <v>0</v>
      </c>
      <c r="I418" s="224"/>
      <c r="J418" s="473"/>
      <c r="K418" s="476">
        <f t="shared" si="19"/>
        <v>0</v>
      </c>
      <c r="P418" s="224"/>
      <c r="Q418" s="473"/>
      <c r="R418" s="476">
        <f t="shared" si="20"/>
        <v>0</v>
      </c>
    </row>
    <row r="419" spans="2:18" ht="15" customHeight="1" x14ac:dyDescent="0.2">
      <c r="B419" s="224"/>
      <c r="C419" s="473"/>
      <c r="D419" s="476">
        <f t="shared" si="18"/>
        <v>0</v>
      </c>
      <c r="I419" s="224"/>
      <c r="J419" s="473"/>
      <c r="K419" s="476">
        <f t="shared" si="19"/>
        <v>0</v>
      </c>
      <c r="P419" s="224"/>
      <c r="Q419" s="473"/>
      <c r="R419" s="476">
        <f t="shared" si="20"/>
        <v>0</v>
      </c>
    </row>
    <row r="420" spans="2:18" ht="15" customHeight="1" x14ac:dyDescent="0.2">
      <c r="B420" s="224"/>
      <c r="C420" s="473"/>
      <c r="D420" s="476">
        <f t="shared" si="18"/>
        <v>0</v>
      </c>
      <c r="I420" s="224"/>
      <c r="J420" s="473"/>
      <c r="K420" s="476">
        <f t="shared" si="19"/>
        <v>0</v>
      </c>
      <c r="P420" s="224"/>
      <c r="Q420" s="473"/>
      <c r="R420" s="476">
        <f t="shared" si="20"/>
        <v>0</v>
      </c>
    </row>
    <row r="421" spans="2:18" ht="15" customHeight="1" x14ac:dyDescent="0.2">
      <c r="B421" s="224"/>
      <c r="C421" s="473"/>
      <c r="D421" s="476">
        <f t="shared" si="18"/>
        <v>0</v>
      </c>
      <c r="I421" s="224"/>
      <c r="J421" s="473"/>
      <c r="K421" s="476">
        <f t="shared" si="19"/>
        <v>0</v>
      </c>
      <c r="P421" s="224"/>
      <c r="Q421" s="473"/>
      <c r="R421" s="476">
        <f t="shared" si="20"/>
        <v>0</v>
      </c>
    </row>
    <row r="422" spans="2:18" ht="15" customHeight="1" x14ac:dyDescent="0.2">
      <c r="B422" s="224"/>
      <c r="C422" s="473"/>
      <c r="D422" s="476">
        <f t="shared" si="18"/>
        <v>0</v>
      </c>
      <c r="I422" s="224"/>
      <c r="J422" s="473"/>
      <c r="K422" s="476">
        <f t="shared" si="19"/>
        <v>0</v>
      </c>
      <c r="P422" s="224"/>
      <c r="Q422" s="473"/>
      <c r="R422" s="476">
        <f t="shared" si="20"/>
        <v>0</v>
      </c>
    </row>
    <row r="423" spans="2:18" ht="15" customHeight="1" x14ac:dyDescent="0.2">
      <c r="B423" s="224"/>
      <c r="C423" s="473"/>
      <c r="D423" s="476">
        <f t="shared" si="18"/>
        <v>0</v>
      </c>
      <c r="I423" s="224"/>
      <c r="J423" s="473"/>
      <c r="K423" s="476">
        <f t="shared" si="19"/>
        <v>0</v>
      </c>
      <c r="P423" s="224"/>
      <c r="Q423" s="473"/>
      <c r="R423" s="476">
        <f t="shared" si="20"/>
        <v>0</v>
      </c>
    </row>
    <row r="424" spans="2:18" ht="15" customHeight="1" x14ac:dyDescent="0.2">
      <c r="B424" s="224"/>
      <c r="C424" s="473"/>
      <c r="D424" s="476">
        <f t="shared" si="18"/>
        <v>0</v>
      </c>
      <c r="I424" s="224"/>
      <c r="J424" s="473"/>
      <c r="K424" s="476">
        <f t="shared" si="19"/>
        <v>0</v>
      </c>
      <c r="P424" s="224"/>
      <c r="Q424" s="473"/>
      <c r="R424" s="476">
        <f t="shared" si="20"/>
        <v>0</v>
      </c>
    </row>
    <row r="425" spans="2:18" ht="15" customHeight="1" x14ac:dyDescent="0.2">
      <c r="B425" s="224"/>
      <c r="C425" s="473"/>
      <c r="D425" s="476">
        <f t="shared" si="18"/>
        <v>0</v>
      </c>
      <c r="I425" s="224"/>
      <c r="J425" s="473"/>
      <c r="K425" s="476">
        <f t="shared" si="19"/>
        <v>0</v>
      </c>
      <c r="P425" s="224"/>
      <c r="Q425" s="473"/>
      <c r="R425" s="476">
        <f t="shared" si="20"/>
        <v>0</v>
      </c>
    </row>
    <row r="426" spans="2:18" ht="15" customHeight="1" x14ac:dyDescent="0.2">
      <c r="B426" s="224"/>
      <c r="C426" s="473"/>
      <c r="D426" s="476">
        <f t="shared" si="18"/>
        <v>0</v>
      </c>
      <c r="I426" s="224"/>
      <c r="J426" s="473"/>
      <c r="K426" s="476">
        <f t="shared" si="19"/>
        <v>0</v>
      </c>
      <c r="P426" s="224"/>
      <c r="Q426" s="473"/>
      <c r="R426" s="476">
        <f t="shared" si="20"/>
        <v>0</v>
      </c>
    </row>
    <row r="427" spans="2:18" ht="15" customHeight="1" x14ac:dyDescent="0.2">
      <c r="B427" s="224"/>
      <c r="C427" s="473"/>
      <c r="D427" s="476">
        <f t="shared" si="18"/>
        <v>0</v>
      </c>
      <c r="I427" s="224"/>
      <c r="J427" s="473"/>
      <c r="K427" s="476">
        <f t="shared" si="19"/>
        <v>0</v>
      </c>
      <c r="P427" s="224"/>
      <c r="Q427" s="473"/>
      <c r="R427" s="476">
        <f t="shared" si="20"/>
        <v>0</v>
      </c>
    </row>
    <row r="428" spans="2:18" ht="15" customHeight="1" x14ac:dyDescent="0.2">
      <c r="B428" s="224"/>
      <c r="C428" s="473"/>
      <c r="D428" s="476">
        <f t="shared" si="18"/>
        <v>0</v>
      </c>
      <c r="I428" s="224"/>
      <c r="J428" s="473"/>
      <c r="K428" s="476">
        <f t="shared" si="19"/>
        <v>0</v>
      </c>
      <c r="P428" s="224"/>
      <c r="Q428" s="473"/>
      <c r="R428" s="476">
        <f t="shared" si="20"/>
        <v>0</v>
      </c>
    </row>
    <row r="429" spans="2:18" ht="15" customHeight="1" x14ac:dyDescent="0.2">
      <c r="B429" s="224"/>
      <c r="C429" s="473"/>
      <c r="D429" s="476">
        <f t="shared" si="18"/>
        <v>0</v>
      </c>
      <c r="I429" s="224"/>
      <c r="J429" s="473"/>
      <c r="K429" s="476">
        <f t="shared" si="19"/>
        <v>0</v>
      </c>
      <c r="P429" s="224"/>
      <c r="Q429" s="473"/>
      <c r="R429" s="476">
        <f t="shared" si="20"/>
        <v>0</v>
      </c>
    </row>
    <row r="430" spans="2:18" ht="15" customHeight="1" x14ac:dyDescent="0.2">
      <c r="B430" s="224"/>
      <c r="C430" s="473"/>
      <c r="D430" s="476">
        <f t="shared" si="18"/>
        <v>0</v>
      </c>
      <c r="I430" s="224"/>
      <c r="J430" s="473"/>
      <c r="K430" s="476">
        <f t="shared" si="19"/>
        <v>0</v>
      </c>
      <c r="P430" s="224"/>
      <c r="Q430" s="473"/>
      <c r="R430" s="476">
        <f t="shared" si="20"/>
        <v>0</v>
      </c>
    </row>
    <row r="431" spans="2:18" ht="15" customHeight="1" x14ac:dyDescent="0.2">
      <c r="B431" s="224"/>
      <c r="C431" s="473"/>
      <c r="D431" s="476">
        <f t="shared" si="18"/>
        <v>0</v>
      </c>
      <c r="I431" s="224"/>
      <c r="J431" s="473"/>
      <c r="K431" s="476">
        <f t="shared" si="19"/>
        <v>0</v>
      </c>
      <c r="P431" s="224"/>
      <c r="Q431" s="473"/>
      <c r="R431" s="476">
        <f t="shared" si="20"/>
        <v>0</v>
      </c>
    </row>
    <row r="432" spans="2:18" ht="15" customHeight="1" x14ac:dyDescent="0.2">
      <c r="B432" s="224"/>
      <c r="C432" s="473"/>
      <c r="D432" s="476">
        <f t="shared" si="18"/>
        <v>0</v>
      </c>
      <c r="I432" s="224"/>
      <c r="J432" s="473"/>
      <c r="K432" s="476">
        <f t="shared" si="19"/>
        <v>0</v>
      </c>
      <c r="P432" s="224"/>
      <c r="Q432" s="473"/>
      <c r="R432" s="476">
        <f t="shared" si="20"/>
        <v>0</v>
      </c>
    </row>
    <row r="433" spans="2:18" ht="15" customHeight="1" x14ac:dyDescent="0.2">
      <c r="B433" s="224"/>
      <c r="C433" s="473"/>
      <c r="D433" s="476">
        <f t="shared" si="18"/>
        <v>0</v>
      </c>
      <c r="I433" s="224"/>
      <c r="J433" s="473"/>
      <c r="K433" s="476">
        <f t="shared" si="19"/>
        <v>0</v>
      </c>
      <c r="P433" s="224"/>
      <c r="Q433" s="473"/>
      <c r="R433" s="476">
        <f t="shared" si="20"/>
        <v>0</v>
      </c>
    </row>
    <row r="434" spans="2:18" ht="15" customHeight="1" x14ac:dyDescent="0.2">
      <c r="B434" s="224"/>
      <c r="C434" s="473"/>
      <c r="D434" s="476">
        <f t="shared" si="18"/>
        <v>0</v>
      </c>
      <c r="I434" s="224"/>
      <c r="J434" s="473"/>
      <c r="K434" s="476">
        <f t="shared" si="19"/>
        <v>0</v>
      </c>
      <c r="P434" s="224"/>
      <c r="Q434" s="473"/>
      <c r="R434" s="476">
        <f t="shared" si="20"/>
        <v>0</v>
      </c>
    </row>
    <row r="435" spans="2:18" ht="15" customHeight="1" x14ac:dyDescent="0.2">
      <c r="B435" s="224"/>
      <c r="C435" s="473"/>
      <c r="D435" s="476">
        <f t="shared" si="18"/>
        <v>0</v>
      </c>
      <c r="I435" s="224"/>
      <c r="J435" s="473"/>
      <c r="K435" s="476">
        <f t="shared" si="19"/>
        <v>0</v>
      </c>
      <c r="P435" s="224"/>
      <c r="Q435" s="473"/>
      <c r="R435" s="476">
        <f t="shared" si="20"/>
        <v>0</v>
      </c>
    </row>
    <row r="436" spans="2:18" ht="15" customHeight="1" x14ac:dyDescent="0.2">
      <c r="B436" s="224"/>
      <c r="C436" s="473"/>
      <c r="D436" s="476">
        <f t="shared" si="18"/>
        <v>0</v>
      </c>
      <c r="I436" s="224"/>
      <c r="J436" s="473"/>
      <c r="K436" s="476">
        <f t="shared" si="19"/>
        <v>0</v>
      </c>
      <c r="P436" s="224"/>
      <c r="Q436" s="473"/>
      <c r="R436" s="476">
        <f t="shared" si="20"/>
        <v>0</v>
      </c>
    </row>
    <row r="437" spans="2:18" ht="15" customHeight="1" x14ac:dyDescent="0.2">
      <c r="B437" s="224"/>
      <c r="C437" s="473"/>
      <c r="D437" s="476">
        <f t="shared" si="18"/>
        <v>0</v>
      </c>
      <c r="I437" s="224"/>
      <c r="J437" s="473"/>
      <c r="K437" s="476">
        <f t="shared" si="19"/>
        <v>0</v>
      </c>
      <c r="P437" s="224"/>
      <c r="Q437" s="473"/>
      <c r="R437" s="476">
        <f t="shared" si="20"/>
        <v>0</v>
      </c>
    </row>
    <row r="438" spans="2:18" ht="15" customHeight="1" x14ac:dyDescent="0.2">
      <c r="B438" s="224"/>
      <c r="C438" s="473"/>
      <c r="D438" s="476">
        <f t="shared" si="18"/>
        <v>0</v>
      </c>
      <c r="I438" s="224"/>
      <c r="J438" s="473"/>
      <c r="K438" s="476">
        <f t="shared" si="19"/>
        <v>0</v>
      </c>
      <c r="P438" s="224"/>
      <c r="Q438" s="473"/>
      <c r="R438" s="476">
        <f t="shared" si="20"/>
        <v>0</v>
      </c>
    </row>
    <row r="439" spans="2:18" ht="15" customHeight="1" x14ac:dyDescent="0.2">
      <c r="B439" s="224"/>
      <c r="C439" s="473"/>
      <c r="D439" s="476">
        <f t="shared" si="18"/>
        <v>0</v>
      </c>
      <c r="I439" s="224"/>
      <c r="J439" s="473"/>
      <c r="K439" s="476">
        <f t="shared" si="19"/>
        <v>0</v>
      </c>
      <c r="P439" s="224"/>
      <c r="Q439" s="473"/>
      <c r="R439" s="476">
        <f t="shared" si="20"/>
        <v>0</v>
      </c>
    </row>
    <row r="440" spans="2:18" ht="15" customHeight="1" x14ac:dyDescent="0.2">
      <c r="B440" s="224"/>
      <c r="C440" s="473"/>
      <c r="D440" s="476">
        <f t="shared" si="18"/>
        <v>0</v>
      </c>
      <c r="I440" s="224"/>
      <c r="J440" s="473"/>
      <c r="K440" s="476">
        <f t="shared" si="19"/>
        <v>0</v>
      </c>
      <c r="P440" s="224"/>
      <c r="Q440" s="473"/>
      <c r="R440" s="476">
        <f t="shared" si="20"/>
        <v>0</v>
      </c>
    </row>
    <row r="441" spans="2:18" ht="15" customHeight="1" x14ac:dyDescent="0.2">
      <c r="B441" s="224"/>
      <c r="C441" s="473"/>
      <c r="D441" s="476">
        <f t="shared" si="18"/>
        <v>0</v>
      </c>
      <c r="I441" s="224"/>
      <c r="J441" s="473"/>
      <c r="K441" s="476">
        <f t="shared" si="19"/>
        <v>0</v>
      </c>
      <c r="P441" s="224"/>
      <c r="Q441" s="473"/>
      <c r="R441" s="476">
        <f t="shared" si="20"/>
        <v>0</v>
      </c>
    </row>
    <row r="442" spans="2:18" ht="15" customHeight="1" x14ac:dyDescent="0.2">
      <c r="B442" s="224"/>
      <c r="C442" s="473"/>
      <c r="D442" s="476">
        <f t="shared" si="18"/>
        <v>0</v>
      </c>
      <c r="I442" s="224"/>
      <c r="J442" s="473"/>
      <c r="K442" s="476">
        <f t="shared" si="19"/>
        <v>0</v>
      </c>
      <c r="P442" s="224"/>
      <c r="Q442" s="473"/>
      <c r="R442" s="476">
        <f t="shared" si="20"/>
        <v>0</v>
      </c>
    </row>
    <row r="443" spans="2:18" ht="15" customHeight="1" x14ac:dyDescent="0.2">
      <c r="B443" s="224"/>
      <c r="C443" s="473"/>
      <c r="D443" s="476">
        <f t="shared" si="18"/>
        <v>0</v>
      </c>
      <c r="I443" s="224"/>
      <c r="J443" s="473"/>
      <c r="K443" s="476">
        <f t="shared" si="19"/>
        <v>0</v>
      </c>
      <c r="P443" s="224"/>
      <c r="Q443" s="473"/>
      <c r="R443" s="476">
        <f t="shared" si="20"/>
        <v>0</v>
      </c>
    </row>
    <row r="444" spans="2:18" ht="15" customHeight="1" x14ac:dyDescent="0.2">
      <c r="B444" s="224"/>
      <c r="C444" s="473"/>
      <c r="D444" s="476">
        <f t="shared" si="18"/>
        <v>0</v>
      </c>
      <c r="I444" s="224"/>
      <c r="J444" s="473"/>
      <c r="K444" s="476">
        <f t="shared" si="19"/>
        <v>0</v>
      </c>
      <c r="P444" s="224"/>
      <c r="Q444" s="473"/>
      <c r="R444" s="476">
        <f t="shared" si="20"/>
        <v>0</v>
      </c>
    </row>
    <row r="445" spans="2:18" ht="15" customHeight="1" x14ac:dyDescent="0.2">
      <c r="B445" s="224"/>
      <c r="C445" s="473"/>
      <c r="D445" s="476">
        <f t="shared" si="18"/>
        <v>0</v>
      </c>
      <c r="I445" s="224"/>
      <c r="J445" s="473"/>
      <c r="K445" s="476">
        <f t="shared" si="19"/>
        <v>0</v>
      </c>
      <c r="P445" s="224"/>
      <c r="Q445" s="473"/>
      <c r="R445" s="476">
        <f t="shared" si="20"/>
        <v>0</v>
      </c>
    </row>
    <row r="446" spans="2:18" ht="15" customHeight="1" x14ac:dyDescent="0.2">
      <c r="B446" s="224"/>
      <c r="C446" s="473"/>
      <c r="D446" s="476">
        <f t="shared" si="18"/>
        <v>0</v>
      </c>
      <c r="I446" s="224"/>
      <c r="J446" s="473"/>
      <c r="K446" s="476">
        <f t="shared" si="19"/>
        <v>0</v>
      </c>
      <c r="P446" s="224"/>
      <c r="Q446" s="473"/>
      <c r="R446" s="476">
        <f t="shared" si="20"/>
        <v>0</v>
      </c>
    </row>
    <row r="447" spans="2:18" ht="15" customHeight="1" x14ac:dyDescent="0.2">
      <c r="B447" s="224"/>
      <c r="C447" s="473"/>
      <c r="D447" s="476">
        <f t="shared" si="18"/>
        <v>0</v>
      </c>
      <c r="I447" s="224"/>
      <c r="J447" s="473"/>
      <c r="K447" s="476">
        <f t="shared" si="19"/>
        <v>0</v>
      </c>
      <c r="P447" s="224"/>
      <c r="Q447" s="473"/>
      <c r="R447" s="476">
        <f t="shared" si="20"/>
        <v>0</v>
      </c>
    </row>
    <row r="448" spans="2:18" ht="15" customHeight="1" x14ac:dyDescent="0.2">
      <c r="B448" s="224"/>
      <c r="C448" s="473"/>
      <c r="D448" s="476">
        <f t="shared" si="18"/>
        <v>0</v>
      </c>
      <c r="I448" s="224"/>
      <c r="J448" s="473"/>
      <c r="K448" s="476">
        <f t="shared" si="19"/>
        <v>0</v>
      </c>
      <c r="P448" s="224"/>
      <c r="Q448" s="473"/>
      <c r="R448" s="476">
        <f t="shared" si="20"/>
        <v>0</v>
      </c>
    </row>
    <row r="449" spans="2:18" ht="15" customHeight="1" x14ac:dyDescent="0.2">
      <c r="B449" s="224"/>
      <c r="C449" s="473"/>
      <c r="D449" s="476">
        <f t="shared" si="18"/>
        <v>0</v>
      </c>
      <c r="I449" s="224"/>
      <c r="J449" s="473"/>
      <c r="K449" s="476">
        <f t="shared" si="19"/>
        <v>0</v>
      </c>
      <c r="P449" s="224"/>
      <c r="Q449" s="473"/>
      <c r="R449" s="476">
        <f t="shared" si="20"/>
        <v>0</v>
      </c>
    </row>
    <row r="450" spans="2:18" ht="15" customHeight="1" x14ac:dyDescent="0.2">
      <c r="B450" s="224"/>
      <c r="C450" s="473"/>
      <c r="D450" s="476">
        <f t="shared" si="18"/>
        <v>0</v>
      </c>
      <c r="I450" s="224"/>
      <c r="J450" s="473"/>
      <c r="K450" s="476">
        <f t="shared" si="19"/>
        <v>0</v>
      </c>
      <c r="P450" s="224"/>
      <c r="Q450" s="473"/>
      <c r="R450" s="476">
        <f t="shared" si="20"/>
        <v>0</v>
      </c>
    </row>
    <row r="451" spans="2:18" ht="15" customHeight="1" x14ac:dyDescent="0.2">
      <c r="B451" s="224"/>
      <c r="C451" s="473"/>
      <c r="D451" s="476">
        <f t="shared" si="18"/>
        <v>0</v>
      </c>
      <c r="I451" s="224"/>
      <c r="J451" s="473"/>
      <c r="K451" s="476">
        <f t="shared" si="19"/>
        <v>0</v>
      </c>
      <c r="P451" s="224"/>
      <c r="Q451" s="473"/>
      <c r="R451" s="476">
        <f t="shared" si="20"/>
        <v>0</v>
      </c>
    </row>
    <row r="452" spans="2:18" ht="15" customHeight="1" x14ac:dyDescent="0.2">
      <c r="B452" s="224"/>
      <c r="C452" s="473"/>
      <c r="D452" s="476">
        <f t="shared" si="18"/>
        <v>0</v>
      </c>
      <c r="I452" s="224"/>
      <c r="J452" s="473"/>
      <c r="K452" s="476">
        <f t="shared" si="19"/>
        <v>0</v>
      </c>
      <c r="P452" s="224"/>
      <c r="Q452" s="473"/>
      <c r="R452" s="476">
        <f t="shared" si="20"/>
        <v>0</v>
      </c>
    </row>
    <row r="453" spans="2:18" ht="15" customHeight="1" x14ac:dyDescent="0.2">
      <c r="B453" s="224"/>
      <c r="C453" s="473"/>
      <c r="D453" s="476">
        <f t="shared" si="18"/>
        <v>0</v>
      </c>
      <c r="I453" s="224"/>
      <c r="J453" s="473"/>
      <c r="K453" s="476">
        <f t="shared" si="19"/>
        <v>0</v>
      </c>
      <c r="P453" s="224"/>
      <c r="Q453" s="473"/>
      <c r="R453" s="476">
        <f t="shared" si="20"/>
        <v>0</v>
      </c>
    </row>
    <row r="454" spans="2:18" ht="15" customHeight="1" x14ac:dyDescent="0.2">
      <c r="B454" s="224"/>
      <c r="C454" s="473"/>
      <c r="D454" s="476">
        <f t="shared" si="18"/>
        <v>0</v>
      </c>
      <c r="I454" s="224"/>
      <c r="J454" s="473"/>
      <c r="K454" s="476">
        <f t="shared" si="19"/>
        <v>0</v>
      </c>
      <c r="P454" s="224"/>
      <c r="Q454" s="473"/>
      <c r="R454" s="476">
        <f t="shared" si="20"/>
        <v>0</v>
      </c>
    </row>
    <row r="455" spans="2:18" ht="15" customHeight="1" x14ac:dyDescent="0.2">
      <c r="B455" s="224"/>
      <c r="C455" s="473"/>
      <c r="D455" s="476">
        <f t="shared" si="18"/>
        <v>0</v>
      </c>
      <c r="I455" s="224"/>
      <c r="J455" s="473"/>
      <c r="K455" s="476">
        <f t="shared" si="19"/>
        <v>0</v>
      </c>
      <c r="P455" s="224"/>
      <c r="Q455" s="473"/>
      <c r="R455" s="476">
        <f t="shared" si="20"/>
        <v>0</v>
      </c>
    </row>
    <row r="456" spans="2:18" ht="15" customHeight="1" x14ac:dyDescent="0.2">
      <c r="B456" s="224"/>
      <c r="C456" s="473"/>
      <c r="D456" s="476">
        <f t="shared" si="18"/>
        <v>0</v>
      </c>
      <c r="I456" s="224"/>
      <c r="J456" s="473"/>
      <c r="K456" s="476">
        <f t="shared" si="19"/>
        <v>0</v>
      </c>
      <c r="P456" s="224"/>
      <c r="Q456" s="473"/>
      <c r="R456" s="476">
        <f t="shared" si="20"/>
        <v>0</v>
      </c>
    </row>
    <row r="457" spans="2:18" ht="15" customHeight="1" x14ac:dyDescent="0.2">
      <c r="B457" s="224"/>
      <c r="C457" s="473"/>
      <c r="D457" s="476">
        <f t="shared" si="18"/>
        <v>0</v>
      </c>
      <c r="I457" s="224"/>
      <c r="J457" s="473"/>
      <c r="K457" s="476">
        <f t="shared" si="19"/>
        <v>0</v>
      </c>
      <c r="P457" s="224"/>
      <c r="Q457" s="473"/>
      <c r="R457" s="476">
        <f t="shared" si="20"/>
        <v>0</v>
      </c>
    </row>
    <row r="458" spans="2:18" ht="15" customHeight="1" x14ac:dyDescent="0.2">
      <c r="B458" s="224"/>
      <c r="C458" s="473"/>
      <c r="D458" s="476">
        <f t="shared" si="18"/>
        <v>0</v>
      </c>
      <c r="I458" s="224"/>
      <c r="J458" s="473"/>
      <c r="K458" s="476">
        <f t="shared" si="19"/>
        <v>0</v>
      </c>
      <c r="P458" s="224"/>
      <c r="Q458" s="473"/>
      <c r="R458" s="476">
        <f t="shared" si="20"/>
        <v>0</v>
      </c>
    </row>
    <row r="459" spans="2:18" ht="15" customHeight="1" x14ac:dyDescent="0.2">
      <c r="B459" s="224"/>
      <c r="C459" s="473"/>
      <c r="D459" s="476">
        <f t="shared" si="18"/>
        <v>0</v>
      </c>
      <c r="I459" s="224"/>
      <c r="J459" s="473"/>
      <c r="K459" s="476">
        <f t="shared" si="19"/>
        <v>0</v>
      </c>
      <c r="P459" s="224"/>
      <c r="Q459" s="473"/>
      <c r="R459" s="476">
        <f t="shared" si="20"/>
        <v>0</v>
      </c>
    </row>
    <row r="460" spans="2:18" ht="15" customHeight="1" x14ac:dyDescent="0.2">
      <c r="B460" s="224"/>
      <c r="C460" s="473"/>
      <c r="D460" s="476">
        <f t="shared" si="18"/>
        <v>0</v>
      </c>
      <c r="I460" s="224"/>
      <c r="J460" s="473"/>
      <c r="K460" s="476">
        <f t="shared" si="19"/>
        <v>0</v>
      </c>
      <c r="P460" s="224"/>
      <c r="Q460" s="473"/>
      <c r="R460" s="476">
        <f t="shared" si="20"/>
        <v>0</v>
      </c>
    </row>
    <row r="461" spans="2:18" ht="15" customHeight="1" x14ac:dyDescent="0.2">
      <c r="B461" s="224"/>
      <c r="C461" s="473"/>
      <c r="D461" s="476">
        <f t="shared" si="18"/>
        <v>0</v>
      </c>
      <c r="I461" s="224"/>
      <c r="J461" s="473"/>
      <c r="K461" s="476">
        <f t="shared" si="19"/>
        <v>0</v>
      </c>
      <c r="P461" s="224"/>
      <c r="Q461" s="473"/>
      <c r="R461" s="476">
        <f t="shared" si="20"/>
        <v>0</v>
      </c>
    </row>
    <row r="462" spans="2:18" ht="15" customHeight="1" x14ac:dyDescent="0.2">
      <c r="B462" s="224"/>
      <c r="C462" s="473"/>
      <c r="D462" s="476">
        <f t="shared" si="18"/>
        <v>0</v>
      </c>
      <c r="I462" s="224"/>
      <c r="J462" s="473"/>
      <c r="K462" s="476">
        <f t="shared" si="19"/>
        <v>0</v>
      </c>
      <c r="P462" s="224"/>
      <c r="Q462" s="473"/>
      <c r="R462" s="476">
        <f t="shared" si="20"/>
        <v>0</v>
      </c>
    </row>
    <row r="463" spans="2:18" ht="15" customHeight="1" x14ac:dyDescent="0.2">
      <c r="B463" s="224"/>
      <c r="C463" s="473"/>
      <c r="D463" s="476">
        <f t="shared" si="18"/>
        <v>0</v>
      </c>
      <c r="I463" s="224"/>
      <c r="J463" s="473"/>
      <c r="K463" s="476">
        <f t="shared" si="19"/>
        <v>0</v>
      </c>
      <c r="P463" s="224"/>
      <c r="Q463" s="473"/>
      <c r="R463" s="476">
        <f t="shared" si="20"/>
        <v>0</v>
      </c>
    </row>
    <row r="464" spans="2:18" ht="15" customHeight="1" x14ac:dyDescent="0.2">
      <c r="B464" s="224"/>
      <c r="C464" s="473"/>
      <c r="D464" s="476">
        <f t="shared" si="18"/>
        <v>0</v>
      </c>
      <c r="I464" s="224"/>
      <c r="J464" s="473"/>
      <c r="K464" s="476">
        <f t="shared" si="19"/>
        <v>0</v>
      </c>
      <c r="P464" s="224"/>
      <c r="Q464" s="473"/>
      <c r="R464" s="476">
        <f t="shared" si="20"/>
        <v>0</v>
      </c>
    </row>
    <row r="465" spans="2:18" ht="15" customHeight="1" x14ac:dyDescent="0.2">
      <c r="B465" s="224"/>
      <c r="C465" s="473"/>
      <c r="D465" s="476">
        <f t="shared" si="18"/>
        <v>0</v>
      </c>
      <c r="I465" s="224"/>
      <c r="J465" s="473"/>
      <c r="K465" s="476">
        <f t="shared" si="19"/>
        <v>0</v>
      </c>
      <c r="P465" s="224"/>
      <c r="Q465" s="473"/>
      <c r="R465" s="476">
        <f t="shared" si="20"/>
        <v>0</v>
      </c>
    </row>
    <row r="466" spans="2:18" ht="15" customHeight="1" x14ac:dyDescent="0.2">
      <c r="B466" s="224"/>
      <c r="C466" s="473"/>
      <c r="D466" s="476">
        <f t="shared" ref="D466:D529" si="21">C466/1000</f>
        <v>0</v>
      </c>
      <c r="I466" s="224"/>
      <c r="J466" s="473"/>
      <c r="K466" s="476">
        <f t="shared" ref="K466:K529" si="22">J466/1000</f>
        <v>0</v>
      </c>
      <c r="P466" s="224"/>
      <c r="Q466" s="473"/>
      <c r="R466" s="476">
        <f t="shared" ref="R466:R529" si="23">Q466/1000</f>
        <v>0</v>
      </c>
    </row>
    <row r="467" spans="2:18" ht="15" customHeight="1" x14ac:dyDescent="0.2">
      <c r="B467" s="224"/>
      <c r="C467" s="473"/>
      <c r="D467" s="476">
        <f t="shared" si="21"/>
        <v>0</v>
      </c>
      <c r="I467" s="224"/>
      <c r="J467" s="473"/>
      <c r="K467" s="476">
        <f t="shared" si="22"/>
        <v>0</v>
      </c>
      <c r="P467" s="224"/>
      <c r="Q467" s="473"/>
      <c r="R467" s="476">
        <f t="shared" si="23"/>
        <v>0</v>
      </c>
    </row>
    <row r="468" spans="2:18" ht="15" customHeight="1" x14ac:dyDescent="0.2">
      <c r="B468" s="224"/>
      <c r="C468" s="473"/>
      <c r="D468" s="476">
        <f t="shared" si="21"/>
        <v>0</v>
      </c>
      <c r="I468" s="224"/>
      <c r="J468" s="473"/>
      <c r="K468" s="476">
        <f t="shared" si="22"/>
        <v>0</v>
      </c>
      <c r="P468" s="224"/>
      <c r="Q468" s="473"/>
      <c r="R468" s="476">
        <f t="shared" si="23"/>
        <v>0</v>
      </c>
    </row>
    <row r="469" spans="2:18" ht="15" customHeight="1" x14ac:dyDescent="0.2">
      <c r="B469" s="224"/>
      <c r="C469" s="473"/>
      <c r="D469" s="476">
        <f t="shared" si="21"/>
        <v>0</v>
      </c>
      <c r="I469" s="224"/>
      <c r="J469" s="473"/>
      <c r="K469" s="476">
        <f t="shared" si="22"/>
        <v>0</v>
      </c>
      <c r="P469" s="224"/>
      <c r="Q469" s="473"/>
      <c r="R469" s="476">
        <f t="shared" si="23"/>
        <v>0</v>
      </c>
    </row>
    <row r="470" spans="2:18" ht="15" customHeight="1" x14ac:dyDescent="0.2">
      <c r="B470" s="224"/>
      <c r="C470" s="473"/>
      <c r="D470" s="476">
        <f t="shared" si="21"/>
        <v>0</v>
      </c>
      <c r="I470" s="224"/>
      <c r="J470" s="473"/>
      <c r="K470" s="476">
        <f t="shared" si="22"/>
        <v>0</v>
      </c>
      <c r="P470" s="224"/>
      <c r="Q470" s="473"/>
      <c r="R470" s="476">
        <f t="shared" si="23"/>
        <v>0</v>
      </c>
    </row>
    <row r="471" spans="2:18" ht="15" customHeight="1" x14ac:dyDescent="0.2">
      <c r="B471" s="224"/>
      <c r="C471" s="473"/>
      <c r="D471" s="476">
        <f t="shared" si="21"/>
        <v>0</v>
      </c>
      <c r="I471" s="224"/>
      <c r="J471" s="473"/>
      <c r="K471" s="476">
        <f t="shared" si="22"/>
        <v>0</v>
      </c>
      <c r="P471" s="224"/>
      <c r="Q471" s="473"/>
      <c r="R471" s="476">
        <f t="shared" si="23"/>
        <v>0</v>
      </c>
    </row>
    <row r="472" spans="2:18" ht="15" customHeight="1" x14ac:dyDescent="0.2">
      <c r="B472" s="224"/>
      <c r="C472" s="473"/>
      <c r="D472" s="476">
        <f t="shared" si="21"/>
        <v>0</v>
      </c>
      <c r="I472" s="224"/>
      <c r="J472" s="473"/>
      <c r="K472" s="476">
        <f t="shared" si="22"/>
        <v>0</v>
      </c>
      <c r="P472" s="224"/>
      <c r="Q472" s="473"/>
      <c r="R472" s="476">
        <f t="shared" si="23"/>
        <v>0</v>
      </c>
    </row>
    <row r="473" spans="2:18" ht="15" customHeight="1" x14ac:dyDescent="0.2">
      <c r="B473" s="224"/>
      <c r="C473" s="473"/>
      <c r="D473" s="476">
        <f t="shared" si="21"/>
        <v>0</v>
      </c>
      <c r="I473" s="224"/>
      <c r="J473" s="473"/>
      <c r="K473" s="476">
        <f t="shared" si="22"/>
        <v>0</v>
      </c>
      <c r="P473" s="224"/>
      <c r="Q473" s="473"/>
      <c r="R473" s="476">
        <f t="shared" si="23"/>
        <v>0</v>
      </c>
    </row>
    <row r="474" spans="2:18" ht="15" customHeight="1" x14ac:dyDescent="0.2">
      <c r="B474" s="224"/>
      <c r="C474" s="473"/>
      <c r="D474" s="476">
        <f t="shared" si="21"/>
        <v>0</v>
      </c>
      <c r="I474" s="224"/>
      <c r="J474" s="473"/>
      <c r="K474" s="476">
        <f t="shared" si="22"/>
        <v>0</v>
      </c>
      <c r="P474" s="224"/>
      <c r="Q474" s="473"/>
      <c r="R474" s="476">
        <f t="shared" si="23"/>
        <v>0</v>
      </c>
    </row>
    <row r="475" spans="2:18" ht="15" customHeight="1" x14ac:dyDescent="0.2">
      <c r="B475" s="224"/>
      <c r="C475" s="473"/>
      <c r="D475" s="476">
        <f t="shared" si="21"/>
        <v>0</v>
      </c>
      <c r="I475" s="224"/>
      <c r="J475" s="473"/>
      <c r="K475" s="476">
        <f t="shared" si="22"/>
        <v>0</v>
      </c>
      <c r="P475" s="224"/>
      <c r="Q475" s="473"/>
      <c r="R475" s="476">
        <f t="shared" si="23"/>
        <v>0</v>
      </c>
    </row>
    <row r="476" spans="2:18" ht="15" customHeight="1" x14ac:dyDescent="0.2">
      <c r="B476" s="224"/>
      <c r="C476" s="473"/>
      <c r="D476" s="476">
        <f t="shared" si="21"/>
        <v>0</v>
      </c>
      <c r="I476" s="224"/>
      <c r="J476" s="473"/>
      <c r="K476" s="476">
        <f t="shared" si="22"/>
        <v>0</v>
      </c>
      <c r="P476" s="224"/>
      <c r="Q476" s="473"/>
      <c r="R476" s="476">
        <f t="shared" si="23"/>
        <v>0</v>
      </c>
    </row>
    <row r="477" spans="2:18" ht="15" customHeight="1" x14ac:dyDescent="0.2">
      <c r="B477" s="224"/>
      <c r="C477" s="473"/>
      <c r="D477" s="476">
        <f t="shared" si="21"/>
        <v>0</v>
      </c>
      <c r="I477" s="224"/>
      <c r="J477" s="473"/>
      <c r="K477" s="476">
        <f t="shared" si="22"/>
        <v>0</v>
      </c>
      <c r="P477" s="224"/>
      <c r="Q477" s="473"/>
      <c r="R477" s="476">
        <f t="shared" si="23"/>
        <v>0</v>
      </c>
    </row>
    <row r="478" spans="2:18" ht="15" customHeight="1" x14ac:dyDescent="0.2">
      <c r="B478" s="224"/>
      <c r="C478" s="473"/>
      <c r="D478" s="476">
        <f t="shared" si="21"/>
        <v>0</v>
      </c>
      <c r="I478" s="224"/>
      <c r="J478" s="473"/>
      <c r="K478" s="476">
        <f t="shared" si="22"/>
        <v>0</v>
      </c>
      <c r="P478" s="224"/>
      <c r="Q478" s="473"/>
      <c r="R478" s="476">
        <f t="shared" si="23"/>
        <v>0</v>
      </c>
    </row>
    <row r="479" spans="2:18" ht="15" customHeight="1" x14ac:dyDescent="0.2">
      <c r="B479" s="224"/>
      <c r="C479" s="473"/>
      <c r="D479" s="476">
        <f t="shared" si="21"/>
        <v>0</v>
      </c>
      <c r="I479" s="224"/>
      <c r="J479" s="473"/>
      <c r="K479" s="476">
        <f t="shared" si="22"/>
        <v>0</v>
      </c>
      <c r="P479" s="224"/>
      <c r="Q479" s="473"/>
      <c r="R479" s="476">
        <f t="shared" si="23"/>
        <v>0</v>
      </c>
    </row>
    <row r="480" spans="2:18" ht="15" customHeight="1" x14ac:dyDescent="0.2">
      <c r="B480" s="224"/>
      <c r="C480" s="473"/>
      <c r="D480" s="476">
        <f t="shared" si="21"/>
        <v>0</v>
      </c>
      <c r="I480" s="224"/>
      <c r="J480" s="473"/>
      <c r="K480" s="476">
        <f t="shared" si="22"/>
        <v>0</v>
      </c>
      <c r="P480" s="224"/>
      <c r="Q480" s="473"/>
      <c r="R480" s="476">
        <f t="shared" si="23"/>
        <v>0</v>
      </c>
    </row>
    <row r="481" spans="2:18" ht="15" customHeight="1" x14ac:dyDescent="0.2">
      <c r="B481" s="224"/>
      <c r="C481" s="473"/>
      <c r="D481" s="476">
        <f t="shared" si="21"/>
        <v>0</v>
      </c>
      <c r="I481" s="224"/>
      <c r="J481" s="473"/>
      <c r="K481" s="476">
        <f t="shared" si="22"/>
        <v>0</v>
      </c>
      <c r="P481" s="224"/>
      <c r="Q481" s="473"/>
      <c r="R481" s="476">
        <f t="shared" si="23"/>
        <v>0</v>
      </c>
    </row>
    <row r="482" spans="2:18" ht="15" customHeight="1" x14ac:dyDescent="0.2">
      <c r="B482" s="224"/>
      <c r="C482" s="473"/>
      <c r="D482" s="476">
        <f t="shared" si="21"/>
        <v>0</v>
      </c>
      <c r="I482" s="224"/>
      <c r="J482" s="473"/>
      <c r="K482" s="476">
        <f t="shared" si="22"/>
        <v>0</v>
      </c>
      <c r="P482" s="224"/>
      <c r="Q482" s="473"/>
      <c r="R482" s="476">
        <f t="shared" si="23"/>
        <v>0</v>
      </c>
    </row>
    <row r="483" spans="2:18" ht="15" customHeight="1" x14ac:dyDescent="0.2">
      <c r="B483" s="224"/>
      <c r="C483" s="473"/>
      <c r="D483" s="476">
        <f t="shared" si="21"/>
        <v>0</v>
      </c>
      <c r="I483" s="224"/>
      <c r="J483" s="473"/>
      <c r="K483" s="476">
        <f t="shared" si="22"/>
        <v>0</v>
      </c>
      <c r="P483" s="224"/>
      <c r="Q483" s="473"/>
      <c r="R483" s="476">
        <f t="shared" si="23"/>
        <v>0</v>
      </c>
    </row>
    <row r="484" spans="2:18" ht="15" customHeight="1" x14ac:dyDescent="0.2">
      <c r="B484" s="224"/>
      <c r="C484" s="473"/>
      <c r="D484" s="476">
        <f t="shared" si="21"/>
        <v>0</v>
      </c>
      <c r="I484" s="224"/>
      <c r="J484" s="473"/>
      <c r="K484" s="476">
        <f t="shared" si="22"/>
        <v>0</v>
      </c>
      <c r="P484" s="224"/>
      <c r="Q484" s="473"/>
      <c r="R484" s="476">
        <f t="shared" si="23"/>
        <v>0</v>
      </c>
    </row>
    <row r="485" spans="2:18" ht="15" customHeight="1" x14ac:dyDescent="0.2">
      <c r="B485" s="224"/>
      <c r="C485" s="473"/>
      <c r="D485" s="476">
        <f t="shared" si="21"/>
        <v>0</v>
      </c>
      <c r="I485" s="224"/>
      <c r="J485" s="473"/>
      <c r="K485" s="476">
        <f t="shared" si="22"/>
        <v>0</v>
      </c>
      <c r="P485" s="224"/>
      <c r="Q485" s="473"/>
      <c r="R485" s="476">
        <f t="shared" si="23"/>
        <v>0</v>
      </c>
    </row>
    <row r="486" spans="2:18" ht="15" customHeight="1" x14ac:dyDescent="0.2">
      <c r="B486" s="224"/>
      <c r="C486" s="473"/>
      <c r="D486" s="476">
        <f t="shared" si="21"/>
        <v>0</v>
      </c>
      <c r="I486" s="224"/>
      <c r="J486" s="473"/>
      <c r="K486" s="476">
        <f t="shared" si="22"/>
        <v>0</v>
      </c>
      <c r="P486" s="224"/>
      <c r="Q486" s="473"/>
      <c r="R486" s="476">
        <f t="shared" si="23"/>
        <v>0</v>
      </c>
    </row>
    <row r="487" spans="2:18" ht="15" customHeight="1" x14ac:dyDescent="0.2">
      <c r="B487" s="224"/>
      <c r="C487" s="473"/>
      <c r="D487" s="476">
        <f t="shared" si="21"/>
        <v>0</v>
      </c>
      <c r="I487" s="224"/>
      <c r="J487" s="473"/>
      <c r="K487" s="476">
        <f t="shared" si="22"/>
        <v>0</v>
      </c>
      <c r="P487" s="224"/>
      <c r="Q487" s="473"/>
      <c r="R487" s="476">
        <f t="shared" si="23"/>
        <v>0</v>
      </c>
    </row>
    <row r="488" spans="2:18" ht="15" customHeight="1" x14ac:dyDescent="0.2">
      <c r="B488" s="224"/>
      <c r="C488" s="473"/>
      <c r="D488" s="476">
        <f t="shared" si="21"/>
        <v>0</v>
      </c>
      <c r="I488" s="224"/>
      <c r="J488" s="473"/>
      <c r="K488" s="476">
        <f t="shared" si="22"/>
        <v>0</v>
      </c>
      <c r="P488" s="224"/>
      <c r="Q488" s="473"/>
      <c r="R488" s="476">
        <f t="shared" si="23"/>
        <v>0</v>
      </c>
    </row>
    <row r="489" spans="2:18" ht="15" customHeight="1" x14ac:dyDescent="0.2">
      <c r="B489" s="224"/>
      <c r="C489" s="473"/>
      <c r="D489" s="476">
        <f t="shared" si="21"/>
        <v>0</v>
      </c>
      <c r="I489" s="224"/>
      <c r="J489" s="473"/>
      <c r="K489" s="476">
        <f t="shared" si="22"/>
        <v>0</v>
      </c>
      <c r="P489" s="224"/>
      <c r="Q489" s="473"/>
      <c r="R489" s="476">
        <f t="shared" si="23"/>
        <v>0</v>
      </c>
    </row>
    <row r="490" spans="2:18" ht="15" customHeight="1" x14ac:dyDescent="0.2">
      <c r="B490" s="224"/>
      <c r="C490" s="473"/>
      <c r="D490" s="476">
        <f t="shared" si="21"/>
        <v>0</v>
      </c>
      <c r="I490" s="224"/>
      <c r="J490" s="473"/>
      <c r="K490" s="476">
        <f t="shared" si="22"/>
        <v>0</v>
      </c>
      <c r="P490" s="224"/>
      <c r="Q490" s="473"/>
      <c r="R490" s="476">
        <f t="shared" si="23"/>
        <v>0</v>
      </c>
    </row>
    <row r="491" spans="2:18" ht="15" customHeight="1" x14ac:dyDescent="0.2">
      <c r="B491" s="224"/>
      <c r="C491" s="473"/>
      <c r="D491" s="476">
        <f t="shared" si="21"/>
        <v>0</v>
      </c>
      <c r="I491" s="224"/>
      <c r="J491" s="473"/>
      <c r="K491" s="476">
        <f t="shared" si="22"/>
        <v>0</v>
      </c>
      <c r="P491" s="224"/>
      <c r="Q491" s="473"/>
      <c r="R491" s="476">
        <f t="shared" si="23"/>
        <v>0</v>
      </c>
    </row>
    <row r="492" spans="2:18" ht="15" customHeight="1" x14ac:dyDescent="0.2">
      <c r="B492" s="224"/>
      <c r="C492" s="473"/>
      <c r="D492" s="476">
        <f t="shared" si="21"/>
        <v>0</v>
      </c>
      <c r="I492" s="224"/>
      <c r="J492" s="473"/>
      <c r="K492" s="476">
        <f t="shared" si="22"/>
        <v>0</v>
      </c>
      <c r="P492" s="224"/>
      <c r="Q492" s="473"/>
      <c r="R492" s="476">
        <f t="shared" si="23"/>
        <v>0</v>
      </c>
    </row>
    <row r="493" spans="2:18" ht="15" customHeight="1" x14ac:dyDescent="0.2">
      <c r="B493" s="224"/>
      <c r="C493" s="473"/>
      <c r="D493" s="476">
        <f t="shared" si="21"/>
        <v>0</v>
      </c>
      <c r="I493" s="224"/>
      <c r="J493" s="473"/>
      <c r="K493" s="476">
        <f t="shared" si="22"/>
        <v>0</v>
      </c>
      <c r="P493" s="224"/>
      <c r="Q493" s="473"/>
      <c r="R493" s="476">
        <f t="shared" si="23"/>
        <v>0</v>
      </c>
    </row>
    <row r="494" spans="2:18" ht="15" customHeight="1" x14ac:dyDescent="0.2">
      <c r="B494" s="224"/>
      <c r="C494" s="473"/>
      <c r="D494" s="476">
        <f t="shared" si="21"/>
        <v>0</v>
      </c>
      <c r="I494" s="224"/>
      <c r="J494" s="473"/>
      <c r="K494" s="476">
        <f t="shared" si="22"/>
        <v>0</v>
      </c>
      <c r="P494" s="224"/>
      <c r="Q494" s="473"/>
      <c r="R494" s="476">
        <f t="shared" si="23"/>
        <v>0</v>
      </c>
    </row>
    <row r="495" spans="2:18" ht="15" customHeight="1" x14ac:dyDescent="0.2">
      <c r="B495" s="224"/>
      <c r="C495" s="473"/>
      <c r="D495" s="476">
        <f t="shared" si="21"/>
        <v>0</v>
      </c>
      <c r="I495" s="224"/>
      <c r="J495" s="473"/>
      <c r="K495" s="476">
        <f t="shared" si="22"/>
        <v>0</v>
      </c>
      <c r="P495" s="224"/>
      <c r="Q495" s="473"/>
      <c r="R495" s="476">
        <f t="shared" si="23"/>
        <v>0</v>
      </c>
    </row>
    <row r="496" spans="2:18" ht="15" customHeight="1" x14ac:dyDescent="0.2">
      <c r="B496" s="224"/>
      <c r="C496" s="473"/>
      <c r="D496" s="476">
        <f t="shared" si="21"/>
        <v>0</v>
      </c>
      <c r="I496" s="224"/>
      <c r="J496" s="473"/>
      <c r="K496" s="476">
        <f t="shared" si="22"/>
        <v>0</v>
      </c>
      <c r="P496" s="224"/>
      <c r="Q496" s="473"/>
      <c r="R496" s="476">
        <f t="shared" si="23"/>
        <v>0</v>
      </c>
    </row>
    <row r="497" spans="2:18" ht="15" customHeight="1" x14ac:dyDescent="0.2">
      <c r="B497" s="224"/>
      <c r="C497" s="473"/>
      <c r="D497" s="476">
        <f t="shared" si="21"/>
        <v>0</v>
      </c>
      <c r="I497" s="224"/>
      <c r="J497" s="473"/>
      <c r="K497" s="476">
        <f t="shared" si="22"/>
        <v>0</v>
      </c>
      <c r="P497" s="224"/>
      <c r="Q497" s="473"/>
      <c r="R497" s="476">
        <f t="shared" si="23"/>
        <v>0</v>
      </c>
    </row>
    <row r="498" spans="2:18" ht="15" customHeight="1" x14ac:dyDescent="0.2">
      <c r="B498" s="224"/>
      <c r="C498" s="473"/>
      <c r="D498" s="476">
        <f t="shared" si="21"/>
        <v>0</v>
      </c>
      <c r="I498" s="224"/>
      <c r="J498" s="473"/>
      <c r="K498" s="476">
        <f t="shared" si="22"/>
        <v>0</v>
      </c>
      <c r="P498" s="224"/>
      <c r="Q498" s="473"/>
      <c r="R498" s="476">
        <f t="shared" si="23"/>
        <v>0</v>
      </c>
    </row>
    <row r="499" spans="2:18" ht="15" customHeight="1" x14ac:dyDescent="0.2">
      <c r="B499" s="224"/>
      <c r="C499" s="473"/>
      <c r="D499" s="476">
        <f t="shared" si="21"/>
        <v>0</v>
      </c>
      <c r="I499" s="224"/>
      <c r="J499" s="473"/>
      <c r="K499" s="476">
        <f t="shared" si="22"/>
        <v>0</v>
      </c>
      <c r="P499" s="224"/>
      <c r="Q499" s="473"/>
      <c r="R499" s="476">
        <f t="shared" si="23"/>
        <v>0</v>
      </c>
    </row>
    <row r="500" spans="2:18" ht="15" customHeight="1" x14ac:dyDescent="0.2">
      <c r="B500" s="224"/>
      <c r="C500" s="473"/>
      <c r="D500" s="476">
        <f t="shared" si="21"/>
        <v>0</v>
      </c>
      <c r="I500" s="224"/>
      <c r="J500" s="473"/>
      <c r="K500" s="476">
        <f t="shared" si="22"/>
        <v>0</v>
      </c>
      <c r="P500" s="224"/>
      <c r="Q500" s="473"/>
      <c r="R500" s="476">
        <f t="shared" si="23"/>
        <v>0</v>
      </c>
    </row>
    <row r="501" spans="2:18" ht="15" customHeight="1" x14ac:dyDescent="0.2">
      <c r="B501" s="224"/>
      <c r="C501" s="473"/>
      <c r="D501" s="476">
        <f t="shared" si="21"/>
        <v>0</v>
      </c>
      <c r="I501" s="224"/>
      <c r="J501" s="473"/>
      <c r="K501" s="476">
        <f t="shared" si="22"/>
        <v>0</v>
      </c>
      <c r="P501" s="224"/>
      <c r="Q501" s="473"/>
      <c r="R501" s="476">
        <f t="shared" si="23"/>
        <v>0</v>
      </c>
    </row>
    <row r="502" spans="2:18" ht="15" customHeight="1" x14ac:dyDescent="0.2">
      <c r="B502" s="224"/>
      <c r="C502" s="473"/>
      <c r="D502" s="476">
        <f t="shared" si="21"/>
        <v>0</v>
      </c>
      <c r="I502" s="224"/>
      <c r="J502" s="473"/>
      <c r="K502" s="476">
        <f t="shared" si="22"/>
        <v>0</v>
      </c>
      <c r="P502" s="224"/>
      <c r="Q502" s="473"/>
      <c r="R502" s="476">
        <f t="shared" si="23"/>
        <v>0</v>
      </c>
    </row>
    <row r="503" spans="2:18" ht="15" customHeight="1" x14ac:dyDescent="0.2">
      <c r="B503" s="224"/>
      <c r="C503" s="473"/>
      <c r="D503" s="476">
        <f t="shared" si="21"/>
        <v>0</v>
      </c>
      <c r="I503" s="224"/>
      <c r="J503" s="473"/>
      <c r="K503" s="476">
        <f t="shared" si="22"/>
        <v>0</v>
      </c>
      <c r="P503" s="224"/>
      <c r="Q503" s="473"/>
      <c r="R503" s="476">
        <f t="shared" si="23"/>
        <v>0</v>
      </c>
    </row>
    <row r="504" spans="2:18" ht="15" customHeight="1" x14ac:dyDescent="0.2">
      <c r="B504" s="224"/>
      <c r="C504" s="473"/>
      <c r="D504" s="476">
        <f t="shared" si="21"/>
        <v>0</v>
      </c>
      <c r="I504" s="224"/>
      <c r="J504" s="473"/>
      <c r="K504" s="476">
        <f t="shared" si="22"/>
        <v>0</v>
      </c>
      <c r="P504" s="224"/>
      <c r="Q504" s="473"/>
      <c r="R504" s="476">
        <f t="shared" si="23"/>
        <v>0</v>
      </c>
    </row>
    <row r="505" spans="2:18" ht="15" customHeight="1" x14ac:dyDescent="0.2">
      <c r="B505" s="224"/>
      <c r="C505" s="473"/>
      <c r="D505" s="476">
        <f t="shared" si="21"/>
        <v>0</v>
      </c>
      <c r="I505" s="224"/>
      <c r="J505" s="473"/>
      <c r="K505" s="476">
        <f t="shared" si="22"/>
        <v>0</v>
      </c>
      <c r="P505" s="224"/>
      <c r="Q505" s="473"/>
      <c r="R505" s="476">
        <f t="shared" si="23"/>
        <v>0</v>
      </c>
    </row>
    <row r="506" spans="2:18" ht="15" customHeight="1" x14ac:dyDescent="0.2">
      <c r="B506" s="224"/>
      <c r="C506" s="473"/>
      <c r="D506" s="476">
        <f t="shared" si="21"/>
        <v>0</v>
      </c>
      <c r="I506" s="224"/>
      <c r="J506" s="473"/>
      <c r="K506" s="476">
        <f t="shared" si="22"/>
        <v>0</v>
      </c>
      <c r="P506" s="224"/>
      <c r="Q506" s="473"/>
      <c r="R506" s="476">
        <f t="shared" si="23"/>
        <v>0</v>
      </c>
    </row>
    <row r="507" spans="2:18" ht="15" customHeight="1" x14ac:dyDescent="0.2">
      <c r="B507" s="224"/>
      <c r="C507" s="473"/>
      <c r="D507" s="476">
        <f t="shared" si="21"/>
        <v>0</v>
      </c>
      <c r="I507" s="224"/>
      <c r="J507" s="473"/>
      <c r="K507" s="476">
        <f t="shared" si="22"/>
        <v>0</v>
      </c>
      <c r="P507" s="224"/>
      <c r="Q507" s="473"/>
      <c r="R507" s="476">
        <f t="shared" si="23"/>
        <v>0</v>
      </c>
    </row>
    <row r="508" spans="2:18" ht="15" customHeight="1" x14ac:dyDescent="0.2">
      <c r="B508" s="224"/>
      <c r="C508" s="473"/>
      <c r="D508" s="476">
        <f t="shared" si="21"/>
        <v>0</v>
      </c>
      <c r="I508" s="224"/>
      <c r="J508" s="473"/>
      <c r="K508" s="476">
        <f t="shared" si="22"/>
        <v>0</v>
      </c>
      <c r="P508" s="224"/>
      <c r="Q508" s="473"/>
      <c r="R508" s="476">
        <f t="shared" si="23"/>
        <v>0</v>
      </c>
    </row>
    <row r="509" spans="2:18" ht="15" customHeight="1" x14ac:dyDescent="0.2">
      <c r="B509" s="224"/>
      <c r="C509" s="473"/>
      <c r="D509" s="476">
        <f t="shared" si="21"/>
        <v>0</v>
      </c>
      <c r="I509" s="224"/>
      <c r="J509" s="473"/>
      <c r="K509" s="476">
        <f t="shared" si="22"/>
        <v>0</v>
      </c>
      <c r="P509" s="224"/>
      <c r="Q509" s="473"/>
      <c r="R509" s="476">
        <f t="shared" si="23"/>
        <v>0</v>
      </c>
    </row>
    <row r="510" spans="2:18" ht="15" customHeight="1" x14ac:dyDescent="0.2">
      <c r="B510" s="224"/>
      <c r="C510" s="473"/>
      <c r="D510" s="476">
        <f t="shared" si="21"/>
        <v>0</v>
      </c>
      <c r="I510" s="224"/>
      <c r="J510" s="473"/>
      <c r="K510" s="476">
        <f t="shared" si="22"/>
        <v>0</v>
      </c>
      <c r="P510" s="224"/>
      <c r="Q510" s="473"/>
      <c r="R510" s="476">
        <f t="shared" si="23"/>
        <v>0</v>
      </c>
    </row>
    <row r="511" spans="2:18" ht="15" customHeight="1" x14ac:dyDescent="0.2">
      <c r="B511" s="224"/>
      <c r="C511" s="473"/>
      <c r="D511" s="476">
        <f t="shared" si="21"/>
        <v>0</v>
      </c>
      <c r="I511" s="224"/>
      <c r="J511" s="473"/>
      <c r="K511" s="476">
        <f t="shared" si="22"/>
        <v>0</v>
      </c>
      <c r="P511" s="224"/>
      <c r="Q511" s="473"/>
      <c r="R511" s="476">
        <f t="shared" si="23"/>
        <v>0</v>
      </c>
    </row>
    <row r="512" spans="2:18" ht="15" customHeight="1" x14ac:dyDescent="0.2">
      <c r="B512" s="224"/>
      <c r="C512" s="473"/>
      <c r="D512" s="476">
        <f t="shared" si="21"/>
        <v>0</v>
      </c>
      <c r="I512" s="224"/>
      <c r="J512" s="473"/>
      <c r="K512" s="476">
        <f t="shared" si="22"/>
        <v>0</v>
      </c>
      <c r="P512" s="224"/>
      <c r="Q512" s="473"/>
      <c r="R512" s="476">
        <f t="shared" si="23"/>
        <v>0</v>
      </c>
    </row>
    <row r="513" spans="2:18" ht="15" customHeight="1" x14ac:dyDescent="0.2">
      <c r="B513" s="224"/>
      <c r="C513" s="473"/>
      <c r="D513" s="476">
        <f t="shared" si="21"/>
        <v>0</v>
      </c>
      <c r="I513" s="224"/>
      <c r="J513" s="473"/>
      <c r="K513" s="476">
        <f t="shared" si="22"/>
        <v>0</v>
      </c>
      <c r="P513" s="224"/>
      <c r="Q513" s="473"/>
      <c r="R513" s="476">
        <f t="shared" si="23"/>
        <v>0</v>
      </c>
    </row>
    <row r="514" spans="2:18" ht="15" customHeight="1" x14ac:dyDescent="0.2">
      <c r="B514" s="224"/>
      <c r="C514" s="473"/>
      <c r="D514" s="476">
        <f t="shared" si="21"/>
        <v>0</v>
      </c>
      <c r="I514" s="224"/>
      <c r="J514" s="473"/>
      <c r="K514" s="476">
        <f t="shared" si="22"/>
        <v>0</v>
      </c>
      <c r="P514" s="224"/>
      <c r="Q514" s="473"/>
      <c r="R514" s="476">
        <f t="shared" si="23"/>
        <v>0</v>
      </c>
    </row>
    <row r="515" spans="2:18" ht="15" customHeight="1" x14ac:dyDescent="0.2">
      <c r="B515" s="224"/>
      <c r="C515" s="473"/>
      <c r="D515" s="476">
        <f t="shared" si="21"/>
        <v>0</v>
      </c>
      <c r="I515" s="224"/>
      <c r="J515" s="473"/>
      <c r="K515" s="476">
        <f t="shared" si="22"/>
        <v>0</v>
      </c>
      <c r="P515" s="224"/>
      <c r="Q515" s="473"/>
      <c r="R515" s="476">
        <f t="shared" si="23"/>
        <v>0</v>
      </c>
    </row>
    <row r="516" spans="2:18" ht="15" customHeight="1" x14ac:dyDescent="0.2">
      <c r="B516" s="224"/>
      <c r="C516" s="473"/>
      <c r="D516" s="476">
        <f t="shared" si="21"/>
        <v>0</v>
      </c>
      <c r="I516" s="224"/>
      <c r="J516" s="473"/>
      <c r="K516" s="476">
        <f t="shared" si="22"/>
        <v>0</v>
      </c>
      <c r="P516" s="224"/>
      <c r="Q516" s="473"/>
      <c r="R516" s="476">
        <f t="shared" si="23"/>
        <v>0</v>
      </c>
    </row>
    <row r="517" spans="2:18" ht="15" customHeight="1" x14ac:dyDescent="0.2">
      <c r="B517" s="224"/>
      <c r="C517" s="473"/>
      <c r="D517" s="476">
        <f t="shared" si="21"/>
        <v>0</v>
      </c>
      <c r="I517" s="224"/>
      <c r="J517" s="473"/>
      <c r="K517" s="476">
        <f t="shared" si="22"/>
        <v>0</v>
      </c>
      <c r="P517" s="224"/>
      <c r="Q517" s="473"/>
      <c r="R517" s="476">
        <f t="shared" si="23"/>
        <v>0</v>
      </c>
    </row>
    <row r="518" spans="2:18" ht="15" customHeight="1" x14ac:dyDescent="0.2">
      <c r="B518" s="224"/>
      <c r="C518" s="473"/>
      <c r="D518" s="476">
        <f t="shared" si="21"/>
        <v>0</v>
      </c>
      <c r="I518" s="224"/>
      <c r="J518" s="473"/>
      <c r="K518" s="476">
        <f t="shared" si="22"/>
        <v>0</v>
      </c>
      <c r="P518" s="224"/>
      <c r="Q518" s="473"/>
      <c r="R518" s="476">
        <f t="shared" si="23"/>
        <v>0</v>
      </c>
    </row>
    <row r="519" spans="2:18" ht="15" customHeight="1" x14ac:dyDescent="0.2">
      <c r="B519" s="224"/>
      <c r="C519" s="473"/>
      <c r="D519" s="476">
        <f t="shared" si="21"/>
        <v>0</v>
      </c>
      <c r="I519" s="224"/>
      <c r="J519" s="473"/>
      <c r="K519" s="476">
        <f t="shared" si="22"/>
        <v>0</v>
      </c>
      <c r="P519" s="224"/>
      <c r="Q519" s="473"/>
      <c r="R519" s="476">
        <f t="shared" si="23"/>
        <v>0</v>
      </c>
    </row>
    <row r="520" spans="2:18" ht="15" customHeight="1" x14ac:dyDescent="0.2">
      <c r="B520" s="224"/>
      <c r="C520" s="473"/>
      <c r="D520" s="476">
        <f t="shared" si="21"/>
        <v>0</v>
      </c>
      <c r="I520" s="224"/>
      <c r="J520" s="473"/>
      <c r="K520" s="476">
        <f t="shared" si="22"/>
        <v>0</v>
      </c>
      <c r="P520" s="224"/>
      <c r="Q520" s="473"/>
      <c r="R520" s="476">
        <f t="shared" si="23"/>
        <v>0</v>
      </c>
    </row>
    <row r="521" spans="2:18" ht="15" customHeight="1" x14ac:dyDescent="0.2">
      <c r="B521" s="224"/>
      <c r="C521" s="473"/>
      <c r="D521" s="476">
        <f t="shared" si="21"/>
        <v>0</v>
      </c>
      <c r="I521" s="224"/>
      <c r="J521" s="473"/>
      <c r="K521" s="476">
        <f t="shared" si="22"/>
        <v>0</v>
      </c>
      <c r="P521" s="224"/>
      <c r="Q521" s="473"/>
      <c r="R521" s="476">
        <f t="shared" si="23"/>
        <v>0</v>
      </c>
    </row>
    <row r="522" spans="2:18" ht="15" customHeight="1" x14ac:dyDescent="0.2">
      <c r="B522" s="224"/>
      <c r="C522" s="473"/>
      <c r="D522" s="476">
        <f t="shared" si="21"/>
        <v>0</v>
      </c>
      <c r="I522" s="224"/>
      <c r="J522" s="473"/>
      <c r="K522" s="476">
        <f t="shared" si="22"/>
        <v>0</v>
      </c>
      <c r="P522" s="224"/>
      <c r="Q522" s="473"/>
      <c r="R522" s="476">
        <f t="shared" si="23"/>
        <v>0</v>
      </c>
    </row>
    <row r="523" spans="2:18" ht="15" customHeight="1" x14ac:dyDescent="0.2">
      <c r="B523" s="224"/>
      <c r="C523" s="473"/>
      <c r="D523" s="476">
        <f t="shared" si="21"/>
        <v>0</v>
      </c>
      <c r="I523" s="224"/>
      <c r="J523" s="473"/>
      <c r="K523" s="476">
        <f t="shared" si="22"/>
        <v>0</v>
      </c>
      <c r="P523" s="224"/>
      <c r="Q523" s="473"/>
      <c r="R523" s="476">
        <f t="shared" si="23"/>
        <v>0</v>
      </c>
    </row>
    <row r="524" spans="2:18" ht="15" customHeight="1" x14ac:dyDescent="0.2">
      <c r="B524" s="224"/>
      <c r="C524" s="473"/>
      <c r="D524" s="476">
        <f t="shared" si="21"/>
        <v>0</v>
      </c>
      <c r="I524" s="224"/>
      <c r="J524" s="473"/>
      <c r="K524" s="476">
        <f t="shared" si="22"/>
        <v>0</v>
      </c>
      <c r="P524" s="224"/>
      <c r="Q524" s="473"/>
      <c r="R524" s="476">
        <f t="shared" si="23"/>
        <v>0</v>
      </c>
    </row>
    <row r="525" spans="2:18" ht="15" customHeight="1" x14ac:dyDescent="0.2">
      <c r="B525" s="224"/>
      <c r="C525" s="473"/>
      <c r="D525" s="476">
        <f t="shared" si="21"/>
        <v>0</v>
      </c>
      <c r="I525" s="224"/>
      <c r="J525" s="473"/>
      <c r="K525" s="476">
        <f t="shared" si="22"/>
        <v>0</v>
      </c>
      <c r="P525" s="224"/>
      <c r="Q525" s="473"/>
      <c r="R525" s="476">
        <f t="shared" si="23"/>
        <v>0</v>
      </c>
    </row>
    <row r="526" spans="2:18" ht="15" customHeight="1" x14ac:dyDescent="0.2">
      <c r="B526" s="224"/>
      <c r="C526" s="473"/>
      <c r="D526" s="476">
        <f t="shared" si="21"/>
        <v>0</v>
      </c>
      <c r="I526" s="224"/>
      <c r="J526" s="473"/>
      <c r="K526" s="476">
        <f t="shared" si="22"/>
        <v>0</v>
      </c>
      <c r="P526" s="224"/>
      <c r="Q526" s="473"/>
      <c r="R526" s="476">
        <f t="shared" si="23"/>
        <v>0</v>
      </c>
    </row>
    <row r="527" spans="2:18" ht="15" customHeight="1" x14ac:dyDescent="0.2">
      <c r="B527" s="224"/>
      <c r="C527" s="473"/>
      <c r="D527" s="476">
        <f t="shared" si="21"/>
        <v>0</v>
      </c>
      <c r="I527" s="224"/>
      <c r="J527" s="473"/>
      <c r="K527" s="476">
        <f t="shared" si="22"/>
        <v>0</v>
      </c>
      <c r="P527" s="224"/>
      <c r="Q527" s="473"/>
      <c r="R527" s="476">
        <f t="shared" si="23"/>
        <v>0</v>
      </c>
    </row>
    <row r="528" spans="2:18" ht="15" customHeight="1" x14ac:dyDescent="0.2">
      <c r="B528" s="224"/>
      <c r="C528" s="473"/>
      <c r="D528" s="476">
        <f t="shared" si="21"/>
        <v>0</v>
      </c>
      <c r="I528" s="224"/>
      <c r="J528" s="473"/>
      <c r="K528" s="476">
        <f t="shared" si="22"/>
        <v>0</v>
      </c>
      <c r="P528" s="224"/>
      <c r="Q528" s="473"/>
      <c r="R528" s="476">
        <f t="shared" si="23"/>
        <v>0</v>
      </c>
    </row>
    <row r="529" spans="2:18" ht="15" customHeight="1" x14ac:dyDescent="0.2">
      <c r="B529" s="224"/>
      <c r="C529" s="473"/>
      <c r="D529" s="476">
        <f t="shared" si="21"/>
        <v>0</v>
      </c>
      <c r="I529" s="224"/>
      <c r="J529" s="473"/>
      <c r="K529" s="476">
        <f t="shared" si="22"/>
        <v>0</v>
      </c>
      <c r="P529" s="224"/>
      <c r="Q529" s="473"/>
      <c r="R529" s="476">
        <f t="shared" si="23"/>
        <v>0</v>
      </c>
    </row>
    <row r="530" spans="2:18" ht="15" customHeight="1" x14ac:dyDescent="0.2">
      <c r="B530" s="224"/>
      <c r="C530" s="473"/>
      <c r="D530" s="476">
        <f t="shared" ref="D530:D593" si="24">C530/1000</f>
        <v>0</v>
      </c>
      <c r="I530" s="224"/>
      <c r="J530" s="473"/>
      <c r="K530" s="476">
        <f t="shared" ref="K530:K593" si="25">J530/1000</f>
        <v>0</v>
      </c>
      <c r="P530" s="224"/>
      <c r="Q530" s="473"/>
      <c r="R530" s="476">
        <f t="shared" ref="R530:R593" si="26">Q530/1000</f>
        <v>0</v>
      </c>
    </row>
    <row r="531" spans="2:18" ht="15" customHeight="1" x14ac:dyDescent="0.2">
      <c r="B531" s="224"/>
      <c r="C531" s="473"/>
      <c r="D531" s="476">
        <f t="shared" si="24"/>
        <v>0</v>
      </c>
      <c r="I531" s="224"/>
      <c r="J531" s="473"/>
      <c r="K531" s="476">
        <f t="shared" si="25"/>
        <v>0</v>
      </c>
      <c r="P531" s="224"/>
      <c r="Q531" s="473"/>
      <c r="R531" s="476">
        <f t="shared" si="26"/>
        <v>0</v>
      </c>
    </row>
    <row r="532" spans="2:18" ht="15" customHeight="1" x14ac:dyDescent="0.2">
      <c r="B532" s="224"/>
      <c r="C532" s="473"/>
      <c r="D532" s="476">
        <f t="shared" si="24"/>
        <v>0</v>
      </c>
      <c r="I532" s="224"/>
      <c r="J532" s="473"/>
      <c r="K532" s="476">
        <f t="shared" si="25"/>
        <v>0</v>
      </c>
      <c r="P532" s="224"/>
      <c r="Q532" s="473"/>
      <c r="R532" s="476">
        <f t="shared" si="26"/>
        <v>0</v>
      </c>
    </row>
    <row r="533" spans="2:18" ht="15" customHeight="1" x14ac:dyDescent="0.2">
      <c r="B533" s="224"/>
      <c r="C533" s="473"/>
      <c r="D533" s="476">
        <f t="shared" si="24"/>
        <v>0</v>
      </c>
      <c r="I533" s="224"/>
      <c r="J533" s="473"/>
      <c r="K533" s="476">
        <f t="shared" si="25"/>
        <v>0</v>
      </c>
      <c r="P533" s="224"/>
      <c r="Q533" s="473"/>
      <c r="R533" s="476">
        <f t="shared" si="26"/>
        <v>0</v>
      </c>
    </row>
    <row r="534" spans="2:18" ht="15" customHeight="1" x14ac:dyDescent="0.2">
      <c r="B534" s="224"/>
      <c r="C534" s="473"/>
      <c r="D534" s="476">
        <f t="shared" si="24"/>
        <v>0</v>
      </c>
      <c r="I534" s="224"/>
      <c r="J534" s="473"/>
      <c r="K534" s="476">
        <f t="shared" si="25"/>
        <v>0</v>
      </c>
      <c r="P534" s="224"/>
      <c r="Q534" s="473"/>
      <c r="R534" s="476">
        <f t="shared" si="26"/>
        <v>0</v>
      </c>
    </row>
    <row r="535" spans="2:18" ht="15" customHeight="1" x14ac:dyDescent="0.2">
      <c r="B535" s="224"/>
      <c r="C535" s="473"/>
      <c r="D535" s="476">
        <f t="shared" si="24"/>
        <v>0</v>
      </c>
      <c r="I535" s="224"/>
      <c r="J535" s="473"/>
      <c r="K535" s="476">
        <f t="shared" si="25"/>
        <v>0</v>
      </c>
      <c r="P535" s="224"/>
      <c r="Q535" s="473"/>
      <c r="R535" s="476">
        <f t="shared" si="26"/>
        <v>0</v>
      </c>
    </row>
    <row r="536" spans="2:18" ht="15" customHeight="1" x14ac:dyDescent="0.2">
      <c r="B536" s="224"/>
      <c r="C536" s="473"/>
      <c r="D536" s="476">
        <f t="shared" si="24"/>
        <v>0</v>
      </c>
      <c r="I536" s="224"/>
      <c r="J536" s="473"/>
      <c r="K536" s="476">
        <f t="shared" si="25"/>
        <v>0</v>
      </c>
      <c r="P536" s="224"/>
      <c r="Q536" s="473"/>
      <c r="R536" s="476">
        <f t="shared" si="26"/>
        <v>0</v>
      </c>
    </row>
    <row r="537" spans="2:18" ht="15" customHeight="1" x14ac:dyDescent="0.2">
      <c r="B537" s="224"/>
      <c r="C537" s="473"/>
      <c r="D537" s="476">
        <f t="shared" si="24"/>
        <v>0</v>
      </c>
      <c r="I537" s="224"/>
      <c r="J537" s="473"/>
      <c r="K537" s="476">
        <f t="shared" si="25"/>
        <v>0</v>
      </c>
      <c r="P537" s="224"/>
      <c r="Q537" s="473"/>
      <c r="R537" s="476">
        <f t="shared" si="26"/>
        <v>0</v>
      </c>
    </row>
    <row r="538" spans="2:18" ht="15" customHeight="1" x14ac:dyDescent="0.2">
      <c r="B538" s="224"/>
      <c r="C538" s="473"/>
      <c r="D538" s="476">
        <f t="shared" si="24"/>
        <v>0</v>
      </c>
      <c r="I538" s="224"/>
      <c r="J538" s="473"/>
      <c r="K538" s="476">
        <f t="shared" si="25"/>
        <v>0</v>
      </c>
      <c r="P538" s="224"/>
      <c r="Q538" s="473"/>
      <c r="R538" s="476">
        <f t="shared" si="26"/>
        <v>0</v>
      </c>
    </row>
    <row r="539" spans="2:18" ht="15" customHeight="1" x14ac:dyDescent="0.2">
      <c r="B539" s="224"/>
      <c r="C539" s="473"/>
      <c r="D539" s="476">
        <f t="shared" si="24"/>
        <v>0</v>
      </c>
      <c r="I539" s="224"/>
      <c r="J539" s="473"/>
      <c r="K539" s="476">
        <f t="shared" si="25"/>
        <v>0</v>
      </c>
      <c r="P539" s="224"/>
      <c r="Q539" s="473"/>
      <c r="R539" s="476">
        <f t="shared" si="26"/>
        <v>0</v>
      </c>
    </row>
    <row r="540" spans="2:18" ht="15" customHeight="1" x14ac:dyDescent="0.2">
      <c r="B540" s="224"/>
      <c r="C540" s="473"/>
      <c r="D540" s="476">
        <f t="shared" si="24"/>
        <v>0</v>
      </c>
      <c r="I540" s="224"/>
      <c r="J540" s="473"/>
      <c r="K540" s="476">
        <f t="shared" si="25"/>
        <v>0</v>
      </c>
      <c r="P540" s="224"/>
      <c r="Q540" s="473"/>
      <c r="R540" s="476">
        <f t="shared" si="26"/>
        <v>0</v>
      </c>
    </row>
    <row r="541" spans="2:18" ht="15" customHeight="1" x14ac:dyDescent="0.2">
      <c r="B541" s="224"/>
      <c r="C541" s="473"/>
      <c r="D541" s="476">
        <f t="shared" si="24"/>
        <v>0</v>
      </c>
      <c r="I541" s="224"/>
      <c r="J541" s="473"/>
      <c r="K541" s="476">
        <f t="shared" si="25"/>
        <v>0</v>
      </c>
      <c r="P541" s="224"/>
      <c r="Q541" s="473"/>
      <c r="R541" s="476">
        <f t="shared" si="26"/>
        <v>0</v>
      </c>
    </row>
    <row r="542" spans="2:18" ht="15" customHeight="1" x14ac:dyDescent="0.2">
      <c r="B542" s="224"/>
      <c r="C542" s="473"/>
      <c r="D542" s="476">
        <f t="shared" si="24"/>
        <v>0</v>
      </c>
      <c r="I542" s="224"/>
      <c r="J542" s="473"/>
      <c r="K542" s="476">
        <f t="shared" si="25"/>
        <v>0</v>
      </c>
      <c r="P542" s="224"/>
      <c r="Q542" s="473"/>
      <c r="R542" s="476">
        <f t="shared" si="26"/>
        <v>0</v>
      </c>
    </row>
    <row r="543" spans="2:18" ht="15" customHeight="1" x14ac:dyDescent="0.2">
      <c r="B543" s="224"/>
      <c r="C543" s="473"/>
      <c r="D543" s="476">
        <f t="shared" si="24"/>
        <v>0</v>
      </c>
      <c r="I543" s="224"/>
      <c r="J543" s="473"/>
      <c r="K543" s="476">
        <f t="shared" si="25"/>
        <v>0</v>
      </c>
      <c r="P543" s="224"/>
      <c r="Q543" s="473"/>
      <c r="R543" s="476">
        <f t="shared" si="26"/>
        <v>0</v>
      </c>
    </row>
    <row r="544" spans="2:18" ht="15" customHeight="1" x14ac:dyDescent="0.2">
      <c r="B544" s="224"/>
      <c r="C544" s="473"/>
      <c r="D544" s="476">
        <f t="shared" si="24"/>
        <v>0</v>
      </c>
      <c r="I544" s="224"/>
      <c r="J544" s="473"/>
      <c r="K544" s="476">
        <f t="shared" si="25"/>
        <v>0</v>
      </c>
      <c r="P544" s="224"/>
      <c r="Q544" s="473"/>
      <c r="R544" s="476">
        <f t="shared" si="26"/>
        <v>0</v>
      </c>
    </row>
    <row r="545" spans="2:18" ht="15" customHeight="1" x14ac:dyDescent="0.2">
      <c r="B545" s="224"/>
      <c r="C545" s="473"/>
      <c r="D545" s="476">
        <f t="shared" si="24"/>
        <v>0</v>
      </c>
      <c r="I545" s="224"/>
      <c r="J545" s="473"/>
      <c r="K545" s="476">
        <f t="shared" si="25"/>
        <v>0</v>
      </c>
      <c r="P545" s="224"/>
      <c r="Q545" s="473"/>
      <c r="R545" s="476">
        <f t="shared" si="26"/>
        <v>0</v>
      </c>
    </row>
    <row r="546" spans="2:18" ht="15" customHeight="1" x14ac:dyDescent="0.2">
      <c r="B546" s="224"/>
      <c r="C546" s="473"/>
      <c r="D546" s="476">
        <f t="shared" si="24"/>
        <v>0</v>
      </c>
      <c r="I546" s="224"/>
      <c r="J546" s="473"/>
      <c r="K546" s="476">
        <f t="shared" si="25"/>
        <v>0</v>
      </c>
      <c r="P546" s="224"/>
      <c r="Q546" s="473"/>
      <c r="R546" s="476">
        <f t="shared" si="26"/>
        <v>0</v>
      </c>
    </row>
    <row r="547" spans="2:18" ht="15" customHeight="1" x14ac:dyDescent="0.2">
      <c r="B547" s="224"/>
      <c r="C547" s="473"/>
      <c r="D547" s="476">
        <f t="shared" si="24"/>
        <v>0</v>
      </c>
      <c r="I547" s="224"/>
      <c r="J547" s="473"/>
      <c r="K547" s="476">
        <f t="shared" si="25"/>
        <v>0</v>
      </c>
      <c r="P547" s="224"/>
      <c r="Q547" s="473"/>
      <c r="R547" s="476">
        <f t="shared" si="26"/>
        <v>0</v>
      </c>
    </row>
    <row r="548" spans="2:18" ht="15" customHeight="1" x14ac:dyDescent="0.2">
      <c r="B548" s="224"/>
      <c r="C548" s="473"/>
      <c r="D548" s="476">
        <f t="shared" si="24"/>
        <v>0</v>
      </c>
      <c r="I548" s="224"/>
      <c r="J548" s="473"/>
      <c r="K548" s="476">
        <f t="shared" si="25"/>
        <v>0</v>
      </c>
      <c r="P548" s="224"/>
      <c r="Q548" s="473"/>
      <c r="R548" s="476">
        <f t="shared" si="26"/>
        <v>0</v>
      </c>
    </row>
    <row r="549" spans="2:18" ht="15" customHeight="1" x14ac:dyDescent="0.2">
      <c r="B549" s="224"/>
      <c r="C549" s="473"/>
      <c r="D549" s="476">
        <f t="shared" si="24"/>
        <v>0</v>
      </c>
      <c r="I549" s="224"/>
      <c r="J549" s="473"/>
      <c r="K549" s="476">
        <f t="shared" si="25"/>
        <v>0</v>
      </c>
      <c r="P549" s="224"/>
      <c r="Q549" s="473"/>
      <c r="R549" s="476">
        <f t="shared" si="26"/>
        <v>0</v>
      </c>
    </row>
    <row r="550" spans="2:18" ht="15" customHeight="1" x14ac:dyDescent="0.2">
      <c r="B550" s="224"/>
      <c r="C550" s="473"/>
      <c r="D550" s="476">
        <f t="shared" si="24"/>
        <v>0</v>
      </c>
      <c r="I550" s="224"/>
      <c r="J550" s="473"/>
      <c r="K550" s="476">
        <f t="shared" si="25"/>
        <v>0</v>
      </c>
      <c r="P550" s="224"/>
      <c r="Q550" s="473"/>
      <c r="R550" s="476">
        <f t="shared" si="26"/>
        <v>0</v>
      </c>
    </row>
    <row r="551" spans="2:18" ht="15" customHeight="1" x14ac:dyDescent="0.2">
      <c r="B551" s="224"/>
      <c r="C551" s="473"/>
      <c r="D551" s="476">
        <f t="shared" si="24"/>
        <v>0</v>
      </c>
      <c r="I551" s="224"/>
      <c r="J551" s="473"/>
      <c r="K551" s="476">
        <f t="shared" si="25"/>
        <v>0</v>
      </c>
      <c r="P551" s="224"/>
      <c r="Q551" s="473"/>
      <c r="R551" s="476">
        <f t="shared" si="26"/>
        <v>0</v>
      </c>
    </row>
    <row r="552" spans="2:18" ht="15" customHeight="1" x14ac:dyDescent="0.2">
      <c r="B552" s="224"/>
      <c r="C552" s="473"/>
      <c r="D552" s="476">
        <f t="shared" si="24"/>
        <v>0</v>
      </c>
      <c r="I552" s="224"/>
      <c r="J552" s="473"/>
      <c r="K552" s="476">
        <f t="shared" si="25"/>
        <v>0</v>
      </c>
      <c r="P552" s="224"/>
      <c r="Q552" s="473"/>
      <c r="R552" s="476">
        <f t="shared" si="26"/>
        <v>0</v>
      </c>
    </row>
    <row r="553" spans="2:18" ht="15" customHeight="1" x14ac:dyDescent="0.2">
      <c r="B553" s="224"/>
      <c r="C553" s="473"/>
      <c r="D553" s="476">
        <f t="shared" si="24"/>
        <v>0</v>
      </c>
      <c r="I553" s="224"/>
      <c r="J553" s="473"/>
      <c r="K553" s="476">
        <f t="shared" si="25"/>
        <v>0</v>
      </c>
      <c r="P553" s="224"/>
      <c r="Q553" s="473"/>
      <c r="R553" s="476">
        <f t="shared" si="26"/>
        <v>0</v>
      </c>
    </row>
    <row r="554" spans="2:18" ht="15" customHeight="1" x14ac:dyDescent="0.2">
      <c r="B554" s="224"/>
      <c r="C554" s="473"/>
      <c r="D554" s="476">
        <f t="shared" si="24"/>
        <v>0</v>
      </c>
      <c r="I554" s="224"/>
      <c r="J554" s="473"/>
      <c r="K554" s="476">
        <f t="shared" si="25"/>
        <v>0</v>
      </c>
      <c r="P554" s="224"/>
      <c r="Q554" s="473"/>
      <c r="R554" s="476">
        <f t="shared" si="26"/>
        <v>0</v>
      </c>
    </row>
    <row r="555" spans="2:18" ht="15" customHeight="1" x14ac:dyDescent="0.2">
      <c r="B555" s="224"/>
      <c r="C555" s="473"/>
      <c r="D555" s="476">
        <f t="shared" si="24"/>
        <v>0</v>
      </c>
      <c r="I555" s="224"/>
      <c r="J555" s="473"/>
      <c r="K555" s="476">
        <f t="shared" si="25"/>
        <v>0</v>
      </c>
      <c r="P555" s="224"/>
      <c r="Q555" s="473"/>
      <c r="R555" s="476">
        <f t="shared" si="26"/>
        <v>0</v>
      </c>
    </row>
    <row r="556" spans="2:18" ht="15" customHeight="1" x14ac:dyDescent="0.2">
      <c r="B556" s="224"/>
      <c r="C556" s="473"/>
      <c r="D556" s="476">
        <f t="shared" si="24"/>
        <v>0</v>
      </c>
      <c r="I556" s="224"/>
      <c r="J556" s="473"/>
      <c r="K556" s="476">
        <f t="shared" si="25"/>
        <v>0</v>
      </c>
      <c r="P556" s="224"/>
      <c r="Q556" s="473"/>
      <c r="R556" s="476">
        <f t="shared" si="26"/>
        <v>0</v>
      </c>
    </row>
    <row r="557" spans="2:18" ht="15" customHeight="1" x14ac:dyDescent="0.2">
      <c r="B557" s="224"/>
      <c r="C557" s="473"/>
      <c r="D557" s="476">
        <f t="shared" si="24"/>
        <v>0</v>
      </c>
      <c r="I557" s="224"/>
      <c r="J557" s="473"/>
      <c r="K557" s="476">
        <f t="shared" si="25"/>
        <v>0</v>
      </c>
      <c r="P557" s="224"/>
      <c r="Q557" s="473"/>
      <c r="R557" s="476">
        <f t="shared" si="26"/>
        <v>0</v>
      </c>
    </row>
    <row r="558" spans="2:18" ht="15" customHeight="1" x14ac:dyDescent="0.2">
      <c r="B558" s="224"/>
      <c r="C558" s="473"/>
      <c r="D558" s="476">
        <f t="shared" si="24"/>
        <v>0</v>
      </c>
      <c r="I558" s="224"/>
      <c r="J558" s="473"/>
      <c r="K558" s="476">
        <f t="shared" si="25"/>
        <v>0</v>
      </c>
      <c r="P558" s="224"/>
      <c r="Q558" s="473"/>
      <c r="R558" s="476">
        <f t="shared" si="26"/>
        <v>0</v>
      </c>
    </row>
    <row r="559" spans="2:18" ht="15" customHeight="1" x14ac:dyDescent="0.2">
      <c r="B559" s="224"/>
      <c r="C559" s="473"/>
      <c r="D559" s="476">
        <f t="shared" si="24"/>
        <v>0</v>
      </c>
      <c r="I559" s="224"/>
      <c r="J559" s="473"/>
      <c r="K559" s="476">
        <f t="shared" si="25"/>
        <v>0</v>
      </c>
      <c r="P559" s="224"/>
      <c r="Q559" s="473"/>
      <c r="R559" s="476">
        <f t="shared" si="26"/>
        <v>0</v>
      </c>
    </row>
    <row r="560" spans="2:18" ht="15" customHeight="1" x14ac:dyDescent="0.2">
      <c r="B560" s="224"/>
      <c r="C560" s="473"/>
      <c r="D560" s="476">
        <f t="shared" si="24"/>
        <v>0</v>
      </c>
      <c r="I560" s="224"/>
      <c r="J560" s="473"/>
      <c r="K560" s="476">
        <f t="shared" si="25"/>
        <v>0</v>
      </c>
      <c r="P560" s="224"/>
      <c r="Q560" s="473"/>
      <c r="R560" s="476">
        <f t="shared" si="26"/>
        <v>0</v>
      </c>
    </row>
    <row r="561" spans="2:18" ht="15" customHeight="1" x14ac:dyDescent="0.2">
      <c r="B561" s="224"/>
      <c r="C561" s="473"/>
      <c r="D561" s="476">
        <f t="shared" si="24"/>
        <v>0</v>
      </c>
      <c r="I561" s="224"/>
      <c r="J561" s="473"/>
      <c r="K561" s="476">
        <f t="shared" si="25"/>
        <v>0</v>
      </c>
      <c r="P561" s="224"/>
      <c r="Q561" s="473"/>
      <c r="R561" s="476">
        <f t="shared" si="26"/>
        <v>0</v>
      </c>
    </row>
    <row r="562" spans="2:18" ht="15" customHeight="1" x14ac:dyDescent="0.2">
      <c r="B562" s="224"/>
      <c r="C562" s="473"/>
      <c r="D562" s="476">
        <f t="shared" si="24"/>
        <v>0</v>
      </c>
      <c r="I562" s="224"/>
      <c r="J562" s="473"/>
      <c r="K562" s="476">
        <f t="shared" si="25"/>
        <v>0</v>
      </c>
      <c r="P562" s="224"/>
      <c r="Q562" s="473"/>
      <c r="R562" s="476">
        <f t="shared" si="26"/>
        <v>0</v>
      </c>
    </row>
    <row r="563" spans="2:18" ht="15" customHeight="1" x14ac:dyDescent="0.2">
      <c r="B563" s="224"/>
      <c r="C563" s="473"/>
      <c r="D563" s="476">
        <f t="shared" si="24"/>
        <v>0</v>
      </c>
      <c r="I563" s="224"/>
      <c r="J563" s="473"/>
      <c r="K563" s="476">
        <f t="shared" si="25"/>
        <v>0</v>
      </c>
      <c r="P563" s="224"/>
      <c r="Q563" s="473"/>
      <c r="R563" s="476">
        <f t="shared" si="26"/>
        <v>0</v>
      </c>
    </row>
    <row r="564" spans="2:18" ht="15" customHeight="1" x14ac:dyDescent="0.2">
      <c r="B564" s="224"/>
      <c r="C564" s="473"/>
      <c r="D564" s="476">
        <f t="shared" si="24"/>
        <v>0</v>
      </c>
      <c r="I564" s="224"/>
      <c r="J564" s="473"/>
      <c r="K564" s="476">
        <f t="shared" si="25"/>
        <v>0</v>
      </c>
      <c r="P564" s="224"/>
      <c r="Q564" s="473"/>
      <c r="R564" s="476">
        <f t="shared" si="26"/>
        <v>0</v>
      </c>
    </row>
    <row r="565" spans="2:18" ht="15" customHeight="1" x14ac:dyDescent="0.2">
      <c r="B565" s="224"/>
      <c r="C565" s="473"/>
      <c r="D565" s="476">
        <f t="shared" si="24"/>
        <v>0</v>
      </c>
      <c r="I565" s="224"/>
      <c r="J565" s="473"/>
      <c r="K565" s="476">
        <f t="shared" si="25"/>
        <v>0</v>
      </c>
      <c r="P565" s="224"/>
      <c r="Q565" s="473"/>
      <c r="R565" s="476">
        <f t="shared" si="26"/>
        <v>0</v>
      </c>
    </row>
    <row r="566" spans="2:18" ht="15" customHeight="1" x14ac:dyDescent="0.2">
      <c r="B566" s="224"/>
      <c r="C566" s="473"/>
      <c r="D566" s="476">
        <f t="shared" si="24"/>
        <v>0</v>
      </c>
      <c r="I566" s="224"/>
      <c r="J566" s="473"/>
      <c r="K566" s="476">
        <f t="shared" si="25"/>
        <v>0</v>
      </c>
      <c r="P566" s="224"/>
      <c r="Q566" s="473"/>
      <c r="R566" s="476">
        <f t="shared" si="26"/>
        <v>0</v>
      </c>
    </row>
    <row r="567" spans="2:18" ht="15" customHeight="1" x14ac:dyDescent="0.2">
      <c r="B567" s="224"/>
      <c r="C567" s="473"/>
      <c r="D567" s="476">
        <f t="shared" si="24"/>
        <v>0</v>
      </c>
      <c r="I567" s="224"/>
      <c r="J567" s="473"/>
      <c r="K567" s="476">
        <f t="shared" si="25"/>
        <v>0</v>
      </c>
      <c r="P567" s="224"/>
      <c r="Q567" s="473"/>
      <c r="R567" s="476">
        <f t="shared" si="26"/>
        <v>0</v>
      </c>
    </row>
    <row r="568" spans="2:18" ht="15" customHeight="1" x14ac:dyDescent="0.2">
      <c r="B568" s="224"/>
      <c r="C568" s="473"/>
      <c r="D568" s="476">
        <f t="shared" si="24"/>
        <v>0</v>
      </c>
      <c r="I568" s="224"/>
      <c r="J568" s="473"/>
      <c r="K568" s="476">
        <f t="shared" si="25"/>
        <v>0</v>
      </c>
      <c r="P568" s="224"/>
      <c r="Q568" s="473"/>
      <c r="R568" s="476">
        <f t="shared" si="26"/>
        <v>0</v>
      </c>
    </row>
    <row r="569" spans="2:18" ht="15" customHeight="1" x14ac:dyDescent="0.2">
      <c r="B569" s="224"/>
      <c r="C569" s="473"/>
      <c r="D569" s="476">
        <f t="shared" si="24"/>
        <v>0</v>
      </c>
      <c r="I569" s="224"/>
      <c r="J569" s="473"/>
      <c r="K569" s="476">
        <f t="shared" si="25"/>
        <v>0</v>
      </c>
      <c r="P569" s="224"/>
      <c r="Q569" s="473"/>
      <c r="R569" s="476">
        <f t="shared" si="26"/>
        <v>0</v>
      </c>
    </row>
    <row r="570" spans="2:18" ht="15" customHeight="1" x14ac:dyDescent="0.2">
      <c r="B570" s="224"/>
      <c r="C570" s="473"/>
      <c r="D570" s="476">
        <f t="shared" si="24"/>
        <v>0</v>
      </c>
      <c r="I570" s="224"/>
      <c r="J570" s="473"/>
      <c r="K570" s="476">
        <f t="shared" si="25"/>
        <v>0</v>
      </c>
      <c r="P570" s="224"/>
      <c r="Q570" s="473"/>
      <c r="R570" s="476">
        <f t="shared" si="26"/>
        <v>0</v>
      </c>
    </row>
    <row r="571" spans="2:18" ht="15" customHeight="1" x14ac:dyDescent="0.2">
      <c r="B571" s="224"/>
      <c r="C571" s="473"/>
      <c r="D571" s="476">
        <f t="shared" si="24"/>
        <v>0</v>
      </c>
      <c r="I571" s="224"/>
      <c r="J571" s="473"/>
      <c r="K571" s="476">
        <f t="shared" si="25"/>
        <v>0</v>
      </c>
      <c r="P571" s="224"/>
      <c r="Q571" s="473"/>
      <c r="R571" s="476">
        <f t="shared" si="26"/>
        <v>0</v>
      </c>
    </row>
    <row r="572" spans="2:18" ht="15" customHeight="1" x14ac:dyDescent="0.2">
      <c r="B572" s="224"/>
      <c r="C572" s="473"/>
      <c r="D572" s="476">
        <f t="shared" si="24"/>
        <v>0</v>
      </c>
      <c r="I572" s="224"/>
      <c r="J572" s="473"/>
      <c r="K572" s="476">
        <f t="shared" si="25"/>
        <v>0</v>
      </c>
      <c r="P572" s="224"/>
      <c r="Q572" s="473"/>
      <c r="R572" s="476">
        <f t="shared" si="26"/>
        <v>0</v>
      </c>
    </row>
    <row r="573" spans="2:18" ht="15" customHeight="1" x14ac:dyDescent="0.2">
      <c r="B573" s="224"/>
      <c r="C573" s="473"/>
      <c r="D573" s="476">
        <f t="shared" si="24"/>
        <v>0</v>
      </c>
      <c r="I573" s="224"/>
      <c r="J573" s="473"/>
      <c r="K573" s="476">
        <f t="shared" si="25"/>
        <v>0</v>
      </c>
      <c r="P573" s="224"/>
      <c r="Q573" s="473"/>
      <c r="R573" s="476">
        <f t="shared" si="26"/>
        <v>0</v>
      </c>
    </row>
    <row r="574" spans="2:18" ht="15" customHeight="1" x14ac:dyDescent="0.2">
      <c r="B574" s="224"/>
      <c r="C574" s="473"/>
      <c r="D574" s="476">
        <f t="shared" si="24"/>
        <v>0</v>
      </c>
      <c r="I574" s="224"/>
      <c r="J574" s="473"/>
      <c r="K574" s="476">
        <f t="shared" si="25"/>
        <v>0</v>
      </c>
      <c r="P574" s="224"/>
      <c r="Q574" s="473"/>
      <c r="R574" s="476">
        <f t="shared" si="26"/>
        <v>0</v>
      </c>
    </row>
    <row r="575" spans="2:18" ht="15" customHeight="1" x14ac:dyDescent="0.2">
      <c r="B575" s="224"/>
      <c r="C575" s="473"/>
      <c r="D575" s="476">
        <f t="shared" si="24"/>
        <v>0</v>
      </c>
      <c r="I575" s="224"/>
      <c r="J575" s="473"/>
      <c r="K575" s="476">
        <f t="shared" si="25"/>
        <v>0</v>
      </c>
      <c r="P575" s="224"/>
      <c r="Q575" s="473"/>
      <c r="R575" s="476">
        <f t="shared" si="26"/>
        <v>0</v>
      </c>
    </row>
    <row r="576" spans="2:18" ht="15" customHeight="1" x14ac:dyDescent="0.2">
      <c r="B576" s="224"/>
      <c r="C576" s="473"/>
      <c r="D576" s="476">
        <f t="shared" si="24"/>
        <v>0</v>
      </c>
      <c r="I576" s="224"/>
      <c r="J576" s="473"/>
      <c r="K576" s="476">
        <f t="shared" si="25"/>
        <v>0</v>
      </c>
      <c r="P576" s="224"/>
      <c r="Q576" s="473"/>
      <c r="R576" s="476">
        <f t="shared" si="26"/>
        <v>0</v>
      </c>
    </row>
    <row r="577" spans="2:18" ht="15" customHeight="1" x14ac:dyDescent="0.2">
      <c r="B577" s="224"/>
      <c r="C577" s="473"/>
      <c r="D577" s="476">
        <f t="shared" si="24"/>
        <v>0</v>
      </c>
      <c r="I577" s="224"/>
      <c r="J577" s="473"/>
      <c r="K577" s="476">
        <f t="shared" si="25"/>
        <v>0</v>
      </c>
      <c r="P577" s="224"/>
      <c r="Q577" s="473"/>
      <c r="R577" s="476">
        <f t="shared" si="26"/>
        <v>0</v>
      </c>
    </row>
    <row r="578" spans="2:18" ht="15" customHeight="1" x14ac:dyDescent="0.2">
      <c r="B578" s="224"/>
      <c r="C578" s="473"/>
      <c r="D578" s="476">
        <f t="shared" si="24"/>
        <v>0</v>
      </c>
      <c r="I578" s="224"/>
      <c r="J578" s="473"/>
      <c r="K578" s="476">
        <f t="shared" si="25"/>
        <v>0</v>
      </c>
      <c r="P578" s="224"/>
      <c r="Q578" s="473"/>
      <c r="R578" s="476">
        <f t="shared" si="26"/>
        <v>0</v>
      </c>
    </row>
    <row r="579" spans="2:18" ht="15" customHeight="1" x14ac:dyDescent="0.2">
      <c r="B579" s="224"/>
      <c r="C579" s="473"/>
      <c r="D579" s="476">
        <f t="shared" si="24"/>
        <v>0</v>
      </c>
      <c r="I579" s="224"/>
      <c r="J579" s="473"/>
      <c r="K579" s="476">
        <f t="shared" si="25"/>
        <v>0</v>
      </c>
      <c r="P579" s="224"/>
      <c r="Q579" s="473"/>
      <c r="R579" s="476">
        <f t="shared" si="26"/>
        <v>0</v>
      </c>
    </row>
    <row r="580" spans="2:18" ht="15" customHeight="1" x14ac:dyDescent="0.2">
      <c r="B580" s="224"/>
      <c r="C580" s="473"/>
      <c r="D580" s="476">
        <f t="shared" si="24"/>
        <v>0</v>
      </c>
      <c r="I580" s="224"/>
      <c r="J580" s="473"/>
      <c r="K580" s="476">
        <f t="shared" si="25"/>
        <v>0</v>
      </c>
      <c r="P580" s="224"/>
      <c r="Q580" s="473"/>
      <c r="R580" s="476">
        <f t="shared" si="26"/>
        <v>0</v>
      </c>
    </row>
    <row r="581" spans="2:18" ht="15" customHeight="1" x14ac:dyDescent="0.2">
      <c r="B581" s="224"/>
      <c r="C581" s="473"/>
      <c r="D581" s="476">
        <f t="shared" si="24"/>
        <v>0</v>
      </c>
      <c r="I581" s="224"/>
      <c r="J581" s="473"/>
      <c r="K581" s="476">
        <f t="shared" si="25"/>
        <v>0</v>
      </c>
      <c r="P581" s="224"/>
      <c r="Q581" s="473"/>
      <c r="R581" s="476">
        <f t="shared" si="26"/>
        <v>0</v>
      </c>
    </row>
    <row r="582" spans="2:18" ht="15" customHeight="1" x14ac:dyDescent="0.2">
      <c r="B582" s="224"/>
      <c r="C582" s="473"/>
      <c r="D582" s="476">
        <f t="shared" si="24"/>
        <v>0</v>
      </c>
      <c r="I582" s="224"/>
      <c r="J582" s="473"/>
      <c r="K582" s="476">
        <f t="shared" si="25"/>
        <v>0</v>
      </c>
      <c r="P582" s="224"/>
      <c r="Q582" s="473"/>
      <c r="R582" s="476">
        <f t="shared" si="26"/>
        <v>0</v>
      </c>
    </row>
    <row r="583" spans="2:18" ht="15" customHeight="1" x14ac:dyDescent="0.2">
      <c r="B583" s="224"/>
      <c r="C583" s="473"/>
      <c r="D583" s="476">
        <f t="shared" si="24"/>
        <v>0</v>
      </c>
      <c r="I583" s="224"/>
      <c r="J583" s="473"/>
      <c r="K583" s="476">
        <f t="shared" si="25"/>
        <v>0</v>
      </c>
      <c r="P583" s="224"/>
      <c r="Q583" s="473"/>
      <c r="R583" s="476">
        <f t="shared" si="26"/>
        <v>0</v>
      </c>
    </row>
    <row r="584" spans="2:18" ht="15" customHeight="1" x14ac:dyDescent="0.2">
      <c r="B584" s="224"/>
      <c r="C584" s="473"/>
      <c r="D584" s="476">
        <f t="shared" si="24"/>
        <v>0</v>
      </c>
      <c r="I584" s="224"/>
      <c r="J584" s="473"/>
      <c r="K584" s="476">
        <f t="shared" si="25"/>
        <v>0</v>
      </c>
      <c r="P584" s="224"/>
      <c r="Q584" s="473"/>
      <c r="R584" s="476">
        <f t="shared" si="26"/>
        <v>0</v>
      </c>
    </row>
    <row r="585" spans="2:18" ht="15" customHeight="1" x14ac:dyDescent="0.2">
      <c r="B585" s="224"/>
      <c r="C585" s="473"/>
      <c r="D585" s="476">
        <f t="shared" si="24"/>
        <v>0</v>
      </c>
      <c r="I585" s="224"/>
      <c r="J585" s="473"/>
      <c r="K585" s="476">
        <f t="shared" si="25"/>
        <v>0</v>
      </c>
      <c r="P585" s="224"/>
      <c r="Q585" s="473"/>
      <c r="R585" s="476">
        <f t="shared" si="26"/>
        <v>0</v>
      </c>
    </row>
    <row r="586" spans="2:18" ht="15" customHeight="1" x14ac:dyDescent="0.2">
      <c r="B586" s="224"/>
      <c r="C586" s="473"/>
      <c r="D586" s="476">
        <f t="shared" si="24"/>
        <v>0</v>
      </c>
      <c r="I586" s="224"/>
      <c r="J586" s="473"/>
      <c r="K586" s="476">
        <f t="shared" si="25"/>
        <v>0</v>
      </c>
      <c r="P586" s="224"/>
      <c r="Q586" s="473"/>
      <c r="R586" s="476">
        <f t="shared" si="26"/>
        <v>0</v>
      </c>
    </row>
    <row r="587" spans="2:18" ht="15" customHeight="1" x14ac:dyDescent="0.2">
      <c r="B587" s="224"/>
      <c r="C587" s="473"/>
      <c r="D587" s="476">
        <f t="shared" si="24"/>
        <v>0</v>
      </c>
      <c r="I587" s="224"/>
      <c r="J587" s="473"/>
      <c r="K587" s="476">
        <f t="shared" si="25"/>
        <v>0</v>
      </c>
      <c r="P587" s="224"/>
      <c r="Q587" s="473"/>
      <c r="R587" s="476">
        <f t="shared" si="26"/>
        <v>0</v>
      </c>
    </row>
    <row r="588" spans="2:18" ht="15" customHeight="1" x14ac:dyDescent="0.2">
      <c r="B588" s="224"/>
      <c r="C588" s="473"/>
      <c r="D588" s="476">
        <f t="shared" si="24"/>
        <v>0</v>
      </c>
      <c r="I588" s="224"/>
      <c r="J588" s="473"/>
      <c r="K588" s="476">
        <f t="shared" si="25"/>
        <v>0</v>
      </c>
      <c r="P588" s="224"/>
      <c r="Q588" s="473"/>
      <c r="R588" s="476">
        <f t="shared" si="26"/>
        <v>0</v>
      </c>
    </row>
    <row r="589" spans="2:18" ht="15" customHeight="1" x14ac:dyDescent="0.2">
      <c r="B589" s="224"/>
      <c r="C589" s="473"/>
      <c r="D589" s="476">
        <f t="shared" si="24"/>
        <v>0</v>
      </c>
      <c r="I589" s="224"/>
      <c r="J589" s="473"/>
      <c r="K589" s="476">
        <f t="shared" si="25"/>
        <v>0</v>
      </c>
      <c r="P589" s="224"/>
      <c r="Q589" s="473"/>
      <c r="R589" s="476">
        <f t="shared" si="26"/>
        <v>0</v>
      </c>
    </row>
    <row r="590" spans="2:18" ht="15" customHeight="1" x14ac:dyDescent="0.2">
      <c r="B590" s="224"/>
      <c r="C590" s="473"/>
      <c r="D590" s="476">
        <f t="shared" si="24"/>
        <v>0</v>
      </c>
      <c r="I590" s="224"/>
      <c r="J590" s="473"/>
      <c r="K590" s="476">
        <f t="shared" si="25"/>
        <v>0</v>
      </c>
      <c r="P590" s="224"/>
      <c r="Q590" s="473"/>
      <c r="R590" s="476">
        <f t="shared" si="26"/>
        <v>0</v>
      </c>
    </row>
    <row r="591" spans="2:18" ht="15" customHeight="1" x14ac:dyDescent="0.2">
      <c r="B591" s="224"/>
      <c r="C591" s="473"/>
      <c r="D591" s="476">
        <f t="shared" si="24"/>
        <v>0</v>
      </c>
      <c r="I591" s="224"/>
      <c r="J591" s="473"/>
      <c r="K591" s="476">
        <f t="shared" si="25"/>
        <v>0</v>
      </c>
      <c r="P591" s="224"/>
      <c r="Q591" s="473"/>
      <c r="R591" s="476">
        <f t="shared" si="26"/>
        <v>0</v>
      </c>
    </row>
    <row r="592" spans="2:18" ht="15" customHeight="1" x14ac:dyDescent="0.2">
      <c r="B592" s="224"/>
      <c r="C592" s="473"/>
      <c r="D592" s="476">
        <f t="shared" si="24"/>
        <v>0</v>
      </c>
      <c r="I592" s="224"/>
      <c r="J592" s="473"/>
      <c r="K592" s="476">
        <f t="shared" si="25"/>
        <v>0</v>
      </c>
      <c r="P592" s="224"/>
      <c r="Q592" s="473"/>
      <c r="R592" s="476">
        <f t="shared" si="26"/>
        <v>0</v>
      </c>
    </row>
    <row r="593" spans="2:18" ht="15" customHeight="1" x14ac:dyDescent="0.2">
      <c r="B593" s="224"/>
      <c r="C593" s="473"/>
      <c r="D593" s="476">
        <f t="shared" si="24"/>
        <v>0</v>
      </c>
      <c r="I593" s="224"/>
      <c r="J593" s="473"/>
      <c r="K593" s="476">
        <f t="shared" si="25"/>
        <v>0</v>
      </c>
      <c r="P593" s="224"/>
      <c r="Q593" s="473"/>
      <c r="R593" s="476">
        <f t="shared" si="26"/>
        <v>0</v>
      </c>
    </row>
    <row r="594" spans="2:18" ht="15" customHeight="1" x14ac:dyDescent="0.2">
      <c r="B594" s="224"/>
      <c r="C594" s="473"/>
      <c r="D594" s="476">
        <f t="shared" ref="D594:D657" si="27">C594/1000</f>
        <v>0</v>
      </c>
      <c r="I594" s="224"/>
      <c r="J594" s="473"/>
      <c r="K594" s="476">
        <f t="shared" ref="K594:K657" si="28">J594/1000</f>
        <v>0</v>
      </c>
      <c r="P594" s="224"/>
      <c r="Q594" s="473"/>
      <c r="R594" s="476">
        <f t="shared" ref="R594:R657" si="29">Q594/1000</f>
        <v>0</v>
      </c>
    </row>
    <row r="595" spans="2:18" ht="15" customHeight="1" x14ac:dyDescent="0.2">
      <c r="B595" s="224"/>
      <c r="C595" s="473"/>
      <c r="D595" s="476">
        <f t="shared" si="27"/>
        <v>0</v>
      </c>
      <c r="I595" s="224"/>
      <c r="J595" s="473"/>
      <c r="K595" s="476">
        <f t="shared" si="28"/>
        <v>0</v>
      </c>
      <c r="P595" s="224"/>
      <c r="Q595" s="473"/>
      <c r="R595" s="476">
        <f t="shared" si="29"/>
        <v>0</v>
      </c>
    </row>
    <row r="596" spans="2:18" ht="15" customHeight="1" x14ac:dyDescent="0.2">
      <c r="B596" s="224"/>
      <c r="C596" s="473"/>
      <c r="D596" s="476">
        <f t="shared" si="27"/>
        <v>0</v>
      </c>
      <c r="I596" s="224"/>
      <c r="J596" s="473"/>
      <c r="K596" s="476">
        <f t="shared" si="28"/>
        <v>0</v>
      </c>
      <c r="P596" s="224"/>
      <c r="Q596" s="473"/>
      <c r="R596" s="476">
        <f t="shared" si="29"/>
        <v>0</v>
      </c>
    </row>
    <row r="597" spans="2:18" ht="15" customHeight="1" x14ac:dyDescent="0.2">
      <c r="B597" s="224"/>
      <c r="C597" s="473"/>
      <c r="D597" s="476">
        <f t="shared" si="27"/>
        <v>0</v>
      </c>
      <c r="I597" s="224"/>
      <c r="J597" s="473"/>
      <c r="K597" s="476">
        <f t="shared" si="28"/>
        <v>0</v>
      </c>
      <c r="P597" s="224"/>
      <c r="Q597" s="473"/>
      <c r="R597" s="476">
        <f t="shared" si="29"/>
        <v>0</v>
      </c>
    </row>
    <row r="598" spans="2:18" ht="15" customHeight="1" x14ac:dyDescent="0.2">
      <c r="B598" s="224"/>
      <c r="C598" s="473"/>
      <c r="D598" s="476">
        <f t="shared" si="27"/>
        <v>0</v>
      </c>
      <c r="I598" s="224"/>
      <c r="J598" s="473"/>
      <c r="K598" s="476">
        <f t="shared" si="28"/>
        <v>0</v>
      </c>
      <c r="P598" s="224"/>
      <c r="Q598" s="473"/>
      <c r="R598" s="476">
        <f t="shared" si="29"/>
        <v>0</v>
      </c>
    </row>
    <row r="599" spans="2:18" ht="15" customHeight="1" x14ac:dyDescent="0.2">
      <c r="B599" s="224"/>
      <c r="C599" s="473"/>
      <c r="D599" s="476">
        <f t="shared" si="27"/>
        <v>0</v>
      </c>
      <c r="I599" s="224"/>
      <c r="J599" s="473"/>
      <c r="K599" s="476">
        <f t="shared" si="28"/>
        <v>0</v>
      </c>
      <c r="P599" s="224"/>
      <c r="Q599" s="473"/>
      <c r="R599" s="476">
        <f t="shared" si="29"/>
        <v>0</v>
      </c>
    </row>
    <row r="600" spans="2:18" ht="15" customHeight="1" x14ac:dyDescent="0.2">
      <c r="B600" s="224"/>
      <c r="C600" s="473"/>
      <c r="D600" s="476">
        <f t="shared" si="27"/>
        <v>0</v>
      </c>
      <c r="I600" s="224"/>
      <c r="J600" s="473"/>
      <c r="K600" s="476">
        <f t="shared" si="28"/>
        <v>0</v>
      </c>
      <c r="P600" s="224"/>
      <c r="Q600" s="473"/>
      <c r="R600" s="476">
        <f t="shared" si="29"/>
        <v>0</v>
      </c>
    </row>
    <row r="601" spans="2:18" ht="15" customHeight="1" x14ac:dyDescent="0.2">
      <c r="B601" s="224"/>
      <c r="C601" s="473"/>
      <c r="D601" s="476">
        <f t="shared" si="27"/>
        <v>0</v>
      </c>
      <c r="I601" s="224"/>
      <c r="J601" s="473"/>
      <c r="K601" s="476">
        <f t="shared" si="28"/>
        <v>0</v>
      </c>
      <c r="P601" s="224"/>
      <c r="Q601" s="473"/>
      <c r="R601" s="476">
        <f t="shared" si="29"/>
        <v>0</v>
      </c>
    </row>
    <row r="602" spans="2:18" ht="15" customHeight="1" x14ac:dyDescent="0.2">
      <c r="B602" s="224"/>
      <c r="C602" s="473"/>
      <c r="D602" s="476">
        <f t="shared" si="27"/>
        <v>0</v>
      </c>
      <c r="I602" s="224"/>
      <c r="J602" s="473"/>
      <c r="K602" s="476">
        <f t="shared" si="28"/>
        <v>0</v>
      </c>
      <c r="P602" s="224"/>
      <c r="Q602" s="473"/>
      <c r="R602" s="476">
        <f t="shared" si="29"/>
        <v>0</v>
      </c>
    </row>
    <row r="603" spans="2:18" ht="15" customHeight="1" x14ac:dyDescent="0.2">
      <c r="B603" s="224"/>
      <c r="C603" s="473"/>
      <c r="D603" s="476">
        <f t="shared" si="27"/>
        <v>0</v>
      </c>
      <c r="I603" s="224"/>
      <c r="J603" s="473"/>
      <c r="K603" s="476">
        <f t="shared" si="28"/>
        <v>0</v>
      </c>
      <c r="P603" s="224"/>
      <c r="Q603" s="473"/>
      <c r="R603" s="476">
        <f t="shared" si="29"/>
        <v>0</v>
      </c>
    </row>
    <row r="604" spans="2:18" ht="15" customHeight="1" x14ac:dyDescent="0.2">
      <c r="B604" s="224"/>
      <c r="C604" s="473"/>
      <c r="D604" s="476">
        <f t="shared" si="27"/>
        <v>0</v>
      </c>
      <c r="I604" s="224"/>
      <c r="J604" s="473"/>
      <c r="K604" s="476">
        <f t="shared" si="28"/>
        <v>0</v>
      </c>
      <c r="P604" s="224"/>
      <c r="Q604" s="473"/>
      <c r="R604" s="476">
        <f t="shared" si="29"/>
        <v>0</v>
      </c>
    </row>
    <row r="605" spans="2:18" ht="15" customHeight="1" x14ac:dyDescent="0.2">
      <c r="B605" s="224"/>
      <c r="C605" s="473"/>
      <c r="D605" s="476">
        <f t="shared" si="27"/>
        <v>0</v>
      </c>
      <c r="I605" s="224"/>
      <c r="J605" s="473"/>
      <c r="K605" s="476">
        <f t="shared" si="28"/>
        <v>0</v>
      </c>
      <c r="P605" s="224"/>
      <c r="Q605" s="473"/>
      <c r="R605" s="476">
        <f t="shared" si="29"/>
        <v>0</v>
      </c>
    </row>
    <row r="606" spans="2:18" ht="15" customHeight="1" x14ac:dyDescent="0.2">
      <c r="B606" s="224"/>
      <c r="C606" s="473"/>
      <c r="D606" s="476">
        <f t="shared" si="27"/>
        <v>0</v>
      </c>
      <c r="I606" s="224"/>
      <c r="J606" s="473"/>
      <c r="K606" s="476">
        <f t="shared" si="28"/>
        <v>0</v>
      </c>
      <c r="P606" s="224"/>
      <c r="Q606" s="473"/>
      <c r="R606" s="476">
        <f t="shared" si="29"/>
        <v>0</v>
      </c>
    </row>
    <row r="607" spans="2:18" ht="15" customHeight="1" x14ac:dyDescent="0.2">
      <c r="B607" s="224"/>
      <c r="C607" s="473"/>
      <c r="D607" s="476">
        <f t="shared" si="27"/>
        <v>0</v>
      </c>
      <c r="I607" s="224"/>
      <c r="J607" s="473"/>
      <c r="K607" s="476">
        <f t="shared" si="28"/>
        <v>0</v>
      </c>
      <c r="P607" s="224"/>
      <c r="Q607" s="473"/>
      <c r="R607" s="476">
        <f t="shared" si="29"/>
        <v>0</v>
      </c>
    </row>
    <row r="608" spans="2:18" ht="15" customHeight="1" x14ac:dyDescent="0.2">
      <c r="B608" s="224"/>
      <c r="C608" s="473"/>
      <c r="D608" s="476">
        <f t="shared" si="27"/>
        <v>0</v>
      </c>
      <c r="I608" s="224"/>
      <c r="J608" s="473"/>
      <c r="K608" s="476">
        <f t="shared" si="28"/>
        <v>0</v>
      </c>
      <c r="P608" s="224"/>
      <c r="Q608" s="473"/>
      <c r="R608" s="476">
        <f t="shared" si="29"/>
        <v>0</v>
      </c>
    </row>
    <row r="609" spans="2:18" ht="15" customHeight="1" x14ac:dyDescent="0.2">
      <c r="B609" s="224"/>
      <c r="C609" s="473"/>
      <c r="D609" s="476">
        <f t="shared" si="27"/>
        <v>0</v>
      </c>
      <c r="I609" s="224"/>
      <c r="J609" s="473"/>
      <c r="K609" s="476">
        <f t="shared" si="28"/>
        <v>0</v>
      </c>
      <c r="P609" s="224"/>
      <c r="Q609" s="473"/>
      <c r="R609" s="476">
        <f t="shared" si="29"/>
        <v>0</v>
      </c>
    </row>
    <row r="610" spans="2:18" ht="15" customHeight="1" x14ac:dyDescent="0.2">
      <c r="B610" s="224"/>
      <c r="C610" s="473"/>
      <c r="D610" s="476">
        <f t="shared" si="27"/>
        <v>0</v>
      </c>
      <c r="I610" s="224"/>
      <c r="J610" s="473"/>
      <c r="K610" s="476">
        <f t="shared" si="28"/>
        <v>0</v>
      </c>
      <c r="P610" s="224"/>
      <c r="Q610" s="473"/>
      <c r="R610" s="476">
        <f t="shared" si="29"/>
        <v>0</v>
      </c>
    </row>
    <row r="611" spans="2:18" ht="15" customHeight="1" x14ac:dyDescent="0.2">
      <c r="B611" s="224"/>
      <c r="C611" s="473"/>
      <c r="D611" s="476">
        <f t="shared" si="27"/>
        <v>0</v>
      </c>
      <c r="I611" s="224"/>
      <c r="J611" s="473"/>
      <c r="K611" s="476">
        <f t="shared" si="28"/>
        <v>0</v>
      </c>
      <c r="P611" s="224"/>
      <c r="Q611" s="473"/>
      <c r="R611" s="476">
        <f t="shared" si="29"/>
        <v>0</v>
      </c>
    </row>
    <row r="612" spans="2:18" ht="15" customHeight="1" x14ac:dyDescent="0.2">
      <c r="B612" s="224"/>
      <c r="C612" s="473"/>
      <c r="D612" s="476">
        <f t="shared" si="27"/>
        <v>0</v>
      </c>
      <c r="I612" s="224"/>
      <c r="J612" s="473"/>
      <c r="K612" s="476">
        <f t="shared" si="28"/>
        <v>0</v>
      </c>
      <c r="P612" s="224"/>
      <c r="Q612" s="473"/>
      <c r="R612" s="476">
        <f t="shared" si="29"/>
        <v>0</v>
      </c>
    </row>
    <row r="613" spans="2:18" ht="15" customHeight="1" x14ac:dyDescent="0.2">
      <c r="B613" s="224"/>
      <c r="C613" s="473"/>
      <c r="D613" s="476">
        <f t="shared" si="27"/>
        <v>0</v>
      </c>
      <c r="I613" s="224"/>
      <c r="J613" s="473"/>
      <c r="K613" s="476">
        <f t="shared" si="28"/>
        <v>0</v>
      </c>
      <c r="P613" s="224"/>
      <c r="Q613" s="473"/>
      <c r="R613" s="476">
        <f t="shared" si="29"/>
        <v>0</v>
      </c>
    </row>
    <row r="614" spans="2:18" ht="15" customHeight="1" x14ac:dyDescent="0.2">
      <c r="B614" s="224"/>
      <c r="C614" s="473"/>
      <c r="D614" s="476">
        <f t="shared" si="27"/>
        <v>0</v>
      </c>
      <c r="I614" s="224"/>
      <c r="J614" s="473"/>
      <c r="K614" s="476">
        <f t="shared" si="28"/>
        <v>0</v>
      </c>
      <c r="P614" s="224"/>
      <c r="Q614" s="473"/>
      <c r="R614" s="476">
        <f t="shared" si="29"/>
        <v>0</v>
      </c>
    </row>
    <row r="615" spans="2:18" ht="15" customHeight="1" x14ac:dyDescent="0.2">
      <c r="B615" s="224"/>
      <c r="C615" s="473"/>
      <c r="D615" s="476">
        <f t="shared" si="27"/>
        <v>0</v>
      </c>
      <c r="I615" s="224"/>
      <c r="J615" s="473"/>
      <c r="K615" s="476">
        <f t="shared" si="28"/>
        <v>0</v>
      </c>
      <c r="P615" s="224"/>
      <c r="Q615" s="473"/>
      <c r="R615" s="476">
        <f t="shared" si="29"/>
        <v>0</v>
      </c>
    </row>
    <row r="616" spans="2:18" ht="15" customHeight="1" x14ac:dyDescent="0.2">
      <c r="B616" s="224"/>
      <c r="C616" s="473"/>
      <c r="D616" s="476">
        <f t="shared" si="27"/>
        <v>0</v>
      </c>
      <c r="I616" s="224"/>
      <c r="J616" s="473"/>
      <c r="K616" s="476">
        <f t="shared" si="28"/>
        <v>0</v>
      </c>
      <c r="P616" s="224"/>
      <c r="Q616" s="473"/>
      <c r="R616" s="476">
        <f t="shared" si="29"/>
        <v>0</v>
      </c>
    </row>
    <row r="617" spans="2:18" ht="15" customHeight="1" x14ac:dyDescent="0.2">
      <c r="B617" s="224"/>
      <c r="C617" s="473"/>
      <c r="D617" s="476">
        <f t="shared" si="27"/>
        <v>0</v>
      </c>
      <c r="I617" s="224"/>
      <c r="J617" s="473"/>
      <c r="K617" s="476">
        <f t="shared" si="28"/>
        <v>0</v>
      </c>
      <c r="P617" s="224"/>
      <c r="Q617" s="473"/>
      <c r="R617" s="476">
        <f t="shared" si="29"/>
        <v>0</v>
      </c>
    </row>
    <row r="618" spans="2:18" ht="15" customHeight="1" x14ac:dyDescent="0.2">
      <c r="B618" s="224"/>
      <c r="C618" s="473"/>
      <c r="D618" s="476">
        <f t="shared" si="27"/>
        <v>0</v>
      </c>
      <c r="I618" s="224"/>
      <c r="J618" s="473"/>
      <c r="K618" s="476">
        <f t="shared" si="28"/>
        <v>0</v>
      </c>
      <c r="P618" s="224"/>
      <c r="Q618" s="473"/>
      <c r="R618" s="476">
        <f t="shared" si="29"/>
        <v>0</v>
      </c>
    </row>
    <row r="619" spans="2:18" ht="15" customHeight="1" x14ac:dyDescent="0.2">
      <c r="B619" s="224"/>
      <c r="C619" s="473"/>
      <c r="D619" s="476">
        <f t="shared" si="27"/>
        <v>0</v>
      </c>
      <c r="I619" s="224"/>
      <c r="J619" s="473"/>
      <c r="K619" s="476">
        <f t="shared" si="28"/>
        <v>0</v>
      </c>
      <c r="P619" s="224"/>
      <c r="Q619" s="473"/>
      <c r="R619" s="476">
        <f t="shared" si="29"/>
        <v>0</v>
      </c>
    </row>
    <row r="620" spans="2:18" ht="15" customHeight="1" x14ac:dyDescent="0.2">
      <c r="B620" s="224"/>
      <c r="C620" s="473"/>
      <c r="D620" s="476">
        <f t="shared" si="27"/>
        <v>0</v>
      </c>
      <c r="I620" s="224"/>
      <c r="J620" s="473"/>
      <c r="K620" s="476">
        <f t="shared" si="28"/>
        <v>0</v>
      </c>
      <c r="P620" s="224"/>
      <c r="Q620" s="473"/>
      <c r="R620" s="476">
        <f t="shared" si="29"/>
        <v>0</v>
      </c>
    </row>
    <row r="621" spans="2:18" ht="15" customHeight="1" x14ac:dyDescent="0.2">
      <c r="B621" s="224"/>
      <c r="C621" s="473"/>
      <c r="D621" s="476">
        <f t="shared" si="27"/>
        <v>0</v>
      </c>
      <c r="I621" s="224"/>
      <c r="J621" s="473"/>
      <c r="K621" s="476">
        <f t="shared" si="28"/>
        <v>0</v>
      </c>
      <c r="P621" s="224"/>
      <c r="Q621" s="473"/>
      <c r="R621" s="476">
        <f t="shared" si="29"/>
        <v>0</v>
      </c>
    </row>
    <row r="622" spans="2:18" ht="15" customHeight="1" x14ac:dyDescent="0.2">
      <c r="B622" s="224"/>
      <c r="C622" s="473"/>
      <c r="D622" s="476">
        <f t="shared" si="27"/>
        <v>0</v>
      </c>
      <c r="I622" s="224"/>
      <c r="J622" s="473"/>
      <c r="K622" s="476">
        <f t="shared" si="28"/>
        <v>0</v>
      </c>
      <c r="P622" s="224"/>
      <c r="Q622" s="473"/>
      <c r="R622" s="476">
        <f t="shared" si="29"/>
        <v>0</v>
      </c>
    </row>
    <row r="623" spans="2:18" ht="15" customHeight="1" x14ac:dyDescent="0.2">
      <c r="B623" s="224"/>
      <c r="C623" s="473"/>
      <c r="D623" s="476">
        <f t="shared" si="27"/>
        <v>0</v>
      </c>
      <c r="I623" s="224"/>
      <c r="J623" s="473"/>
      <c r="K623" s="476">
        <f t="shared" si="28"/>
        <v>0</v>
      </c>
      <c r="P623" s="224"/>
      <c r="Q623" s="473"/>
      <c r="R623" s="476">
        <f t="shared" si="29"/>
        <v>0</v>
      </c>
    </row>
    <row r="624" spans="2:18" ht="15" customHeight="1" x14ac:dyDescent="0.2">
      <c r="B624" s="224"/>
      <c r="C624" s="473"/>
      <c r="D624" s="476">
        <f t="shared" si="27"/>
        <v>0</v>
      </c>
      <c r="I624" s="224"/>
      <c r="J624" s="473"/>
      <c r="K624" s="476">
        <f t="shared" si="28"/>
        <v>0</v>
      </c>
      <c r="P624" s="224"/>
      <c r="Q624" s="473"/>
      <c r="R624" s="476">
        <f t="shared" si="29"/>
        <v>0</v>
      </c>
    </row>
    <row r="625" spans="2:18" ht="15" customHeight="1" x14ac:dyDescent="0.2">
      <c r="B625" s="224"/>
      <c r="C625" s="473"/>
      <c r="D625" s="476">
        <f t="shared" si="27"/>
        <v>0</v>
      </c>
      <c r="I625" s="224"/>
      <c r="J625" s="473"/>
      <c r="K625" s="476">
        <f t="shared" si="28"/>
        <v>0</v>
      </c>
      <c r="P625" s="224"/>
      <c r="Q625" s="473"/>
      <c r="R625" s="476">
        <f t="shared" si="29"/>
        <v>0</v>
      </c>
    </row>
    <row r="626" spans="2:18" ht="15" customHeight="1" x14ac:dyDescent="0.2">
      <c r="B626" s="224"/>
      <c r="C626" s="473"/>
      <c r="D626" s="476">
        <f t="shared" si="27"/>
        <v>0</v>
      </c>
      <c r="I626" s="224"/>
      <c r="J626" s="473"/>
      <c r="K626" s="476">
        <f t="shared" si="28"/>
        <v>0</v>
      </c>
      <c r="P626" s="224"/>
      <c r="Q626" s="473"/>
      <c r="R626" s="476">
        <f t="shared" si="29"/>
        <v>0</v>
      </c>
    </row>
    <row r="627" spans="2:18" ht="15" customHeight="1" x14ac:dyDescent="0.2">
      <c r="B627" s="224"/>
      <c r="C627" s="473"/>
      <c r="D627" s="476">
        <f t="shared" si="27"/>
        <v>0</v>
      </c>
      <c r="I627" s="224"/>
      <c r="J627" s="473"/>
      <c r="K627" s="476">
        <f t="shared" si="28"/>
        <v>0</v>
      </c>
      <c r="P627" s="224"/>
      <c r="Q627" s="473"/>
      <c r="R627" s="476">
        <f t="shared" si="29"/>
        <v>0</v>
      </c>
    </row>
    <row r="628" spans="2:18" ht="15" customHeight="1" x14ac:dyDescent="0.2">
      <c r="B628" s="224"/>
      <c r="C628" s="473"/>
      <c r="D628" s="476">
        <f t="shared" si="27"/>
        <v>0</v>
      </c>
      <c r="I628" s="224"/>
      <c r="J628" s="473"/>
      <c r="K628" s="476">
        <f t="shared" si="28"/>
        <v>0</v>
      </c>
      <c r="P628" s="224"/>
      <c r="Q628" s="473"/>
      <c r="R628" s="476">
        <f t="shared" si="29"/>
        <v>0</v>
      </c>
    </row>
    <row r="629" spans="2:18" ht="15" customHeight="1" x14ac:dyDescent="0.2">
      <c r="B629" s="224"/>
      <c r="C629" s="473"/>
      <c r="D629" s="476">
        <f t="shared" si="27"/>
        <v>0</v>
      </c>
      <c r="I629" s="224"/>
      <c r="J629" s="473"/>
      <c r="K629" s="476">
        <f t="shared" si="28"/>
        <v>0</v>
      </c>
      <c r="P629" s="224"/>
      <c r="Q629" s="473"/>
      <c r="R629" s="476">
        <f t="shared" si="29"/>
        <v>0</v>
      </c>
    </row>
    <row r="630" spans="2:18" ht="15" customHeight="1" x14ac:dyDescent="0.2">
      <c r="B630" s="224"/>
      <c r="C630" s="473"/>
      <c r="D630" s="476">
        <f t="shared" si="27"/>
        <v>0</v>
      </c>
      <c r="I630" s="224"/>
      <c r="J630" s="473"/>
      <c r="K630" s="476">
        <f t="shared" si="28"/>
        <v>0</v>
      </c>
      <c r="P630" s="224"/>
      <c r="Q630" s="473"/>
      <c r="R630" s="476">
        <f t="shared" si="29"/>
        <v>0</v>
      </c>
    </row>
    <row r="631" spans="2:18" ht="15" customHeight="1" x14ac:dyDescent="0.2">
      <c r="B631" s="224"/>
      <c r="C631" s="473"/>
      <c r="D631" s="476">
        <f t="shared" si="27"/>
        <v>0</v>
      </c>
      <c r="I631" s="224"/>
      <c r="J631" s="473"/>
      <c r="K631" s="476">
        <f t="shared" si="28"/>
        <v>0</v>
      </c>
      <c r="P631" s="224"/>
      <c r="Q631" s="473"/>
      <c r="R631" s="476">
        <f t="shared" si="29"/>
        <v>0</v>
      </c>
    </row>
    <row r="632" spans="2:18" ht="15" customHeight="1" x14ac:dyDescent="0.2">
      <c r="B632" s="224"/>
      <c r="C632" s="473"/>
      <c r="D632" s="476">
        <f t="shared" si="27"/>
        <v>0</v>
      </c>
      <c r="I632" s="224"/>
      <c r="J632" s="473"/>
      <c r="K632" s="476">
        <f t="shared" si="28"/>
        <v>0</v>
      </c>
      <c r="P632" s="224"/>
      <c r="Q632" s="473"/>
      <c r="R632" s="476">
        <f t="shared" si="29"/>
        <v>0</v>
      </c>
    </row>
    <row r="633" spans="2:18" ht="15" customHeight="1" x14ac:dyDescent="0.2">
      <c r="B633" s="224"/>
      <c r="C633" s="473"/>
      <c r="D633" s="476">
        <f t="shared" si="27"/>
        <v>0</v>
      </c>
      <c r="I633" s="224"/>
      <c r="J633" s="473"/>
      <c r="K633" s="476">
        <f t="shared" si="28"/>
        <v>0</v>
      </c>
      <c r="P633" s="224"/>
      <c r="Q633" s="473"/>
      <c r="R633" s="476">
        <f t="shared" si="29"/>
        <v>0</v>
      </c>
    </row>
    <row r="634" spans="2:18" ht="15" customHeight="1" x14ac:dyDescent="0.2">
      <c r="B634" s="224"/>
      <c r="C634" s="473"/>
      <c r="D634" s="476">
        <f t="shared" si="27"/>
        <v>0</v>
      </c>
      <c r="I634" s="224"/>
      <c r="J634" s="473"/>
      <c r="K634" s="476">
        <f t="shared" si="28"/>
        <v>0</v>
      </c>
      <c r="P634" s="224"/>
      <c r="Q634" s="473"/>
      <c r="R634" s="476">
        <f t="shared" si="29"/>
        <v>0</v>
      </c>
    </row>
    <row r="635" spans="2:18" ht="15" customHeight="1" x14ac:dyDescent="0.2">
      <c r="B635" s="224"/>
      <c r="C635" s="473"/>
      <c r="D635" s="476">
        <f t="shared" si="27"/>
        <v>0</v>
      </c>
      <c r="I635" s="224"/>
      <c r="J635" s="473"/>
      <c r="K635" s="476">
        <f t="shared" si="28"/>
        <v>0</v>
      </c>
      <c r="P635" s="224"/>
      <c r="Q635" s="473"/>
      <c r="R635" s="476">
        <f t="shared" si="29"/>
        <v>0</v>
      </c>
    </row>
    <row r="636" spans="2:18" ht="15" customHeight="1" x14ac:dyDescent="0.2">
      <c r="B636" s="224"/>
      <c r="C636" s="473"/>
      <c r="D636" s="476">
        <f t="shared" si="27"/>
        <v>0</v>
      </c>
      <c r="I636" s="224"/>
      <c r="J636" s="473"/>
      <c r="K636" s="476">
        <f t="shared" si="28"/>
        <v>0</v>
      </c>
      <c r="P636" s="224"/>
      <c r="Q636" s="473"/>
      <c r="R636" s="476">
        <f t="shared" si="29"/>
        <v>0</v>
      </c>
    </row>
    <row r="637" spans="2:18" ht="15" customHeight="1" x14ac:dyDescent="0.2">
      <c r="B637" s="224"/>
      <c r="C637" s="473"/>
      <c r="D637" s="476">
        <f t="shared" si="27"/>
        <v>0</v>
      </c>
      <c r="I637" s="224"/>
      <c r="J637" s="473"/>
      <c r="K637" s="476">
        <f t="shared" si="28"/>
        <v>0</v>
      </c>
      <c r="P637" s="224"/>
      <c r="Q637" s="473"/>
      <c r="R637" s="476">
        <f t="shared" si="29"/>
        <v>0</v>
      </c>
    </row>
    <row r="638" spans="2:18" ht="15" customHeight="1" x14ac:dyDescent="0.2">
      <c r="B638" s="224"/>
      <c r="C638" s="473"/>
      <c r="D638" s="476">
        <f t="shared" si="27"/>
        <v>0</v>
      </c>
      <c r="I638" s="224"/>
      <c r="J638" s="473"/>
      <c r="K638" s="476">
        <f t="shared" si="28"/>
        <v>0</v>
      </c>
      <c r="P638" s="224"/>
      <c r="Q638" s="473"/>
      <c r="R638" s="476">
        <f t="shared" si="29"/>
        <v>0</v>
      </c>
    </row>
    <row r="639" spans="2:18" ht="15" customHeight="1" x14ac:dyDescent="0.2">
      <c r="B639" s="224"/>
      <c r="C639" s="473"/>
      <c r="D639" s="476">
        <f t="shared" si="27"/>
        <v>0</v>
      </c>
      <c r="I639" s="224"/>
      <c r="J639" s="473"/>
      <c r="K639" s="476">
        <f t="shared" si="28"/>
        <v>0</v>
      </c>
      <c r="P639" s="224"/>
      <c r="Q639" s="473"/>
      <c r="R639" s="476">
        <f t="shared" si="29"/>
        <v>0</v>
      </c>
    </row>
    <row r="640" spans="2:18" ht="15" customHeight="1" x14ac:dyDescent="0.2">
      <c r="B640" s="224"/>
      <c r="C640" s="473"/>
      <c r="D640" s="476">
        <f t="shared" si="27"/>
        <v>0</v>
      </c>
      <c r="I640" s="224"/>
      <c r="J640" s="473"/>
      <c r="K640" s="476">
        <f t="shared" si="28"/>
        <v>0</v>
      </c>
      <c r="P640" s="224"/>
      <c r="Q640" s="473"/>
      <c r="R640" s="476">
        <f t="shared" si="29"/>
        <v>0</v>
      </c>
    </row>
    <row r="641" spans="2:18" ht="15" customHeight="1" x14ac:dyDescent="0.2">
      <c r="B641" s="224"/>
      <c r="C641" s="473"/>
      <c r="D641" s="476">
        <f t="shared" si="27"/>
        <v>0</v>
      </c>
      <c r="I641" s="224"/>
      <c r="J641" s="473"/>
      <c r="K641" s="476">
        <f t="shared" si="28"/>
        <v>0</v>
      </c>
      <c r="P641" s="224"/>
      <c r="Q641" s="473"/>
      <c r="R641" s="476">
        <f t="shared" si="29"/>
        <v>0</v>
      </c>
    </row>
    <row r="642" spans="2:18" ht="15" customHeight="1" x14ac:dyDescent="0.2">
      <c r="B642" s="224"/>
      <c r="C642" s="473"/>
      <c r="D642" s="476">
        <f t="shared" si="27"/>
        <v>0</v>
      </c>
      <c r="I642" s="224"/>
      <c r="J642" s="473"/>
      <c r="K642" s="476">
        <f t="shared" si="28"/>
        <v>0</v>
      </c>
      <c r="P642" s="224"/>
      <c r="Q642" s="473"/>
      <c r="R642" s="476">
        <f t="shared" si="29"/>
        <v>0</v>
      </c>
    </row>
    <row r="643" spans="2:18" ht="15" customHeight="1" x14ac:dyDescent="0.2">
      <c r="B643" s="224"/>
      <c r="C643" s="473"/>
      <c r="D643" s="476">
        <f t="shared" si="27"/>
        <v>0</v>
      </c>
      <c r="I643" s="224"/>
      <c r="J643" s="473"/>
      <c r="K643" s="476">
        <f t="shared" si="28"/>
        <v>0</v>
      </c>
      <c r="P643" s="224"/>
      <c r="Q643" s="473"/>
      <c r="R643" s="476">
        <f t="shared" si="29"/>
        <v>0</v>
      </c>
    </row>
    <row r="644" spans="2:18" ht="15" customHeight="1" x14ac:dyDescent="0.2">
      <c r="B644" s="224"/>
      <c r="C644" s="473"/>
      <c r="D644" s="476">
        <f t="shared" si="27"/>
        <v>0</v>
      </c>
      <c r="I644" s="224"/>
      <c r="J644" s="473"/>
      <c r="K644" s="476">
        <f t="shared" si="28"/>
        <v>0</v>
      </c>
      <c r="P644" s="224"/>
      <c r="Q644" s="473"/>
      <c r="R644" s="476">
        <f t="shared" si="29"/>
        <v>0</v>
      </c>
    </row>
    <row r="645" spans="2:18" ht="15" customHeight="1" x14ac:dyDescent="0.2">
      <c r="B645" s="224"/>
      <c r="C645" s="473"/>
      <c r="D645" s="476">
        <f t="shared" si="27"/>
        <v>0</v>
      </c>
      <c r="I645" s="224"/>
      <c r="J645" s="473"/>
      <c r="K645" s="476">
        <f t="shared" si="28"/>
        <v>0</v>
      </c>
      <c r="P645" s="224"/>
      <c r="Q645" s="473"/>
      <c r="R645" s="476">
        <f t="shared" si="29"/>
        <v>0</v>
      </c>
    </row>
    <row r="646" spans="2:18" ht="15" customHeight="1" x14ac:dyDescent="0.2">
      <c r="B646" s="224"/>
      <c r="C646" s="473"/>
      <c r="D646" s="476">
        <f t="shared" si="27"/>
        <v>0</v>
      </c>
      <c r="I646" s="224"/>
      <c r="J646" s="473"/>
      <c r="K646" s="476">
        <f t="shared" si="28"/>
        <v>0</v>
      </c>
      <c r="P646" s="224"/>
      <c r="Q646" s="473"/>
      <c r="R646" s="476">
        <f t="shared" si="29"/>
        <v>0</v>
      </c>
    </row>
    <row r="647" spans="2:18" ht="15" customHeight="1" x14ac:dyDescent="0.2">
      <c r="B647" s="224"/>
      <c r="C647" s="473"/>
      <c r="D647" s="476">
        <f t="shared" si="27"/>
        <v>0</v>
      </c>
      <c r="I647" s="224"/>
      <c r="J647" s="473"/>
      <c r="K647" s="476">
        <f t="shared" si="28"/>
        <v>0</v>
      </c>
      <c r="P647" s="224"/>
      <c r="Q647" s="473"/>
      <c r="R647" s="476">
        <f t="shared" si="29"/>
        <v>0</v>
      </c>
    </row>
    <row r="648" spans="2:18" ht="15" customHeight="1" x14ac:dyDescent="0.2">
      <c r="B648" s="224"/>
      <c r="C648" s="473"/>
      <c r="D648" s="476">
        <f t="shared" si="27"/>
        <v>0</v>
      </c>
      <c r="I648" s="224"/>
      <c r="J648" s="473"/>
      <c r="K648" s="476">
        <f t="shared" si="28"/>
        <v>0</v>
      </c>
      <c r="P648" s="224"/>
      <c r="Q648" s="473"/>
      <c r="R648" s="476">
        <f t="shared" si="29"/>
        <v>0</v>
      </c>
    </row>
    <row r="649" spans="2:18" ht="15" customHeight="1" x14ac:dyDescent="0.2">
      <c r="B649" s="224"/>
      <c r="C649" s="473"/>
      <c r="D649" s="476">
        <f t="shared" si="27"/>
        <v>0</v>
      </c>
      <c r="I649" s="224"/>
      <c r="J649" s="473"/>
      <c r="K649" s="476">
        <f t="shared" si="28"/>
        <v>0</v>
      </c>
      <c r="P649" s="224"/>
      <c r="Q649" s="473"/>
      <c r="R649" s="476">
        <f t="shared" si="29"/>
        <v>0</v>
      </c>
    </row>
    <row r="650" spans="2:18" ht="15" customHeight="1" x14ac:dyDescent="0.2">
      <c r="B650" s="224"/>
      <c r="C650" s="473"/>
      <c r="D650" s="476">
        <f t="shared" si="27"/>
        <v>0</v>
      </c>
      <c r="I650" s="224"/>
      <c r="J650" s="473"/>
      <c r="K650" s="476">
        <f t="shared" si="28"/>
        <v>0</v>
      </c>
      <c r="P650" s="224"/>
      <c r="Q650" s="473"/>
      <c r="R650" s="476">
        <f t="shared" si="29"/>
        <v>0</v>
      </c>
    </row>
    <row r="651" spans="2:18" ht="15" customHeight="1" x14ac:dyDescent="0.2">
      <c r="B651" s="224"/>
      <c r="C651" s="473"/>
      <c r="D651" s="476">
        <f t="shared" si="27"/>
        <v>0</v>
      </c>
      <c r="I651" s="224"/>
      <c r="J651" s="473"/>
      <c r="K651" s="476">
        <f t="shared" si="28"/>
        <v>0</v>
      </c>
      <c r="P651" s="224"/>
      <c r="Q651" s="473"/>
      <c r="R651" s="476">
        <f t="shared" si="29"/>
        <v>0</v>
      </c>
    </row>
    <row r="652" spans="2:18" ht="15" customHeight="1" x14ac:dyDescent="0.2">
      <c r="B652" s="224"/>
      <c r="C652" s="473"/>
      <c r="D652" s="476">
        <f t="shared" si="27"/>
        <v>0</v>
      </c>
      <c r="I652" s="224"/>
      <c r="J652" s="473"/>
      <c r="K652" s="476">
        <f t="shared" si="28"/>
        <v>0</v>
      </c>
      <c r="P652" s="224"/>
      <c r="Q652" s="473"/>
      <c r="R652" s="476">
        <f t="shared" si="29"/>
        <v>0</v>
      </c>
    </row>
    <row r="653" spans="2:18" ht="15" customHeight="1" x14ac:dyDescent="0.2">
      <c r="B653" s="224"/>
      <c r="C653" s="473"/>
      <c r="D653" s="476">
        <f t="shared" si="27"/>
        <v>0</v>
      </c>
      <c r="I653" s="224"/>
      <c r="J653" s="473"/>
      <c r="K653" s="476">
        <f t="shared" si="28"/>
        <v>0</v>
      </c>
      <c r="P653" s="224"/>
      <c r="Q653" s="473"/>
      <c r="R653" s="476">
        <f t="shared" si="29"/>
        <v>0</v>
      </c>
    </row>
    <row r="654" spans="2:18" ht="15" customHeight="1" x14ac:dyDescent="0.2">
      <c r="B654" s="224"/>
      <c r="C654" s="473"/>
      <c r="D654" s="476">
        <f t="shared" si="27"/>
        <v>0</v>
      </c>
      <c r="I654" s="224"/>
      <c r="J654" s="473"/>
      <c r="K654" s="476">
        <f t="shared" si="28"/>
        <v>0</v>
      </c>
      <c r="P654" s="224"/>
      <c r="Q654" s="473"/>
      <c r="R654" s="476">
        <f t="shared" si="29"/>
        <v>0</v>
      </c>
    </row>
    <row r="655" spans="2:18" ht="15" customHeight="1" x14ac:dyDescent="0.2">
      <c r="B655" s="224"/>
      <c r="C655" s="473"/>
      <c r="D655" s="476">
        <f t="shared" si="27"/>
        <v>0</v>
      </c>
      <c r="I655" s="224"/>
      <c r="J655" s="473"/>
      <c r="K655" s="476">
        <f t="shared" si="28"/>
        <v>0</v>
      </c>
      <c r="P655" s="224"/>
      <c r="Q655" s="473"/>
      <c r="R655" s="476">
        <f t="shared" si="29"/>
        <v>0</v>
      </c>
    </row>
    <row r="656" spans="2:18" ht="15" customHeight="1" x14ac:dyDescent="0.2">
      <c r="B656" s="224"/>
      <c r="C656" s="473"/>
      <c r="D656" s="476">
        <f t="shared" si="27"/>
        <v>0</v>
      </c>
      <c r="I656" s="224"/>
      <c r="J656" s="473"/>
      <c r="K656" s="476">
        <f t="shared" si="28"/>
        <v>0</v>
      </c>
      <c r="P656" s="224"/>
      <c r="Q656" s="473"/>
      <c r="R656" s="476">
        <f t="shared" si="29"/>
        <v>0</v>
      </c>
    </row>
    <row r="657" spans="2:18" ht="15" customHeight="1" x14ac:dyDescent="0.2">
      <c r="B657" s="224"/>
      <c r="C657" s="473"/>
      <c r="D657" s="476">
        <f t="shared" si="27"/>
        <v>0</v>
      </c>
      <c r="I657" s="224"/>
      <c r="J657" s="473"/>
      <c r="K657" s="476">
        <f t="shared" si="28"/>
        <v>0</v>
      </c>
      <c r="P657" s="224"/>
      <c r="Q657" s="473"/>
      <c r="R657" s="476">
        <f t="shared" si="29"/>
        <v>0</v>
      </c>
    </row>
    <row r="658" spans="2:18" ht="15" customHeight="1" x14ac:dyDescent="0.2">
      <c r="B658" s="224"/>
      <c r="C658" s="473"/>
      <c r="D658" s="476">
        <f t="shared" ref="D658:D721" si="30">C658/1000</f>
        <v>0</v>
      </c>
      <c r="I658" s="224"/>
      <c r="J658" s="473"/>
      <c r="K658" s="476">
        <f t="shared" ref="K658:K721" si="31">J658/1000</f>
        <v>0</v>
      </c>
      <c r="P658" s="224"/>
      <c r="Q658" s="473"/>
      <c r="R658" s="476">
        <f t="shared" ref="R658:R721" si="32">Q658/1000</f>
        <v>0</v>
      </c>
    </row>
    <row r="659" spans="2:18" ht="15" customHeight="1" x14ac:dyDescent="0.2">
      <c r="B659" s="224"/>
      <c r="C659" s="473"/>
      <c r="D659" s="476">
        <f t="shared" si="30"/>
        <v>0</v>
      </c>
      <c r="I659" s="224"/>
      <c r="J659" s="473"/>
      <c r="K659" s="476">
        <f t="shared" si="31"/>
        <v>0</v>
      </c>
      <c r="P659" s="224"/>
      <c r="Q659" s="473"/>
      <c r="R659" s="476">
        <f t="shared" si="32"/>
        <v>0</v>
      </c>
    </row>
    <row r="660" spans="2:18" ht="15" customHeight="1" x14ac:dyDescent="0.2">
      <c r="B660" s="224"/>
      <c r="C660" s="473"/>
      <c r="D660" s="476">
        <f t="shared" si="30"/>
        <v>0</v>
      </c>
      <c r="I660" s="224"/>
      <c r="J660" s="473"/>
      <c r="K660" s="476">
        <f t="shared" si="31"/>
        <v>0</v>
      </c>
      <c r="P660" s="224"/>
      <c r="Q660" s="473"/>
      <c r="R660" s="476">
        <f t="shared" si="32"/>
        <v>0</v>
      </c>
    </row>
    <row r="661" spans="2:18" ht="15" customHeight="1" x14ac:dyDescent="0.2">
      <c r="B661" s="224"/>
      <c r="C661" s="473"/>
      <c r="D661" s="476">
        <f t="shared" si="30"/>
        <v>0</v>
      </c>
      <c r="I661" s="224"/>
      <c r="J661" s="473"/>
      <c r="K661" s="476">
        <f t="shared" si="31"/>
        <v>0</v>
      </c>
      <c r="P661" s="224"/>
      <c r="Q661" s="473"/>
      <c r="R661" s="476">
        <f t="shared" si="32"/>
        <v>0</v>
      </c>
    </row>
    <row r="662" spans="2:18" ht="15" customHeight="1" x14ac:dyDescent="0.2">
      <c r="B662" s="224"/>
      <c r="C662" s="473"/>
      <c r="D662" s="476">
        <f t="shared" si="30"/>
        <v>0</v>
      </c>
      <c r="I662" s="224"/>
      <c r="J662" s="473"/>
      <c r="K662" s="476">
        <f t="shared" si="31"/>
        <v>0</v>
      </c>
      <c r="P662" s="224"/>
      <c r="Q662" s="473"/>
      <c r="R662" s="476">
        <f t="shared" si="32"/>
        <v>0</v>
      </c>
    </row>
    <row r="663" spans="2:18" ht="15" customHeight="1" x14ac:dyDescent="0.2">
      <c r="B663" s="224"/>
      <c r="C663" s="473"/>
      <c r="D663" s="476">
        <f t="shared" si="30"/>
        <v>0</v>
      </c>
      <c r="I663" s="224"/>
      <c r="J663" s="473"/>
      <c r="K663" s="476">
        <f t="shared" si="31"/>
        <v>0</v>
      </c>
      <c r="P663" s="224"/>
      <c r="Q663" s="473"/>
      <c r="R663" s="476">
        <f t="shared" si="32"/>
        <v>0</v>
      </c>
    </row>
    <row r="664" spans="2:18" ht="15" customHeight="1" x14ac:dyDescent="0.2">
      <c r="B664" s="224"/>
      <c r="C664" s="473"/>
      <c r="D664" s="476">
        <f t="shared" si="30"/>
        <v>0</v>
      </c>
      <c r="I664" s="224"/>
      <c r="J664" s="473"/>
      <c r="K664" s="476">
        <f t="shared" si="31"/>
        <v>0</v>
      </c>
      <c r="P664" s="224"/>
      <c r="Q664" s="473"/>
      <c r="R664" s="476">
        <f t="shared" si="32"/>
        <v>0</v>
      </c>
    </row>
    <row r="665" spans="2:18" ht="15" customHeight="1" x14ac:dyDescent="0.2">
      <c r="B665" s="224"/>
      <c r="C665" s="473"/>
      <c r="D665" s="476">
        <f t="shared" si="30"/>
        <v>0</v>
      </c>
      <c r="I665" s="224"/>
      <c r="J665" s="473"/>
      <c r="K665" s="476">
        <f t="shared" si="31"/>
        <v>0</v>
      </c>
      <c r="P665" s="224"/>
      <c r="Q665" s="473"/>
      <c r="R665" s="476">
        <f t="shared" si="32"/>
        <v>0</v>
      </c>
    </row>
    <row r="666" spans="2:18" ht="15" customHeight="1" x14ac:dyDescent="0.2">
      <c r="B666" s="224"/>
      <c r="C666" s="473"/>
      <c r="D666" s="476">
        <f t="shared" si="30"/>
        <v>0</v>
      </c>
      <c r="I666" s="224"/>
      <c r="J666" s="473"/>
      <c r="K666" s="476">
        <f t="shared" si="31"/>
        <v>0</v>
      </c>
      <c r="P666" s="224"/>
      <c r="Q666" s="473"/>
      <c r="R666" s="476">
        <f t="shared" si="32"/>
        <v>0</v>
      </c>
    </row>
    <row r="667" spans="2:18" ht="15" customHeight="1" x14ac:dyDescent="0.2">
      <c r="B667" s="224"/>
      <c r="C667" s="473"/>
      <c r="D667" s="476">
        <f t="shared" si="30"/>
        <v>0</v>
      </c>
      <c r="I667" s="224"/>
      <c r="J667" s="473"/>
      <c r="K667" s="476">
        <f t="shared" si="31"/>
        <v>0</v>
      </c>
      <c r="P667" s="224"/>
      <c r="Q667" s="473"/>
      <c r="R667" s="476">
        <f t="shared" si="32"/>
        <v>0</v>
      </c>
    </row>
    <row r="668" spans="2:18" ht="15" customHeight="1" x14ac:dyDescent="0.2">
      <c r="B668" s="224"/>
      <c r="C668" s="473"/>
      <c r="D668" s="476">
        <f t="shared" si="30"/>
        <v>0</v>
      </c>
      <c r="I668" s="224"/>
      <c r="J668" s="473"/>
      <c r="K668" s="476">
        <f t="shared" si="31"/>
        <v>0</v>
      </c>
      <c r="P668" s="224"/>
      <c r="Q668" s="473"/>
      <c r="R668" s="476">
        <f t="shared" si="32"/>
        <v>0</v>
      </c>
    </row>
    <row r="669" spans="2:18" ht="15" customHeight="1" x14ac:dyDescent="0.2">
      <c r="B669" s="224"/>
      <c r="C669" s="473"/>
      <c r="D669" s="476">
        <f t="shared" si="30"/>
        <v>0</v>
      </c>
      <c r="I669" s="224"/>
      <c r="J669" s="473"/>
      <c r="K669" s="476">
        <f t="shared" si="31"/>
        <v>0</v>
      </c>
      <c r="P669" s="224"/>
      <c r="Q669" s="473"/>
      <c r="R669" s="476">
        <f t="shared" si="32"/>
        <v>0</v>
      </c>
    </row>
    <row r="670" spans="2:18" ht="15" customHeight="1" x14ac:dyDescent="0.2">
      <c r="B670" s="224"/>
      <c r="C670" s="473"/>
      <c r="D670" s="476">
        <f t="shared" si="30"/>
        <v>0</v>
      </c>
      <c r="I670" s="224"/>
      <c r="J670" s="473"/>
      <c r="K670" s="476">
        <f t="shared" si="31"/>
        <v>0</v>
      </c>
      <c r="P670" s="224"/>
      <c r="Q670" s="473"/>
      <c r="R670" s="476">
        <f t="shared" si="32"/>
        <v>0</v>
      </c>
    </row>
    <row r="671" spans="2:18" ht="15" customHeight="1" x14ac:dyDescent="0.2">
      <c r="B671" s="224"/>
      <c r="C671" s="473"/>
      <c r="D671" s="476">
        <f t="shared" si="30"/>
        <v>0</v>
      </c>
      <c r="I671" s="224"/>
      <c r="J671" s="473"/>
      <c r="K671" s="476">
        <f t="shared" si="31"/>
        <v>0</v>
      </c>
      <c r="P671" s="224"/>
      <c r="Q671" s="473"/>
      <c r="R671" s="476">
        <f t="shared" si="32"/>
        <v>0</v>
      </c>
    </row>
    <row r="672" spans="2:18" ht="15" customHeight="1" x14ac:dyDescent="0.2">
      <c r="B672" s="224"/>
      <c r="C672" s="473"/>
      <c r="D672" s="476">
        <f t="shared" si="30"/>
        <v>0</v>
      </c>
      <c r="I672" s="224"/>
      <c r="J672" s="473"/>
      <c r="K672" s="476">
        <f t="shared" si="31"/>
        <v>0</v>
      </c>
      <c r="P672" s="224"/>
      <c r="Q672" s="473"/>
      <c r="R672" s="476">
        <f t="shared" si="32"/>
        <v>0</v>
      </c>
    </row>
    <row r="673" spans="2:18" ht="15" customHeight="1" x14ac:dyDescent="0.2">
      <c r="B673" s="224"/>
      <c r="C673" s="473"/>
      <c r="D673" s="476">
        <f t="shared" si="30"/>
        <v>0</v>
      </c>
      <c r="I673" s="224"/>
      <c r="J673" s="473"/>
      <c r="K673" s="476">
        <f t="shared" si="31"/>
        <v>0</v>
      </c>
      <c r="P673" s="224"/>
      <c r="Q673" s="473"/>
      <c r="R673" s="476">
        <f t="shared" si="32"/>
        <v>0</v>
      </c>
    </row>
    <row r="674" spans="2:18" ht="15" customHeight="1" x14ac:dyDescent="0.2">
      <c r="B674" s="224"/>
      <c r="C674" s="473"/>
      <c r="D674" s="476">
        <f t="shared" si="30"/>
        <v>0</v>
      </c>
      <c r="I674" s="224"/>
      <c r="J674" s="473"/>
      <c r="K674" s="476">
        <f t="shared" si="31"/>
        <v>0</v>
      </c>
      <c r="P674" s="224"/>
      <c r="Q674" s="473"/>
      <c r="R674" s="476">
        <f t="shared" si="32"/>
        <v>0</v>
      </c>
    </row>
    <row r="675" spans="2:18" ht="15" customHeight="1" x14ac:dyDescent="0.2">
      <c r="B675" s="224"/>
      <c r="C675" s="473"/>
      <c r="D675" s="476">
        <f t="shared" si="30"/>
        <v>0</v>
      </c>
      <c r="I675" s="224"/>
      <c r="J675" s="473"/>
      <c r="K675" s="476">
        <f t="shared" si="31"/>
        <v>0</v>
      </c>
      <c r="P675" s="224"/>
      <c r="Q675" s="473"/>
      <c r="R675" s="476">
        <f t="shared" si="32"/>
        <v>0</v>
      </c>
    </row>
    <row r="676" spans="2:18" ht="15" customHeight="1" x14ac:dyDescent="0.2">
      <c r="B676" s="224"/>
      <c r="C676" s="473"/>
      <c r="D676" s="476">
        <f t="shared" si="30"/>
        <v>0</v>
      </c>
      <c r="I676" s="224"/>
      <c r="J676" s="473"/>
      <c r="K676" s="476">
        <f t="shared" si="31"/>
        <v>0</v>
      </c>
      <c r="P676" s="224"/>
      <c r="Q676" s="473"/>
      <c r="R676" s="476">
        <f t="shared" si="32"/>
        <v>0</v>
      </c>
    </row>
    <row r="677" spans="2:18" ht="15" customHeight="1" x14ac:dyDescent="0.2">
      <c r="B677" s="224"/>
      <c r="C677" s="473"/>
      <c r="D677" s="476">
        <f t="shared" si="30"/>
        <v>0</v>
      </c>
      <c r="I677" s="224"/>
      <c r="J677" s="473"/>
      <c r="K677" s="476">
        <f t="shared" si="31"/>
        <v>0</v>
      </c>
      <c r="P677" s="224"/>
      <c r="Q677" s="473"/>
      <c r="R677" s="476">
        <f t="shared" si="32"/>
        <v>0</v>
      </c>
    </row>
    <row r="678" spans="2:18" ht="15" customHeight="1" x14ac:dyDescent="0.2">
      <c r="B678" s="224"/>
      <c r="C678" s="473"/>
      <c r="D678" s="476">
        <f t="shared" si="30"/>
        <v>0</v>
      </c>
      <c r="I678" s="224"/>
      <c r="J678" s="473"/>
      <c r="K678" s="476">
        <f t="shared" si="31"/>
        <v>0</v>
      </c>
      <c r="P678" s="224"/>
      <c r="Q678" s="473"/>
      <c r="R678" s="476">
        <f t="shared" si="32"/>
        <v>0</v>
      </c>
    </row>
    <row r="679" spans="2:18" ht="15" customHeight="1" x14ac:dyDescent="0.2">
      <c r="B679" s="224"/>
      <c r="C679" s="473"/>
      <c r="D679" s="476">
        <f t="shared" si="30"/>
        <v>0</v>
      </c>
      <c r="I679" s="224"/>
      <c r="J679" s="473"/>
      <c r="K679" s="476">
        <f t="shared" si="31"/>
        <v>0</v>
      </c>
      <c r="P679" s="224"/>
      <c r="Q679" s="473"/>
      <c r="R679" s="476">
        <f t="shared" si="32"/>
        <v>0</v>
      </c>
    </row>
    <row r="680" spans="2:18" ht="15" customHeight="1" x14ac:dyDescent="0.2">
      <c r="B680" s="224"/>
      <c r="C680" s="473"/>
      <c r="D680" s="476">
        <f t="shared" si="30"/>
        <v>0</v>
      </c>
      <c r="I680" s="224"/>
      <c r="J680" s="473"/>
      <c r="K680" s="476">
        <f t="shared" si="31"/>
        <v>0</v>
      </c>
      <c r="P680" s="224"/>
      <c r="Q680" s="473"/>
      <c r="R680" s="476">
        <f t="shared" si="32"/>
        <v>0</v>
      </c>
    </row>
    <row r="681" spans="2:18" ht="15" customHeight="1" x14ac:dyDescent="0.2">
      <c r="B681" s="224"/>
      <c r="C681" s="473"/>
      <c r="D681" s="476">
        <f t="shared" si="30"/>
        <v>0</v>
      </c>
      <c r="I681" s="224"/>
      <c r="J681" s="473"/>
      <c r="K681" s="476">
        <f t="shared" si="31"/>
        <v>0</v>
      </c>
      <c r="P681" s="224"/>
      <c r="Q681" s="473"/>
      <c r="R681" s="476">
        <f t="shared" si="32"/>
        <v>0</v>
      </c>
    </row>
    <row r="682" spans="2:18" ht="15" customHeight="1" x14ac:dyDescent="0.2">
      <c r="B682" s="224"/>
      <c r="C682" s="473"/>
      <c r="D682" s="476">
        <f t="shared" si="30"/>
        <v>0</v>
      </c>
      <c r="I682" s="224"/>
      <c r="J682" s="473"/>
      <c r="K682" s="476">
        <f t="shared" si="31"/>
        <v>0</v>
      </c>
      <c r="P682" s="224"/>
      <c r="Q682" s="473"/>
      <c r="R682" s="476">
        <f t="shared" si="32"/>
        <v>0</v>
      </c>
    </row>
    <row r="683" spans="2:18" ht="15" customHeight="1" x14ac:dyDescent="0.2">
      <c r="B683" s="224"/>
      <c r="C683" s="473"/>
      <c r="D683" s="476">
        <f t="shared" si="30"/>
        <v>0</v>
      </c>
      <c r="I683" s="224"/>
      <c r="J683" s="473"/>
      <c r="K683" s="476">
        <f t="shared" si="31"/>
        <v>0</v>
      </c>
      <c r="P683" s="224"/>
      <c r="Q683" s="473"/>
      <c r="R683" s="476">
        <f t="shared" si="32"/>
        <v>0</v>
      </c>
    </row>
    <row r="684" spans="2:18" ht="15" customHeight="1" x14ac:dyDescent="0.2">
      <c r="B684" s="224"/>
      <c r="C684" s="473"/>
      <c r="D684" s="476">
        <f t="shared" si="30"/>
        <v>0</v>
      </c>
      <c r="I684" s="224"/>
      <c r="J684" s="473"/>
      <c r="K684" s="476">
        <f t="shared" si="31"/>
        <v>0</v>
      </c>
      <c r="P684" s="224"/>
      <c r="Q684" s="473"/>
      <c r="R684" s="476">
        <f t="shared" si="32"/>
        <v>0</v>
      </c>
    </row>
    <row r="685" spans="2:18" ht="15" customHeight="1" x14ac:dyDescent="0.2">
      <c r="B685" s="224"/>
      <c r="C685" s="473"/>
      <c r="D685" s="476">
        <f t="shared" si="30"/>
        <v>0</v>
      </c>
      <c r="I685" s="224"/>
      <c r="J685" s="473"/>
      <c r="K685" s="476">
        <f t="shared" si="31"/>
        <v>0</v>
      </c>
      <c r="P685" s="224"/>
      <c r="Q685" s="473"/>
      <c r="R685" s="476">
        <f t="shared" si="32"/>
        <v>0</v>
      </c>
    </row>
    <row r="686" spans="2:18" ht="15" customHeight="1" x14ac:dyDescent="0.2">
      <c r="B686" s="224"/>
      <c r="C686" s="473"/>
      <c r="D686" s="476">
        <f t="shared" si="30"/>
        <v>0</v>
      </c>
      <c r="I686" s="224"/>
      <c r="J686" s="473"/>
      <c r="K686" s="476">
        <f t="shared" si="31"/>
        <v>0</v>
      </c>
      <c r="P686" s="224"/>
      <c r="Q686" s="473"/>
      <c r="R686" s="476">
        <f t="shared" si="32"/>
        <v>0</v>
      </c>
    </row>
    <row r="687" spans="2:18" ht="15" customHeight="1" x14ac:dyDescent="0.2">
      <c r="B687" s="224"/>
      <c r="C687" s="473"/>
      <c r="D687" s="476">
        <f t="shared" si="30"/>
        <v>0</v>
      </c>
      <c r="I687" s="224"/>
      <c r="J687" s="473"/>
      <c r="K687" s="476">
        <f t="shared" si="31"/>
        <v>0</v>
      </c>
      <c r="P687" s="224"/>
      <c r="Q687" s="473"/>
      <c r="R687" s="476">
        <f t="shared" si="32"/>
        <v>0</v>
      </c>
    </row>
    <row r="688" spans="2:18" ht="15" customHeight="1" x14ac:dyDescent="0.2">
      <c r="B688" s="224"/>
      <c r="C688" s="473"/>
      <c r="D688" s="476">
        <f t="shared" si="30"/>
        <v>0</v>
      </c>
      <c r="I688" s="224"/>
      <c r="J688" s="473"/>
      <c r="K688" s="476">
        <f t="shared" si="31"/>
        <v>0</v>
      </c>
      <c r="P688" s="224"/>
      <c r="Q688" s="473"/>
      <c r="R688" s="476">
        <f t="shared" si="32"/>
        <v>0</v>
      </c>
    </row>
    <row r="689" spans="2:18" ht="15" customHeight="1" x14ac:dyDescent="0.2">
      <c r="B689" s="224"/>
      <c r="C689" s="473"/>
      <c r="D689" s="476">
        <f t="shared" si="30"/>
        <v>0</v>
      </c>
      <c r="I689" s="224"/>
      <c r="J689" s="473"/>
      <c r="K689" s="476">
        <f t="shared" si="31"/>
        <v>0</v>
      </c>
      <c r="P689" s="224"/>
      <c r="Q689" s="473"/>
      <c r="R689" s="476">
        <f t="shared" si="32"/>
        <v>0</v>
      </c>
    </row>
    <row r="690" spans="2:18" ht="15" customHeight="1" x14ac:dyDescent="0.2">
      <c r="B690" s="224"/>
      <c r="C690" s="473"/>
      <c r="D690" s="476">
        <f t="shared" si="30"/>
        <v>0</v>
      </c>
      <c r="I690" s="224"/>
      <c r="J690" s="473"/>
      <c r="K690" s="476">
        <f t="shared" si="31"/>
        <v>0</v>
      </c>
      <c r="P690" s="224"/>
      <c r="Q690" s="473"/>
      <c r="R690" s="476">
        <f t="shared" si="32"/>
        <v>0</v>
      </c>
    </row>
    <row r="691" spans="2:18" ht="15" customHeight="1" x14ac:dyDescent="0.2">
      <c r="B691" s="224"/>
      <c r="C691" s="473"/>
      <c r="D691" s="476">
        <f t="shared" si="30"/>
        <v>0</v>
      </c>
      <c r="I691" s="224"/>
      <c r="J691" s="473"/>
      <c r="K691" s="476">
        <f t="shared" si="31"/>
        <v>0</v>
      </c>
      <c r="P691" s="224"/>
      <c r="Q691" s="473"/>
      <c r="R691" s="476">
        <f t="shared" si="32"/>
        <v>0</v>
      </c>
    </row>
    <row r="692" spans="2:18" ht="15" customHeight="1" x14ac:dyDescent="0.2">
      <c r="B692" s="224"/>
      <c r="C692" s="473"/>
      <c r="D692" s="476">
        <f t="shared" si="30"/>
        <v>0</v>
      </c>
      <c r="I692" s="224"/>
      <c r="J692" s="473"/>
      <c r="K692" s="476">
        <f t="shared" si="31"/>
        <v>0</v>
      </c>
      <c r="P692" s="224"/>
      <c r="Q692" s="473"/>
      <c r="R692" s="476">
        <f t="shared" si="32"/>
        <v>0</v>
      </c>
    </row>
    <row r="693" spans="2:18" ht="15" customHeight="1" x14ac:dyDescent="0.2">
      <c r="B693" s="224"/>
      <c r="C693" s="473"/>
      <c r="D693" s="476">
        <f t="shared" si="30"/>
        <v>0</v>
      </c>
      <c r="I693" s="224"/>
      <c r="J693" s="473"/>
      <c r="K693" s="476">
        <f t="shared" si="31"/>
        <v>0</v>
      </c>
      <c r="P693" s="224"/>
      <c r="Q693" s="473"/>
      <c r="R693" s="476">
        <f t="shared" si="32"/>
        <v>0</v>
      </c>
    </row>
    <row r="694" spans="2:18" ht="15" customHeight="1" x14ac:dyDescent="0.2">
      <c r="B694" s="224"/>
      <c r="C694" s="473"/>
      <c r="D694" s="476">
        <f t="shared" si="30"/>
        <v>0</v>
      </c>
      <c r="I694" s="224"/>
      <c r="J694" s="473"/>
      <c r="K694" s="476">
        <f t="shared" si="31"/>
        <v>0</v>
      </c>
      <c r="P694" s="224"/>
      <c r="Q694" s="473"/>
      <c r="R694" s="476">
        <f t="shared" si="32"/>
        <v>0</v>
      </c>
    </row>
    <row r="695" spans="2:18" ht="15" customHeight="1" x14ac:dyDescent="0.2">
      <c r="B695" s="224"/>
      <c r="C695" s="473"/>
      <c r="D695" s="476">
        <f t="shared" si="30"/>
        <v>0</v>
      </c>
      <c r="I695" s="224"/>
      <c r="J695" s="473"/>
      <c r="K695" s="476">
        <f t="shared" si="31"/>
        <v>0</v>
      </c>
      <c r="P695" s="224"/>
      <c r="Q695" s="473"/>
      <c r="R695" s="476">
        <f t="shared" si="32"/>
        <v>0</v>
      </c>
    </row>
    <row r="696" spans="2:18" ht="15" customHeight="1" x14ac:dyDescent="0.2">
      <c r="B696" s="224"/>
      <c r="C696" s="473"/>
      <c r="D696" s="476">
        <f t="shared" si="30"/>
        <v>0</v>
      </c>
      <c r="I696" s="224"/>
      <c r="J696" s="473"/>
      <c r="K696" s="476">
        <f t="shared" si="31"/>
        <v>0</v>
      </c>
      <c r="P696" s="224"/>
      <c r="Q696" s="473"/>
      <c r="R696" s="476">
        <f t="shared" si="32"/>
        <v>0</v>
      </c>
    </row>
    <row r="697" spans="2:18" ht="15" customHeight="1" x14ac:dyDescent="0.2">
      <c r="B697" s="224"/>
      <c r="C697" s="473"/>
      <c r="D697" s="476">
        <f t="shared" si="30"/>
        <v>0</v>
      </c>
      <c r="I697" s="224"/>
      <c r="J697" s="473"/>
      <c r="K697" s="476">
        <f t="shared" si="31"/>
        <v>0</v>
      </c>
      <c r="P697" s="224"/>
      <c r="Q697" s="473"/>
      <c r="R697" s="476">
        <f t="shared" si="32"/>
        <v>0</v>
      </c>
    </row>
    <row r="698" spans="2:18" ht="15" customHeight="1" x14ac:dyDescent="0.2">
      <c r="B698" s="224"/>
      <c r="C698" s="473"/>
      <c r="D698" s="476">
        <f t="shared" si="30"/>
        <v>0</v>
      </c>
      <c r="I698" s="224"/>
      <c r="J698" s="473"/>
      <c r="K698" s="476">
        <f t="shared" si="31"/>
        <v>0</v>
      </c>
      <c r="P698" s="224"/>
      <c r="Q698" s="473"/>
      <c r="R698" s="476">
        <f t="shared" si="32"/>
        <v>0</v>
      </c>
    </row>
    <row r="699" spans="2:18" ht="15" customHeight="1" x14ac:dyDescent="0.2">
      <c r="B699" s="224"/>
      <c r="C699" s="473"/>
      <c r="D699" s="476">
        <f t="shared" si="30"/>
        <v>0</v>
      </c>
      <c r="I699" s="224"/>
      <c r="J699" s="473"/>
      <c r="K699" s="476">
        <f t="shared" si="31"/>
        <v>0</v>
      </c>
      <c r="P699" s="224"/>
      <c r="Q699" s="473"/>
      <c r="R699" s="476">
        <f t="shared" si="32"/>
        <v>0</v>
      </c>
    </row>
    <row r="700" spans="2:18" ht="15" customHeight="1" x14ac:dyDescent="0.2">
      <c r="B700" s="224"/>
      <c r="C700" s="473"/>
      <c r="D700" s="476">
        <f t="shared" si="30"/>
        <v>0</v>
      </c>
      <c r="I700" s="224"/>
      <c r="J700" s="473"/>
      <c r="K700" s="476">
        <f t="shared" si="31"/>
        <v>0</v>
      </c>
      <c r="P700" s="224"/>
      <c r="Q700" s="473"/>
      <c r="R700" s="476">
        <f t="shared" si="32"/>
        <v>0</v>
      </c>
    </row>
    <row r="701" spans="2:18" ht="15" customHeight="1" x14ac:dyDescent="0.2">
      <c r="B701" s="224"/>
      <c r="C701" s="473"/>
      <c r="D701" s="476">
        <f t="shared" si="30"/>
        <v>0</v>
      </c>
      <c r="I701" s="224"/>
      <c r="J701" s="473"/>
      <c r="K701" s="476">
        <f t="shared" si="31"/>
        <v>0</v>
      </c>
      <c r="P701" s="224"/>
      <c r="Q701" s="473"/>
      <c r="R701" s="476">
        <f t="shared" si="32"/>
        <v>0</v>
      </c>
    </row>
    <row r="702" spans="2:18" ht="15" customHeight="1" x14ac:dyDescent="0.2">
      <c r="B702" s="224"/>
      <c r="C702" s="473"/>
      <c r="D702" s="476">
        <f t="shared" si="30"/>
        <v>0</v>
      </c>
      <c r="I702" s="224"/>
      <c r="J702" s="473"/>
      <c r="K702" s="476">
        <f t="shared" si="31"/>
        <v>0</v>
      </c>
      <c r="P702" s="224"/>
      <c r="Q702" s="473"/>
      <c r="R702" s="476">
        <f t="shared" si="32"/>
        <v>0</v>
      </c>
    </row>
    <row r="703" spans="2:18" ht="15" customHeight="1" x14ac:dyDescent="0.2">
      <c r="B703" s="224"/>
      <c r="C703" s="473"/>
      <c r="D703" s="476">
        <f t="shared" si="30"/>
        <v>0</v>
      </c>
      <c r="I703" s="224"/>
      <c r="J703" s="473"/>
      <c r="K703" s="476">
        <f t="shared" si="31"/>
        <v>0</v>
      </c>
      <c r="P703" s="224"/>
      <c r="Q703" s="473"/>
      <c r="R703" s="476">
        <f t="shared" si="32"/>
        <v>0</v>
      </c>
    </row>
    <row r="704" spans="2:18" ht="15" customHeight="1" x14ac:dyDescent="0.2">
      <c r="B704" s="224"/>
      <c r="C704" s="473"/>
      <c r="D704" s="476">
        <f t="shared" si="30"/>
        <v>0</v>
      </c>
      <c r="I704" s="224"/>
      <c r="J704" s="473"/>
      <c r="K704" s="476">
        <f t="shared" si="31"/>
        <v>0</v>
      </c>
      <c r="P704" s="224"/>
      <c r="Q704" s="473"/>
      <c r="R704" s="476">
        <f t="shared" si="32"/>
        <v>0</v>
      </c>
    </row>
    <row r="705" spans="2:18" ht="15" customHeight="1" x14ac:dyDescent="0.2">
      <c r="B705" s="224"/>
      <c r="C705" s="473"/>
      <c r="D705" s="476">
        <f t="shared" si="30"/>
        <v>0</v>
      </c>
      <c r="I705" s="224"/>
      <c r="J705" s="473"/>
      <c r="K705" s="476">
        <f t="shared" si="31"/>
        <v>0</v>
      </c>
      <c r="P705" s="224"/>
      <c r="Q705" s="473"/>
      <c r="R705" s="476">
        <f t="shared" si="32"/>
        <v>0</v>
      </c>
    </row>
    <row r="706" spans="2:18" ht="15" customHeight="1" x14ac:dyDescent="0.2">
      <c r="B706" s="224"/>
      <c r="C706" s="473"/>
      <c r="D706" s="476">
        <f t="shared" si="30"/>
        <v>0</v>
      </c>
      <c r="I706" s="224"/>
      <c r="J706" s="473"/>
      <c r="K706" s="476">
        <f t="shared" si="31"/>
        <v>0</v>
      </c>
      <c r="P706" s="224"/>
      <c r="Q706" s="473"/>
      <c r="R706" s="476">
        <f t="shared" si="32"/>
        <v>0</v>
      </c>
    </row>
    <row r="707" spans="2:18" ht="15" customHeight="1" x14ac:dyDescent="0.2">
      <c r="B707" s="224"/>
      <c r="C707" s="473"/>
      <c r="D707" s="476">
        <f t="shared" si="30"/>
        <v>0</v>
      </c>
      <c r="I707" s="224"/>
      <c r="J707" s="473"/>
      <c r="K707" s="476">
        <f t="shared" si="31"/>
        <v>0</v>
      </c>
      <c r="P707" s="224"/>
      <c r="Q707" s="473"/>
      <c r="R707" s="476">
        <f t="shared" si="32"/>
        <v>0</v>
      </c>
    </row>
    <row r="708" spans="2:18" ht="15" customHeight="1" x14ac:dyDescent="0.2">
      <c r="B708" s="224"/>
      <c r="C708" s="473"/>
      <c r="D708" s="476">
        <f t="shared" si="30"/>
        <v>0</v>
      </c>
      <c r="I708" s="224"/>
      <c r="J708" s="473"/>
      <c r="K708" s="476">
        <f t="shared" si="31"/>
        <v>0</v>
      </c>
      <c r="P708" s="224"/>
      <c r="Q708" s="473"/>
      <c r="R708" s="476">
        <f t="shared" si="32"/>
        <v>0</v>
      </c>
    </row>
    <row r="709" spans="2:18" ht="15" customHeight="1" x14ac:dyDescent="0.2">
      <c r="B709" s="224"/>
      <c r="C709" s="473"/>
      <c r="D709" s="476">
        <f t="shared" si="30"/>
        <v>0</v>
      </c>
      <c r="I709" s="224"/>
      <c r="J709" s="473"/>
      <c r="K709" s="476">
        <f t="shared" si="31"/>
        <v>0</v>
      </c>
      <c r="P709" s="224"/>
      <c r="Q709" s="473"/>
      <c r="R709" s="476">
        <f t="shared" si="32"/>
        <v>0</v>
      </c>
    </row>
    <row r="710" spans="2:18" ht="15" customHeight="1" x14ac:dyDescent="0.2">
      <c r="B710" s="224"/>
      <c r="C710" s="473"/>
      <c r="D710" s="476">
        <f t="shared" si="30"/>
        <v>0</v>
      </c>
      <c r="I710" s="224"/>
      <c r="J710" s="473"/>
      <c r="K710" s="476">
        <f t="shared" si="31"/>
        <v>0</v>
      </c>
      <c r="P710" s="224"/>
      <c r="Q710" s="473"/>
      <c r="R710" s="476">
        <f t="shared" si="32"/>
        <v>0</v>
      </c>
    </row>
    <row r="711" spans="2:18" ht="15" customHeight="1" x14ac:dyDescent="0.2">
      <c r="B711" s="224"/>
      <c r="C711" s="473"/>
      <c r="D711" s="476">
        <f t="shared" si="30"/>
        <v>0</v>
      </c>
      <c r="I711" s="224"/>
      <c r="J711" s="473"/>
      <c r="K711" s="476">
        <f t="shared" si="31"/>
        <v>0</v>
      </c>
      <c r="P711" s="224"/>
      <c r="Q711" s="473"/>
      <c r="R711" s="476">
        <f t="shared" si="32"/>
        <v>0</v>
      </c>
    </row>
    <row r="712" spans="2:18" ht="15" customHeight="1" x14ac:dyDescent="0.2">
      <c r="B712" s="224"/>
      <c r="C712" s="473"/>
      <c r="D712" s="476">
        <f t="shared" si="30"/>
        <v>0</v>
      </c>
      <c r="I712" s="224"/>
      <c r="J712" s="473"/>
      <c r="K712" s="476">
        <f t="shared" si="31"/>
        <v>0</v>
      </c>
      <c r="P712" s="224"/>
      <c r="Q712" s="473"/>
      <c r="R712" s="476">
        <f t="shared" si="32"/>
        <v>0</v>
      </c>
    </row>
    <row r="713" spans="2:18" ht="15" customHeight="1" x14ac:dyDescent="0.2">
      <c r="B713" s="224"/>
      <c r="C713" s="473"/>
      <c r="D713" s="476">
        <f t="shared" si="30"/>
        <v>0</v>
      </c>
      <c r="I713" s="224"/>
      <c r="J713" s="473"/>
      <c r="K713" s="476">
        <f t="shared" si="31"/>
        <v>0</v>
      </c>
      <c r="P713" s="224"/>
      <c r="Q713" s="473"/>
      <c r="R713" s="476">
        <f t="shared" si="32"/>
        <v>0</v>
      </c>
    </row>
    <row r="714" spans="2:18" ht="15" customHeight="1" x14ac:dyDescent="0.2">
      <c r="B714" s="224"/>
      <c r="C714" s="473"/>
      <c r="D714" s="476">
        <f t="shared" si="30"/>
        <v>0</v>
      </c>
      <c r="I714" s="224"/>
      <c r="J714" s="473"/>
      <c r="K714" s="476">
        <f t="shared" si="31"/>
        <v>0</v>
      </c>
      <c r="P714" s="224"/>
      <c r="Q714" s="473"/>
      <c r="R714" s="476">
        <f t="shared" si="32"/>
        <v>0</v>
      </c>
    </row>
    <row r="715" spans="2:18" ht="15" customHeight="1" x14ac:dyDescent="0.2">
      <c r="B715" s="224"/>
      <c r="C715" s="473"/>
      <c r="D715" s="476">
        <f t="shared" si="30"/>
        <v>0</v>
      </c>
      <c r="I715" s="224"/>
      <c r="J715" s="473"/>
      <c r="K715" s="476">
        <f t="shared" si="31"/>
        <v>0</v>
      </c>
      <c r="P715" s="224"/>
      <c r="Q715" s="473"/>
      <c r="R715" s="476">
        <f t="shared" si="32"/>
        <v>0</v>
      </c>
    </row>
    <row r="716" spans="2:18" ht="15" customHeight="1" x14ac:dyDescent="0.2">
      <c r="B716" s="224"/>
      <c r="C716" s="473"/>
      <c r="D716" s="476">
        <f t="shared" si="30"/>
        <v>0</v>
      </c>
      <c r="I716" s="224"/>
      <c r="J716" s="473"/>
      <c r="K716" s="476">
        <f t="shared" si="31"/>
        <v>0</v>
      </c>
      <c r="P716" s="224"/>
      <c r="Q716" s="473"/>
      <c r="R716" s="476">
        <f t="shared" si="32"/>
        <v>0</v>
      </c>
    </row>
    <row r="717" spans="2:18" ht="15" customHeight="1" x14ac:dyDescent="0.2">
      <c r="B717" s="224"/>
      <c r="C717" s="473"/>
      <c r="D717" s="476">
        <f t="shared" si="30"/>
        <v>0</v>
      </c>
      <c r="I717" s="224"/>
      <c r="J717" s="473"/>
      <c r="K717" s="476">
        <f t="shared" si="31"/>
        <v>0</v>
      </c>
      <c r="P717" s="224"/>
      <c r="Q717" s="473"/>
      <c r="R717" s="476">
        <f t="shared" si="32"/>
        <v>0</v>
      </c>
    </row>
    <row r="718" spans="2:18" ht="15" customHeight="1" x14ac:dyDescent="0.2">
      <c r="B718" s="224"/>
      <c r="C718" s="473"/>
      <c r="D718" s="476">
        <f t="shared" si="30"/>
        <v>0</v>
      </c>
      <c r="I718" s="224"/>
      <c r="J718" s="473"/>
      <c r="K718" s="476">
        <f t="shared" si="31"/>
        <v>0</v>
      </c>
      <c r="P718" s="224"/>
      <c r="Q718" s="473"/>
      <c r="R718" s="476">
        <f t="shared" si="32"/>
        <v>0</v>
      </c>
    </row>
    <row r="719" spans="2:18" ht="15" customHeight="1" x14ac:dyDescent="0.2">
      <c r="B719" s="224"/>
      <c r="C719" s="473"/>
      <c r="D719" s="476">
        <f t="shared" si="30"/>
        <v>0</v>
      </c>
      <c r="I719" s="224"/>
      <c r="J719" s="473"/>
      <c r="K719" s="476">
        <f t="shared" si="31"/>
        <v>0</v>
      </c>
      <c r="P719" s="224"/>
      <c r="Q719" s="473"/>
      <c r="R719" s="476">
        <f t="shared" si="32"/>
        <v>0</v>
      </c>
    </row>
    <row r="720" spans="2:18" ht="15" customHeight="1" x14ac:dyDescent="0.2">
      <c r="B720" s="224"/>
      <c r="C720" s="473"/>
      <c r="D720" s="476">
        <f t="shared" si="30"/>
        <v>0</v>
      </c>
      <c r="I720" s="224"/>
      <c r="J720" s="473"/>
      <c r="K720" s="476">
        <f t="shared" si="31"/>
        <v>0</v>
      </c>
      <c r="P720" s="224"/>
      <c r="Q720" s="473"/>
      <c r="R720" s="476">
        <f t="shared" si="32"/>
        <v>0</v>
      </c>
    </row>
    <row r="721" spans="2:18" ht="15" customHeight="1" x14ac:dyDescent="0.2">
      <c r="B721" s="224"/>
      <c r="C721" s="473"/>
      <c r="D721" s="476">
        <f t="shared" si="30"/>
        <v>0</v>
      </c>
      <c r="I721" s="224"/>
      <c r="J721" s="473"/>
      <c r="K721" s="476">
        <f t="shared" si="31"/>
        <v>0</v>
      </c>
      <c r="P721" s="224"/>
      <c r="Q721" s="473"/>
      <c r="R721" s="476">
        <f t="shared" si="32"/>
        <v>0</v>
      </c>
    </row>
    <row r="722" spans="2:18" ht="15" customHeight="1" x14ac:dyDescent="0.2">
      <c r="B722" s="224"/>
      <c r="C722" s="473"/>
      <c r="D722" s="476">
        <f t="shared" ref="D722:D785" si="33">C722/1000</f>
        <v>0</v>
      </c>
      <c r="I722" s="224"/>
      <c r="J722" s="473"/>
      <c r="K722" s="476">
        <f t="shared" ref="K722:K785" si="34">J722/1000</f>
        <v>0</v>
      </c>
      <c r="P722" s="224"/>
      <c r="Q722" s="473"/>
      <c r="R722" s="476">
        <f t="shared" ref="R722:R785" si="35">Q722/1000</f>
        <v>0</v>
      </c>
    </row>
    <row r="723" spans="2:18" ht="15" customHeight="1" x14ac:dyDescent="0.2">
      <c r="B723" s="224"/>
      <c r="C723" s="473"/>
      <c r="D723" s="476">
        <f t="shared" si="33"/>
        <v>0</v>
      </c>
      <c r="I723" s="224"/>
      <c r="J723" s="473"/>
      <c r="K723" s="476">
        <f t="shared" si="34"/>
        <v>0</v>
      </c>
      <c r="P723" s="224"/>
      <c r="Q723" s="473"/>
      <c r="R723" s="476">
        <f t="shared" si="35"/>
        <v>0</v>
      </c>
    </row>
    <row r="724" spans="2:18" ht="15" customHeight="1" x14ac:dyDescent="0.2">
      <c r="B724" s="224"/>
      <c r="C724" s="473"/>
      <c r="D724" s="476">
        <f t="shared" si="33"/>
        <v>0</v>
      </c>
      <c r="I724" s="224"/>
      <c r="J724" s="473"/>
      <c r="K724" s="476">
        <f t="shared" si="34"/>
        <v>0</v>
      </c>
      <c r="P724" s="224"/>
      <c r="Q724" s="473"/>
      <c r="R724" s="476">
        <f t="shared" si="35"/>
        <v>0</v>
      </c>
    </row>
    <row r="725" spans="2:18" ht="15" customHeight="1" x14ac:dyDescent="0.2">
      <c r="B725" s="224"/>
      <c r="C725" s="473"/>
      <c r="D725" s="476">
        <f t="shared" si="33"/>
        <v>0</v>
      </c>
      <c r="I725" s="224"/>
      <c r="J725" s="473"/>
      <c r="K725" s="476">
        <f t="shared" si="34"/>
        <v>0</v>
      </c>
      <c r="P725" s="224"/>
      <c r="Q725" s="473"/>
      <c r="R725" s="476">
        <f t="shared" si="35"/>
        <v>0</v>
      </c>
    </row>
    <row r="726" spans="2:18" ht="15" customHeight="1" x14ac:dyDescent="0.2">
      <c r="B726" s="224"/>
      <c r="C726" s="473"/>
      <c r="D726" s="476">
        <f t="shared" si="33"/>
        <v>0</v>
      </c>
      <c r="I726" s="224"/>
      <c r="J726" s="473"/>
      <c r="K726" s="476">
        <f t="shared" si="34"/>
        <v>0</v>
      </c>
      <c r="P726" s="224"/>
      <c r="Q726" s="473"/>
      <c r="R726" s="476">
        <f t="shared" si="35"/>
        <v>0</v>
      </c>
    </row>
    <row r="727" spans="2:18" ht="15" customHeight="1" x14ac:dyDescent="0.2">
      <c r="B727" s="224"/>
      <c r="C727" s="473"/>
      <c r="D727" s="476">
        <f t="shared" si="33"/>
        <v>0</v>
      </c>
      <c r="I727" s="224"/>
      <c r="J727" s="473"/>
      <c r="K727" s="476">
        <f t="shared" si="34"/>
        <v>0</v>
      </c>
      <c r="P727" s="224"/>
      <c r="Q727" s="473"/>
      <c r="R727" s="476">
        <f t="shared" si="35"/>
        <v>0</v>
      </c>
    </row>
    <row r="728" spans="2:18" ht="15" customHeight="1" x14ac:dyDescent="0.2">
      <c r="B728" s="224"/>
      <c r="C728" s="473"/>
      <c r="D728" s="476">
        <f t="shared" si="33"/>
        <v>0</v>
      </c>
      <c r="I728" s="224"/>
      <c r="J728" s="473"/>
      <c r="K728" s="476">
        <f t="shared" si="34"/>
        <v>0</v>
      </c>
      <c r="P728" s="224"/>
      <c r="Q728" s="473"/>
      <c r="R728" s="476">
        <f t="shared" si="35"/>
        <v>0</v>
      </c>
    </row>
    <row r="729" spans="2:18" ht="15" customHeight="1" x14ac:dyDescent="0.2">
      <c r="B729" s="224"/>
      <c r="C729" s="473"/>
      <c r="D729" s="476">
        <f t="shared" si="33"/>
        <v>0</v>
      </c>
      <c r="I729" s="224"/>
      <c r="J729" s="473"/>
      <c r="K729" s="476">
        <f t="shared" si="34"/>
        <v>0</v>
      </c>
      <c r="P729" s="224"/>
      <c r="Q729" s="473"/>
      <c r="R729" s="476">
        <f t="shared" si="35"/>
        <v>0</v>
      </c>
    </row>
    <row r="730" spans="2:18" ht="15" customHeight="1" x14ac:dyDescent="0.2">
      <c r="B730" s="224"/>
      <c r="C730" s="473"/>
      <c r="D730" s="476">
        <f t="shared" si="33"/>
        <v>0</v>
      </c>
      <c r="I730" s="224"/>
      <c r="J730" s="473"/>
      <c r="K730" s="476">
        <f t="shared" si="34"/>
        <v>0</v>
      </c>
      <c r="P730" s="224"/>
      <c r="Q730" s="473"/>
      <c r="R730" s="476">
        <f t="shared" si="35"/>
        <v>0</v>
      </c>
    </row>
    <row r="731" spans="2:18" ht="15" customHeight="1" x14ac:dyDescent="0.2">
      <c r="B731" s="224"/>
      <c r="C731" s="473"/>
      <c r="D731" s="476">
        <f t="shared" si="33"/>
        <v>0</v>
      </c>
      <c r="I731" s="224"/>
      <c r="J731" s="473"/>
      <c r="K731" s="476">
        <f t="shared" si="34"/>
        <v>0</v>
      </c>
      <c r="P731" s="224"/>
      <c r="Q731" s="473"/>
      <c r="R731" s="476">
        <f t="shared" si="35"/>
        <v>0</v>
      </c>
    </row>
    <row r="732" spans="2:18" ht="15" customHeight="1" x14ac:dyDescent="0.2">
      <c r="B732" s="224"/>
      <c r="C732" s="473"/>
      <c r="D732" s="476">
        <f t="shared" si="33"/>
        <v>0</v>
      </c>
      <c r="I732" s="224"/>
      <c r="J732" s="473"/>
      <c r="K732" s="476">
        <f t="shared" si="34"/>
        <v>0</v>
      </c>
      <c r="P732" s="224"/>
      <c r="Q732" s="473"/>
      <c r="R732" s="476">
        <f t="shared" si="35"/>
        <v>0</v>
      </c>
    </row>
    <row r="733" spans="2:18" ht="15" customHeight="1" x14ac:dyDescent="0.2">
      <c r="B733" s="224"/>
      <c r="C733" s="473"/>
      <c r="D733" s="476">
        <f t="shared" si="33"/>
        <v>0</v>
      </c>
      <c r="I733" s="224"/>
      <c r="J733" s="473"/>
      <c r="K733" s="476">
        <f t="shared" si="34"/>
        <v>0</v>
      </c>
      <c r="P733" s="224"/>
      <c r="Q733" s="473"/>
      <c r="R733" s="476">
        <f t="shared" si="35"/>
        <v>0</v>
      </c>
    </row>
    <row r="734" spans="2:18" ht="15" customHeight="1" x14ac:dyDescent="0.2">
      <c r="B734" s="224"/>
      <c r="C734" s="473"/>
      <c r="D734" s="476">
        <f t="shared" si="33"/>
        <v>0</v>
      </c>
      <c r="I734" s="224"/>
      <c r="J734" s="473"/>
      <c r="K734" s="476">
        <f t="shared" si="34"/>
        <v>0</v>
      </c>
      <c r="P734" s="224"/>
      <c r="Q734" s="473"/>
      <c r="R734" s="476">
        <f t="shared" si="35"/>
        <v>0</v>
      </c>
    </row>
    <row r="735" spans="2:18" ht="15" customHeight="1" x14ac:dyDescent="0.2">
      <c r="B735" s="224"/>
      <c r="C735" s="473"/>
      <c r="D735" s="476">
        <f t="shared" si="33"/>
        <v>0</v>
      </c>
      <c r="I735" s="224"/>
      <c r="J735" s="473"/>
      <c r="K735" s="476">
        <f t="shared" si="34"/>
        <v>0</v>
      </c>
      <c r="P735" s="224"/>
      <c r="Q735" s="473"/>
      <c r="R735" s="476">
        <f t="shared" si="35"/>
        <v>0</v>
      </c>
    </row>
    <row r="736" spans="2:18" ht="15" customHeight="1" x14ac:dyDescent="0.2">
      <c r="B736" s="224"/>
      <c r="C736" s="473"/>
      <c r="D736" s="476">
        <f t="shared" si="33"/>
        <v>0</v>
      </c>
      <c r="I736" s="224"/>
      <c r="J736" s="473"/>
      <c r="K736" s="476">
        <f t="shared" si="34"/>
        <v>0</v>
      </c>
      <c r="P736" s="224"/>
      <c r="Q736" s="473"/>
      <c r="R736" s="476">
        <f t="shared" si="35"/>
        <v>0</v>
      </c>
    </row>
    <row r="737" spans="2:18" ht="15" customHeight="1" x14ac:dyDescent="0.2">
      <c r="B737" s="224"/>
      <c r="C737" s="473"/>
      <c r="D737" s="476">
        <f t="shared" si="33"/>
        <v>0</v>
      </c>
      <c r="I737" s="224"/>
      <c r="J737" s="473"/>
      <c r="K737" s="476">
        <f t="shared" si="34"/>
        <v>0</v>
      </c>
      <c r="P737" s="224"/>
      <c r="Q737" s="473"/>
      <c r="R737" s="476">
        <f t="shared" si="35"/>
        <v>0</v>
      </c>
    </row>
    <row r="738" spans="2:18" ht="15" customHeight="1" x14ac:dyDescent="0.2">
      <c r="B738" s="224"/>
      <c r="C738" s="473"/>
      <c r="D738" s="476">
        <f t="shared" si="33"/>
        <v>0</v>
      </c>
      <c r="I738" s="224"/>
      <c r="J738" s="473"/>
      <c r="K738" s="476">
        <f t="shared" si="34"/>
        <v>0</v>
      </c>
      <c r="P738" s="224"/>
      <c r="Q738" s="473"/>
      <c r="R738" s="476">
        <f t="shared" si="35"/>
        <v>0</v>
      </c>
    </row>
    <row r="739" spans="2:18" ht="15" customHeight="1" x14ac:dyDescent="0.2">
      <c r="B739" s="224"/>
      <c r="C739" s="473"/>
      <c r="D739" s="476">
        <f t="shared" si="33"/>
        <v>0</v>
      </c>
      <c r="I739" s="224"/>
      <c r="J739" s="473"/>
      <c r="K739" s="476">
        <f t="shared" si="34"/>
        <v>0</v>
      </c>
      <c r="P739" s="224"/>
      <c r="Q739" s="473"/>
      <c r="R739" s="476">
        <f t="shared" si="35"/>
        <v>0</v>
      </c>
    </row>
    <row r="740" spans="2:18" ht="15" customHeight="1" x14ac:dyDescent="0.2">
      <c r="B740" s="224"/>
      <c r="C740" s="473"/>
      <c r="D740" s="476">
        <f t="shared" si="33"/>
        <v>0</v>
      </c>
      <c r="I740" s="224"/>
      <c r="J740" s="473"/>
      <c r="K740" s="476">
        <f t="shared" si="34"/>
        <v>0</v>
      </c>
      <c r="P740" s="224"/>
      <c r="Q740" s="473"/>
      <c r="R740" s="476">
        <f t="shared" si="35"/>
        <v>0</v>
      </c>
    </row>
    <row r="741" spans="2:18" ht="15" customHeight="1" x14ac:dyDescent="0.2">
      <c r="B741" s="224"/>
      <c r="C741" s="473"/>
      <c r="D741" s="476">
        <f t="shared" si="33"/>
        <v>0</v>
      </c>
      <c r="I741" s="224"/>
      <c r="J741" s="473"/>
      <c r="K741" s="476">
        <f t="shared" si="34"/>
        <v>0</v>
      </c>
      <c r="P741" s="224"/>
      <c r="Q741" s="473"/>
      <c r="R741" s="476">
        <f t="shared" si="35"/>
        <v>0</v>
      </c>
    </row>
    <row r="742" spans="2:18" ht="15" customHeight="1" x14ac:dyDescent="0.2">
      <c r="B742" s="224"/>
      <c r="C742" s="473"/>
      <c r="D742" s="476">
        <f t="shared" si="33"/>
        <v>0</v>
      </c>
      <c r="I742" s="224"/>
      <c r="J742" s="473"/>
      <c r="K742" s="476">
        <f t="shared" si="34"/>
        <v>0</v>
      </c>
      <c r="P742" s="224"/>
      <c r="Q742" s="473"/>
      <c r="R742" s="476">
        <f t="shared" si="35"/>
        <v>0</v>
      </c>
    </row>
    <row r="743" spans="2:18" ht="15" customHeight="1" x14ac:dyDescent="0.2">
      <c r="B743" s="224"/>
      <c r="C743" s="473"/>
      <c r="D743" s="476">
        <f t="shared" si="33"/>
        <v>0</v>
      </c>
      <c r="I743" s="224"/>
      <c r="J743" s="473"/>
      <c r="K743" s="476">
        <f t="shared" si="34"/>
        <v>0</v>
      </c>
      <c r="P743" s="224"/>
      <c r="Q743" s="473"/>
      <c r="R743" s="476">
        <f t="shared" si="35"/>
        <v>0</v>
      </c>
    </row>
    <row r="744" spans="2:18" ht="15" customHeight="1" x14ac:dyDescent="0.2">
      <c r="B744" s="224"/>
      <c r="C744" s="473"/>
      <c r="D744" s="476">
        <f t="shared" si="33"/>
        <v>0</v>
      </c>
      <c r="I744" s="224"/>
      <c r="J744" s="473"/>
      <c r="K744" s="476">
        <f t="shared" si="34"/>
        <v>0</v>
      </c>
      <c r="P744" s="224"/>
      <c r="Q744" s="473"/>
      <c r="R744" s="476">
        <f t="shared" si="35"/>
        <v>0</v>
      </c>
    </row>
    <row r="745" spans="2:18" ht="15" customHeight="1" x14ac:dyDescent="0.2">
      <c r="B745" s="224"/>
      <c r="C745" s="473"/>
      <c r="D745" s="476">
        <f t="shared" si="33"/>
        <v>0</v>
      </c>
      <c r="I745" s="224"/>
      <c r="J745" s="473"/>
      <c r="K745" s="476">
        <f t="shared" si="34"/>
        <v>0</v>
      </c>
      <c r="P745" s="224"/>
      <c r="Q745" s="473"/>
      <c r="R745" s="476">
        <f t="shared" si="35"/>
        <v>0</v>
      </c>
    </row>
    <row r="746" spans="2:18" ht="15" customHeight="1" x14ac:dyDescent="0.2">
      <c r="B746" s="224"/>
      <c r="C746" s="473"/>
      <c r="D746" s="476">
        <f t="shared" si="33"/>
        <v>0</v>
      </c>
      <c r="I746" s="224"/>
      <c r="J746" s="473"/>
      <c r="K746" s="476">
        <f t="shared" si="34"/>
        <v>0</v>
      </c>
      <c r="P746" s="224"/>
      <c r="Q746" s="473"/>
      <c r="R746" s="476">
        <f t="shared" si="35"/>
        <v>0</v>
      </c>
    </row>
    <row r="747" spans="2:18" ht="15" customHeight="1" x14ac:dyDescent="0.2">
      <c r="B747" s="224"/>
      <c r="C747" s="473"/>
      <c r="D747" s="476">
        <f t="shared" si="33"/>
        <v>0</v>
      </c>
      <c r="I747" s="224"/>
      <c r="J747" s="473"/>
      <c r="K747" s="476">
        <f t="shared" si="34"/>
        <v>0</v>
      </c>
      <c r="P747" s="224"/>
      <c r="Q747" s="473"/>
      <c r="R747" s="476">
        <f t="shared" si="35"/>
        <v>0</v>
      </c>
    </row>
    <row r="748" spans="2:18" ht="15" customHeight="1" x14ac:dyDescent="0.2">
      <c r="B748" s="224"/>
      <c r="C748" s="473"/>
      <c r="D748" s="476">
        <f t="shared" si="33"/>
        <v>0</v>
      </c>
      <c r="I748" s="224"/>
      <c r="J748" s="473"/>
      <c r="K748" s="476">
        <f t="shared" si="34"/>
        <v>0</v>
      </c>
      <c r="P748" s="224"/>
      <c r="Q748" s="473"/>
      <c r="R748" s="476">
        <f t="shared" si="35"/>
        <v>0</v>
      </c>
    </row>
    <row r="749" spans="2:18" ht="15" customHeight="1" x14ac:dyDescent="0.2">
      <c r="B749" s="224"/>
      <c r="C749" s="473"/>
      <c r="D749" s="476">
        <f t="shared" si="33"/>
        <v>0</v>
      </c>
      <c r="I749" s="224"/>
      <c r="J749" s="473"/>
      <c r="K749" s="476">
        <f t="shared" si="34"/>
        <v>0</v>
      </c>
      <c r="P749" s="224"/>
      <c r="Q749" s="473"/>
      <c r="R749" s="476">
        <f t="shared" si="35"/>
        <v>0</v>
      </c>
    </row>
    <row r="750" spans="2:18" ht="15" customHeight="1" x14ac:dyDescent="0.2">
      <c r="B750" s="224"/>
      <c r="C750" s="473"/>
      <c r="D750" s="476">
        <f t="shared" si="33"/>
        <v>0</v>
      </c>
      <c r="I750" s="224"/>
      <c r="J750" s="473"/>
      <c r="K750" s="476">
        <f t="shared" si="34"/>
        <v>0</v>
      </c>
      <c r="P750" s="224"/>
      <c r="Q750" s="473"/>
      <c r="R750" s="476">
        <f t="shared" si="35"/>
        <v>0</v>
      </c>
    </row>
    <row r="751" spans="2:18" ht="15" customHeight="1" x14ac:dyDescent="0.2">
      <c r="B751" s="224"/>
      <c r="C751" s="473"/>
      <c r="D751" s="476">
        <f t="shared" si="33"/>
        <v>0</v>
      </c>
      <c r="I751" s="224"/>
      <c r="J751" s="473"/>
      <c r="K751" s="476">
        <f t="shared" si="34"/>
        <v>0</v>
      </c>
      <c r="P751" s="224"/>
      <c r="Q751" s="473"/>
      <c r="R751" s="476">
        <f t="shared" si="35"/>
        <v>0</v>
      </c>
    </row>
    <row r="752" spans="2:18" ht="15" customHeight="1" x14ac:dyDescent="0.2">
      <c r="B752" s="224"/>
      <c r="C752" s="473"/>
      <c r="D752" s="476">
        <f t="shared" si="33"/>
        <v>0</v>
      </c>
      <c r="I752" s="224"/>
      <c r="J752" s="473"/>
      <c r="K752" s="476">
        <f t="shared" si="34"/>
        <v>0</v>
      </c>
      <c r="P752" s="224"/>
      <c r="Q752" s="473"/>
      <c r="R752" s="476">
        <f t="shared" si="35"/>
        <v>0</v>
      </c>
    </row>
    <row r="753" spans="2:18" ht="15" customHeight="1" x14ac:dyDescent="0.2">
      <c r="B753" s="224"/>
      <c r="C753" s="473"/>
      <c r="D753" s="476">
        <f t="shared" si="33"/>
        <v>0</v>
      </c>
      <c r="I753" s="224"/>
      <c r="J753" s="473"/>
      <c r="K753" s="476">
        <f t="shared" si="34"/>
        <v>0</v>
      </c>
      <c r="P753" s="224"/>
      <c r="Q753" s="473"/>
      <c r="R753" s="476">
        <f t="shared" si="35"/>
        <v>0</v>
      </c>
    </row>
    <row r="754" spans="2:18" ht="15" customHeight="1" x14ac:dyDescent="0.2">
      <c r="B754" s="224"/>
      <c r="C754" s="473"/>
      <c r="D754" s="476">
        <f t="shared" si="33"/>
        <v>0</v>
      </c>
      <c r="I754" s="224"/>
      <c r="J754" s="473"/>
      <c r="K754" s="476">
        <f t="shared" si="34"/>
        <v>0</v>
      </c>
      <c r="P754" s="224"/>
      <c r="Q754" s="473"/>
      <c r="R754" s="476">
        <f t="shared" si="35"/>
        <v>0</v>
      </c>
    </row>
    <row r="755" spans="2:18" ht="15" customHeight="1" x14ac:dyDescent="0.2">
      <c r="B755" s="224"/>
      <c r="C755" s="473"/>
      <c r="D755" s="476">
        <f t="shared" si="33"/>
        <v>0</v>
      </c>
      <c r="I755" s="224"/>
      <c r="J755" s="473"/>
      <c r="K755" s="476">
        <f t="shared" si="34"/>
        <v>0</v>
      </c>
      <c r="P755" s="224"/>
      <c r="Q755" s="473"/>
      <c r="R755" s="476">
        <f t="shared" si="35"/>
        <v>0</v>
      </c>
    </row>
    <row r="756" spans="2:18" ht="15" customHeight="1" x14ac:dyDescent="0.2">
      <c r="B756" s="224"/>
      <c r="C756" s="473"/>
      <c r="D756" s="476">
        <f t="shared" si="33"/>
        <v>0</v>
      </c>
      <c r="I756" s="224"/>
      <c r="J756" s="473"/>
      <c r="K756" s="476">
        <f t="shared" si="34"/>
        <v>0</v>
      </c>
      <c r="P756" s="224"/>
      <c r="Q756" s="473"/>
      <c r="R756" s="476">
        <f t="shared" si="35"/>
        <v>0</v>
      </c>
    </row>
    <row r="757" spans="2:18" ht="15" customHeight="1" x14ac:dyDescent="0.2">
      <c r="B757" s="224"/>
      <c r="C757" s="473"/>
      <c r="D757" s="476">
        <f t="shared" si="33"/>
        <v>0</v>
      </c>
      <c r="I757" s="224"/>
      <c r="J757" s="473"/>
      <c r="K757" s="476">
        <f t="shared" si="34"/>
        <v>0</v>
      </c>
      <c r="P757" s="224"/>
      <c r="Q757" s="473"/>
      <c r="R757" s="476">
        <f t="shared" si="35"/>
        <v>0</v>
      </c>
    </row>
    <row r="758" spans="2:18" ht="15" customHeight="1" x14ac:dyDescent="0.2">
      <c r="B758" s="224"/>
      <c r="C758" s="473"/>
      <c r="D758" s="476">
        <f t="shared" si="33"/>
        <v>0</v>
      </c>
      <c r="I758" s="224"/>
      <c r="J758" s="473"/>
      <c r="K758" s="476">
        <f t="shared" si="34"/>
        <v>0</v>
      </c>
      <c r="P758" s="224"/>
      <c r="Q758" s="473"/>
      <c r="R758" s="476">
        <f t="shared" si="35"/>
        <v>0</v>
      </c>
    </row>
    <row r="759" spans="2:18" ht="15" customHeight="1" x14ac:dyDescent="0.2">
      <c r="B759" s="224"/>
      <c r="C759" s="473"/>
      <c r="D759" s="476">
        <f t="shared" si="33"/>
        <v>0</v>
      </c>
      <c r="I759" s="224"/>
      <c r="J759" s="473"/>
      <c r="K759" s="476">
        <f t="shared" si="34"/>
        <v>0</v>
      </c>
      <c r="P759" s="224"/>
      <c r="Q759" s="473"/>
      <c r="R759" s="476">
        <f t="shared" si="35"/>
        <v>0</v>
      </c>
    </row>
    <row r="760" spans="2:18" ht="15" customHeight="1" x14ac:dyDescent="0.2">
      <c r="B760" s="224"/>
      <c r="C760" s="473"/>
      <c r="D760" s="476">
        <f t="shared" si="33"/>
        <v>0</v>
      </c>
      <c r="I760" s="224"/>
      <c r="J760" s="473"/>
      <c r="K760" s="476">
        <f t="shared" si="34"/>
        <v>0</v>
      </c>
      <c r="P760" s="224"/>
      <c r="Q760" s="473"/>
      <c r="R760" s="476">
        <f t="shared" si="35"/>
        <v>0</v>
      </c>
    </row>
    <row r="761" spans="2:18" ht="15" customHeight="1" x14ac:dyDescent="0.2">
      <c r="B761" s="224"/>
      <c r="C761" s="473"/>
      <c r="D761" s="476">
        <f t="shared" si="33"/>
        <v>0</v>
      </c>
      <c r="I761" s="224"/>
      <c r="J761" s="473"/>
      <c r="K761" s="476">
        <f t="shared" si="34"/>
        <v>0</v>
      </c>
      <c r="P761" s="224"/>
      <c r="Q761" s="473"/>
      <c r="R761" s="476">
        <f t="shared" si="35"/>
        <v>0</v>
      </c>
    </row>
    <row r="762" spans="2:18" ht="15" customHeight="1" x14ac:dyDescent="0.2">
      <c r="B762" s="224"/>
      <c r="C762" s="473"/>
      <c r="D762" s="476">
        <f t="shared" si="33"/>
        <v>0</v>
      </c>
      <c r="I762" s="224"/>
      <c r="J762" s="473"/>
      <c r="K762" s="476">
        <f t="shared" si="34"/>
        <v>0</v>
      </c>
      <c r="P762" s="224"/>
      <c r="Q762" s="473"/>
      <c r="R762" s="476">
        <f t="shared" si="35"/>
        <v>0</v>
      </c>
    </row>
    <row r="763" spans="2:18" ht="15" customHeight="1" x14ac:dyDescent="0.2">
      <c r="B763" s="224"/>
      <c r="C763" s="473"/>
      <c r="D763" s="476">
        <f t="shared" si="33"/>
        <v>0</v>
      </c>
      <c r="I763" s="224"/>
      <c r="J763" s="473"/>
      <c r="K763" s="476">
        <f t="shared" si="34"/>
        <v>0</v>
      </c>
      <c r="P763" s="224"/>
      <c r="Q763" s="473"/>
      <c r="R763" s="476">
        <f t="shared" si="35"/>
        <v>0</v>
      </c>
    </row>
    <row r="764" spans="2:18" ht="15" customHeight="1" x14ac:dyDescent="0.2">
      <c r="B764" s="224"/>
      <c r="C764" s="473"/>
      <c r="D764" s="476">
        <f t="shared" si="33"/>
        <v>0</v>
      </c>
      <c r="I764" s="224"/>
      <c r="J764" s="473"/>
      <c r="K764" s="476">
        <f t="shared" si="34"/>
        <v>0</v>
      </c>
      <c r="P764" s="224"/>
      <c r="Q764" s="473"/>
      <c r="R764" s="476">
        <f t="shared" si="35"/>
        <v>0</v>
      </c>
    </row>
    <row r="765" spans="2:18" ht="15" customHeight="1" x14ac:dyDescent="0.2">
      <c r="B765" s="224"/>
      <c r="C765" s="473"/>
      <c r="D765" s="476">
        <f t="shared" si="33"/>
        <v>0</v>
      </c>
      <c r="I765" s="224"/>
      <c r="J765" s="473"/>
      <c r="K765" s="476">
        <f t="shared" si="34"/>
        <v>0</v>
      </c>
      <c r="P765" s="224"/>
      <c r="Q765" s="473"/>
      <c r="R765" s="476">
        <f t="shared" si="35"/>
        <v>0</v>
      </c>
    </row>
    <row r="766" spans="2:18" ht="15" customHeight="1" x14ac:dyDescent="0.2">
      <c r="B766" s="224"/>
      <c r="C766" s="473"/>
      <c r="D766" s="476">
        <f t="shared" si="33"/>
        <v>0</v>
      </c>
      <c r="I766" s="224"/>
      <c r="J766" s="473"/>
      <c r="K766" s="476">
        <f t="shared" si="34"/>
        <v>0</v>
      </c>
      <c r="P766" s="224"/>
      <c r="Q766" s="473"/>
      <c r="R766" s="476">
        <f t="shared" si="35"/>
        <v>0</v>
      </c>
    </row>
    <row r="767" spans="2:18" ht="15" customHeight="1" x14ac:dyDescent="0.2">
      <c r="B767" s="224"/>
      <c r="C767" s="473"/>
      <c r="D767" s="476">
        <f t="shared" si="33"/>
        <v>0</v>
      </c>
      <c r="I767" s="224"/>
      <c r="J767" s="473"/>
      <c r="K767" s="476">
        <f t="shared" si="34"/>
        <v>0</v>
      </c>
      <c r="P767" s="224"/>
      <c r="Q767" s="473"/>
      <c r="R767" s="476">
        <f t="shared" si="35"/>
        <v>0</v>
      </c>
    </row>
    <row r="768" spans="2:18" ht="15" customHeight="1" x14ac:dyDescent="0.2">
      <c r="B768" s="224"/>
      <c r="C768" s="473"/>
      <c r="D768" s="476">
        <f t="shared" si="33"/>
        <v>0</v>
      </c>
      <c r="I768" s="224"/>
      <c r="J768" s="473"/>
      <c r="K768" s="476">
        <f t="shared" si="34"/>
        <v>0</v>
      </c>
      <c r="P768" s="224"/>
      <c r="Q768" s="473"/>
      <c r="R768" s="476">
        <f t="shared" si="35"/>
        <v>0</v>
      </c>
    </row>
    <row r="769" spans="2:18" ht="15" customHeight="1" x14ac:dyDescent="0.2">
      <c r="B769" s="224"/>
      <c r="C769" s="473"/>
      <c r="D769" s="476">
        <f t="shared" si="33"/>
        <v>0</v>
      </c>
      <c r="I769" s="224"/>
      <c r="J769" s="473"/>
      <c r="K769" s="476">
        <f t="shared" si="34"/>
        <v>0</v>
      </c>
      <c r="P769" s="224"/>
      <c r="Q769" s="473"/>
      <c r="R769" s="476">
        <f t="shared" si="35"/>
        <v>0</v>
      </c>
    </row>
    <row r="770" spans="2:18" ht="15" customHeight="1" x14ac:dyDescent="0.2">
      <c r="B770" s="224"/>
      <c r="C770" s="473"/>
      <c r="D770" s="476">
        <f t="shared" si="33"/>
        <v>0</v>
      </c>
      <c r="I770" s="224"/>
      <c r="J770" s="473"/>
      <c r="K770" s="476">
        <f t="shared" si="34"/>
        <v>0</v>
      </c>
      <c r="P770" s="224"/>
      <c r="Q770" s="473"/>
      <c r="R770" s="476">
        <f t="shared" si="35"/>
        <v>0</v>
      </c>
    </row>
    <row r="771" spans="2:18" ht="15" customHeight="1" x14ac:dyDescent="0.2">
      <c r="B771" s="224"/>
      <c r="C771" s="473"/>
      <c r="D771" s="476">
        <f t="shared" si="33"/>
        <v>0</v>
      </c>
      <c r="I771" s="224"/>
      <c r="J771" s="473"/>
      <c r="K771" s="476">
        <f t="shared" si="34"/>
        <v>0</v>
      </c>
      <c r="P771" s="224"/>
      <c r="Q771" s="473"/>
      <c r="R771" s="476">
        <f t="shared" si="35"/>
        <v>0</v>
      </c>
    </row>
    <row r="772" spans="2:18" ht="15" customHeight="1" x14ac:dyDescent="0.2">
      <c r="B772" s="224"/>
      <c r="C772" s="473"/>
      <c r="D772" s="476">
        <f t="shared" si="33"/>
        <v>0</v>
      </c>
      <c r="I772" s="224"/>
      <c r="J772" s="473"/>
      <c r="K772" s="476">
        <f t="shared" si="34"/>
        <v>0</v>
      </c>
      <c r="P772" s="224"/>
      <c r="Q772" s="473"/>
      <c r="R772" s="476">
        <f t="shared" si="35"/>
        <v>0</v>
      </c>
    </row>
    <row r="773" spans="2:18" ht="15" customHeight="1" x14ac:dyDescent="0.2">
      <c r="B773" s="224"/>
      <c r="C773" s="473"/>
      <c r="D773" s="476">
        <f t="shared" si="33"/>
        <v>0</v>
      </c>
      <c r="I773" s="224"/>
      <c r="J773" s="473"/>
      <c r="K773" s="476">
        <f t="shared" si="34"/>
        <v>0</v>
      </c>
      <c r="P773" s="224"/>
      <c r="Q773" s="473"/>
      <c r="R773" s="476">
        <f t="shared" si="35"/>
        <v>0</v>
      </c>
    </row>
    <row r="774" spans="2:18" ht="15" customHeight="1" x14ac:dyDescent="0.2">
      <c r="B774" s="224"/>
      <c r="C774" s="473"/>
      <c r="D774" s="476">
        <f t="shared" si="33"/>
        <v>0</v>
      </c>
      <c r="I774" s="224"/>
      <c r="J774" s="473"/>
      <c r="K774" s="476">
        <f t="shared" si="34"/>
        <v>0</v>
      </c>
      <c r="P774" s="224"/>
      <c r="Q774" s="473"/>
      <c r="R774" s="476">
        <f t="shared" si="35"/>
        <v>0</v>
      </c>
    </row>
    <row r="775" spans="2:18" ht="15" customHeight="1" x14ac:dyDescent="0.2">
      <c r="B775" s="224"/>
      <c r="C775" s="473"/>
      <c r="D775" s="476">
        <f t="shared" si="33"/>
        <v>0</v>
      </c>
      <c r="I775" s="224"/>
      <c r="J775" s="473"/>
      <c r="K775" s="476">
        <f t="shared" si="34"/>
        <v>0</v>
      </c>
      <c r="P775" s="224"/>
      <c r="Q775" s="473"/>
      <c r="R775" s="476">
        <f t="shared" si="35"/>
        <v>0</v>
      </c>
    </row>
    <row r="776" spans="2:18" ht="15" customHeight="1" x14ac:dyDescent="0.2">
      <c r="B776" s="224"/>
      <c r="C776" s="473"/>
      <c r="D776" s="476">
        <f t="shared" si="33"/>
        <v>0</v>
      </c>
      <c r="I776" s="224"/>
      <c r="J776" s="473"/>
      <c r="K776" s="476">
        <f t="shared" si="34"/>
        <v>0</v>
      </c>
      <c r="P776" s="224"/>
      <c r="Q776" s="473"/>
      <c r="R776" s="476">
        <f t="shared" si="35"/>
        <v>0</v>
      </c>
    </row>
    <row r="777" spans="2:18" ht="15" customHeight="1" x14ac:dyDescent="0.2">
      <c r="B777" s="224"/>
      <c r="C777" s="473"/>
      <c r="D777" s="476">
        <f t="shared" si="33"/>
        <v>0</v>
      </c>
      <c r="I777" s="224"/>
      <c r="J777" s="473"/>
      <c r="K777" s="476">
        <f t="shared" si="34"/>
        <v>0</v>
      </c>
      <c r="P777" s="224"/>
      <c r="Q777" s="473"/>
      <c r="R777" s="476">
        <f t="shared" si="35"/>
        <v>0</v>
      </c>
    </row>
    <row r="778" spans="2:18" ht="15" customHeight="1" x14ac:dyDescent="0.2">
      <c r="B778" s="224"/>
      <c r="C778" s="473"/>
      <c r="D778" s="476">
        <f t="shared" si="33"/>
        <v>0</v>
      </c>
      <c r="I778" s="224"/>
      <c r="J778" s="473"/>
      <c r="K778" s="476">
        <f t="shared" si="34"/>
        <v>0</v>
      </c>
      <c r="P778" s="224"/>
      <c r="Q778" s="473"/>
      <c r="R778" s="476">
        <f t="shared" si="35"/>
        <v>0</v>
      </c>
    </row>
    <row r="779" spans="2:18" ht="15" customHeight="1" x14ac:dyDescent="0.2">
      <c r="B779" s="224"/>
      <c r="C779" s="473"/>
      <c r="D779" s="476">
        <f t="shared" si="33"/>
        <v>0</v>
      </c>
      <c r="I779" s="224"/>
      <c r="J779" s="473"/>
      <c r="K779" s="476">
        <f t="shared" si="34"/>
        <v>0</v>
      </c>
      <c r="P779" s="224"/>
      <c r="Q779" s="473"/>
      <c r="R779" s="476">
        <f t="shared" si="35"/>
        <v>0</v>
      </c>
    </row>
    <row r="780" spans="2:18" ht="15" customHeight="1" x14ac:dyDescent="0.2">
      <c r="B780" s="224"/>
      <c r="C780" s="473"/>
      <c r="D780" s="476">
        <f t="shared" si="33"/>
        <v>0</v>
      </c>
      <c r="I780" s="224"/>
      <c r="J780" s="473"/>
      <c r="K780" s="476">
        <f t="shared" si="34"/>
        <v>0</v>
      </c>
      <c r="P780" s="224"/>
      <c r="Q780" s="473"/>
      <c r="R780" s="476">
        <f t="shared" si="35"/>
        <v>0</v>
      </c>
    </row>
    <row r="781" spans="2:18" ht="15" customHeight="1" x14ac:dyDescent="0.2">
      <c r="B781" s="224"/>
      <c r="C781" s="473"/>
      <c r="D781" s="476">
        <f t="shared" si="33"/>
        <v>0</v>
      </c>
      <c r="I781" s="224"/>
      <c r="J781" s="473"/>
      <c r="K781" s="476">
        <f t="shared" si="34"/>
        <v>0</v>
      </c>
      <c r="P781" s="224"/>
      <c r="Q781" s="473"/>
      <c r="R781" s="476">
        <f t="shared" si="35"/>
        <v>0</v>
      </c>
    </row>
    <row r="782" spans="2:18" ht="15" customHeight="1" x14ac:dyDescent="0.2">
      <c r="B782" s="224"/>
      <c r="C782" s="473"/>
      <c r="D782" s="476">
        <f t="shared" si="33"/>
        <v>0</v>
      </c>
      <c r="I782" s="224"/>
      <c r="J782" s="473"/>
      <c r="K782" s="476">
        <f t="shared" si="34"/>
        <v>0</v>
      </c>
      <c r="P782" s="224"/>
      <c r="Q782" s="473"/>
      <c r="R782" s="476">
        <f t="shared" si="35"/>
        <v>0</v>
      </c>
    </row>
    <row r="783" spans="2:18" ht="15" customHeight="1" x14ac:dyDescent="0.2">
      <c r="B783" s="224"/>
      <c r="C783" s="473"/>
      <c r="D783" s="476">
        <f t="shared" si="33"/>
        <v>0</v>
      </c>
      <c r="I783" s="224"/>
      <c r="J783" s="473"/>
      <c r="K783" s="476">
        <f t="shared" si="34"/>
        <v>0</v>
      </c>
      <c r="P783" s="224"/>
      <c r="Q783" s="473"/>
      <c r="R783" s="476">
        <f t="shared" si="35"/>
        <v>0</v>
      </c>
    </row>
    <row r="784" spans="2:18" ht="15" customHeight="1" x14ac:dyDescent="0.2">
      <c r="B784" s="224"/>
      <c r="C784" s="473"/>
      <c r="D784" s="476">
        <f t="shared" si="33"/>
        <v>0</v>
      </c>
      <c r="I784" s="224"/>
      <c r="J784" s="473"/>
      <c r="K784" s="476">
        <f t="shared" si="34"/>
        <v>0</v>
      </c>
      <c r="P784" s="224"/>
      <c r="Q784" s="473"/>
      <c r="R784" s="476">
        <f t="shared" si="35"/>
        <v>0</v>
      </c>
    </row>
    <row r="785" spans="2:18" ht="15" customHeight="1" x14ac:dyDescent="0.2">
      <c r="B785" s="224"/>
      <c r="C785" s="473"/>
      <c r="D785" s="476">
        <f t="shared" si="33"/>
        <v>0</v>
      </c>
      <c r="I785" s="224"/>
      <c r="J785" s="473"/>
      <c r="K785" s="476">
        <f t="shared" si="34"/>
        <v>0</v>
      </c>
      <c r="P785" s="224"/>
      <c r="Q785" s="473"/>
      <c r="R785" s="476">
        <f t="shared" si="35"/>
        <v>0</v>
      </c>
    </row>
    <row r="786" spans="2:18" ht="15" customHeight="1" x14ac:dyDescent="0.2">
      <c r="B786" s="224"/>
      <c r="C786" s="473"/>
      <c r="D786" s="476">
        <f t="shared" ref="D786:D849" si="36">C786/1000</f>
        <v>0</v>
      </c>
      <c r="I786" s="224"/>
      <c r="J786" s="473"/>
      <c r="K786" s="476">
        <f t="shared" ref="K786:K849" si="37">J786/1000</f>
        <v>0</v>
      </c>
      <c r="P786" s="224"/>
      <c r="Q786" s="473"/>
      <c r="R786" s="476">
        <f t="shared" ref="R786:R849" si="38">Q786/1000</f>
        <v>0</v>
      </c>
    </row>
    <row r="787" spans="2:18" ht="15" customHeight="1" x14ac:dyDescent="0.2">
      <c r="B787" s="224"/>
      <c r="C787" s="473"/>
      <c r="D787" s="476">
        <f t="shared" si="36"/>
        <v>0</v>
      </c>
      <c r="I787" s="224"/>
      <c r="J787" s="473"/>
      <c r="K787" s="476">
        <f t="shared" si="37"/>
        <v>0</v>
      </c>
      <c r="P787" s="224"/>
      <c r="Q787" s="473"/>
      <c r="R787" s="476">
        <f t="shared" si="38"/>
        <v>0</v>
      </c>
    </row>
    <row r="788" spans="2:18" ht="15" customHeight="1" x14ac:dyDescent="0.2">
      <c r="B788" s="224"/>
      <c r="C788" s="473"/>
      <c r="D788" s="476">
        <f t="shared" si="36"/>
        <v>0</v>
      </c>
      <c r="I788" s="224"/>
      <c r="J788" s="473"/>
      <c r="K788" s="476">
        <f t="shared" si="37"/>
        <v>0</v>
      </c>
      <c r="P788" s="224"/>
      <c r="Q788" s="473"/>
      <c r="R788" s="476">
        <f t="shared" si="38"/>
        <v>0</v>
      </c>
    </row>
    <row r="789" spans="2:18" ht="15" customHeight="1" x14ac:dyDescent="0.2">
      <c r="B789" s="224"/>
      <c r="C789" s="473"/>
      <c r="D789" s="476">
        <f t="shared" si="36"/>
        <v>0</v>
      </c>
      <c r="I789" s="224"/>
      <c r="J789" s="473"/>
      <c r="K789" s="476">
        <f t="shared" si="37"/>
        <v>0</v>
      </c>
      <c r="P789" s="224"/>
      <c r="Q789" s="473"/>
      <c r="R789" s="476">
        <f t="shared" si="38"/>
        <v>0</v>
      </c>
    </row>
    <row r="790" spans="2:18" ht="15" customHeight="1" x14ac:dyDescent="0.2">
      <c r="B790" s="224"/>
      <c r="C790" s="473"/>
      <c r="D790" s="476">
        <f t="shared" si="36"/>
        <v>0</v>
      </c>
      <c r="I790" s="224"/>
      <c r="J790" s="473"/>
      <c r="K790" s="476">
        <f t="shared" si="37"/>
        <v>0</v>
      </c>
      <c r="P790" s="224"/>
      <c r="Q790" s="473"/>
      <c r="R790" s="476">
        <f t="shared" si="38"/>
        <v>0</v>
      </c>
    </row>
    <row r="791" spans="2:18" ht="15" customHeight="1" x14ac:dyDescent="0.2">
      <c r="B791" s="224"/>
      <c r="C791" s="473"/>
      <c r="D791" s="476">
        <f t="shared" si="36"/>
        <v>0</v>
      </c>
      <c r="I791" s="224"/>
      <c r="J791" s="473"/>
      <c r="K791" s="476">
        <f t="shared" si="37"/>
        <v>0</v>
      </c>
      <c r="P791" s="224"/>
      <c r="Q791" s="473"/>
      <c r="R791" s="476">
        <f t="shared" si="38"/>
        <v>0</v>
      </c>
    </row>
    <row r="792" spans="2:18" ht="15" customHeight="1" x14ac:dyDescent="0.2">
      <c r="B792" s="224"/>
      <c r="C792" s="473"/>
      <c r="D792" s="476">
        <f t="shared" si="36"/>
        <v>0</v>
      </c>
      <c r="I792" s="224"/>
      <c r="J792" s="473"/>
      <c r="K792" s="476">
        <f t="shared" si="37"/>
        <v>0</v>
      </c>
      <c r="P792" s="224"/>
      <c r="Q792" s="473"/>
      <c r="R792" s="476">
        <f t="shared" si="38"/>
        <v>0</v>
      </c>
    </row>
    <row r="793" spans="2:18" ht="15" customHeight="1" x14ac:dyDescent="0.2">
      <c r="B793" s="224"/>
      <c r="C793" s="473"/>
      <c r="D793" s="476">
        <f t="shared" si="36"/>
        <v>0</v>
      </c>
      <c r="I793" s="224"/>
      <c r="J793" s="473"/>
      <c r="K793" s="476">
        <f t="shared" si="37"/>
        <v>0</v>
      </c>
      <c r="P793" s="224"/>
      <c r="Q793" s="473"/>
      <c r="R793" s="476">
        <f t="shared" si="38"/>
        <v>0</v>
      </c>
    </row>
    <row r="794" spans="2:18" ht="15" customHeight="1" x14ac:dyDescent="0.2">
      <c r="B794" s="224"/>
      <c r="C794" s="473"/>
      <c r="D794" s="476">
        <f t="shared" si="36"/>
        <v>0</v>
      </c>
      <c r="I794" s="224"/>
      <c r="J794" s="473"/>
      <c r="K794" s="476">
        <f t="shared" si="37"/>
        <v>0</v>
      </c>
      <c r="P794" s="224"/>
      <c r="Q794" s="473"/>
      <c r="R794" s="476">
        <f t="shared" si="38"/>
        <v>0</v>
      </c>
    </row>
    <row r="795" spans="2:18" ht="15" customHeight="1" x14ac:dyDescent="0.2">
      <c r="B795" s="224"/>
      <c r="C795" s="473"/>
      <c r="D795" s="476">
        <f t="shared" si="36"/>
        <v>0</v>
      </c>
      <c r="I795" s="224"/>
      <c r="J795" s="473"/>
      <c r="K795" s="476">
        <f t="shared" si="37"/>
        <v>0</v>
      </c>
      <c r="P795" s="224"/>
      <c r="Q795" s="473"/>
      <c r="R795" s="476">
        <f t="shared" si="38"/>
        <v>0</v>
      </c>
    </row>
    <row r="796" spans="2:18" ht="15" customHeight="1" x14ac:dyDescent="0.2">
      <c r="B796" s="224"/>
      <c r="C796" s="473"/>
      <c r="D796" s="476">
        <f t="shared" si="36"/>
        <v>0</v>
      </c>
      <c r="I796" s="224"/>
      <c r="J796" s="473"/>
      <c r="K796" s="476">
        <f t="shared" si="37"/>
        <v>0</v>
      </c>
      <c r="P796" s="224"/>
      <c r="Q796" s="473"/>
      <c r="R796" s="476">
        <f t="shared" si="38"/>
        <v>0</v>
      </c>
    </row>
    <row r="797" spans="2:18" ht="15" customHeight="1" x14ac:dyDescent="0.2">
      <c r="B797" s="224"/>
      <c r="C797" s="473"/>
      <c r="D797" s="476">
        <f t="shared" si="36"/>
        <v>0</v>
      </c>
      <c r="I797" s="224"/>
      <c r="J797" s="473"/>
      <c r="K797" s="476">
        <f t="shared" si="37"/>
        <v>0</v>
      </c>
      <c r="P797" s="224"/>
      <c r="Q797" s="473"/>
      <c r="R797" s="476">
        <f t="shared" si="38"/>
        <v>0</v>
      </c>
    </row>
    <row r="798" spans="2:18" ht="15" customHeight="1" x14ac:dyDescent="0.2">
      <c r="B798" s="224"/>
      <c r="C798" s="473"/>
      <c r="D798" s="476">
        <f t="shared" si="36"/>
        <v>0</v>
      </c>
      <c r="I798" s="224"/>
      <c r="J798" s="473"/>
      <c r="K798" s="476">
        <f t="shared" si="37"/>
        <v>0</v>
      </c>
      <c r="P798" s="224"/>
      <c r="Q798" s="473"/>
      <c r="R798" s="476">
        <f t="shared" si="38"/>
        <v>0</v>
      </c>
    </row>
    <row r="799" spans="2:18" ht="15" customHeight="1" x14ac:dyDescent="0.2">
      <c r="B799" s="224"/>
      <c r="C799" s="473"/>
      <c r="D799" s="476">
        <f t="shared" si="36"/>
        <v>0</v>
      </c>
      <c r="I799" s="224"/>
      <c r="J799" s="473"/>
      <c r="K799" s="476">
        <f t="shared" si="37"/>
        <v>0</v>
      </c>
      <c r="P799" s="224"/>
      <c r="Q799" s="473"/>
      <c r="R799" s="476">
        <f t="shared" si="38"/>
        <v>0</v>
      </c>
    </row>
    <row r="800" spans="2:18" ht="15" customHeight="1" x14ac:dyDescent="0.2">
      <c r="B800" s="224"/>
      <c r="C800" s="473"/>
      <c r="D800" s="476">
        <f t="shared" si="36"/>
        <v>0</v>
      </c>
      <c r="I800" s="224"/>
      <c r="J800" s="473"/>
      <c r="K800" s="476">
        <f t="shared" si="37"/>
        <v>0</v>
      </c>
      <c r="P800" s="224"/>
      <c r="Q800" s="473"/>
      <c r="R800" s="476">
        <f t="shared" si="38"/>
        <v>0</v>
      </c>
    </row>
    <row r="801" spans="2:18" ht="15" customHeight="1" x14ac:dyDescent="0.2">
      <c r="B801" s="224"/>
      <c r="C801" s="473"/>
      <c r="D801" s="476">
        <f t="shared" si="36"/>
        <v>0</v>
      </c>
      <c r="I801" s="224"/>
      <c r="J801" s="473"/>
      <c r="K801" s="476">
        <f t="shared" si="37"/>
        <v>0</v>
      </c>
      <c r="P801" s="224"/>
      <c r="Q801" s="473"/>
      <c r="R801" s="476">
        <f t="shared" si="38"/>
        <v>0</v>
      </c>
    </row>
    <row r="802" spans="2:18" ht="15" customHeight="1" x14ac:dyDescent="0.2">
      <c r="B802" s="224"/>
      <c r="C802" s="473"/>
      <c r="D802" s="476">
        <f t="shared" si="36"/>
        <v>0</v>
      </c>
      <c r="I802" s="224"/>
      <c r="J802" s="473"/>
      <c r="K802" s="476">
        <f t="shared" si="37"/>
        <v>0</v>
      </c>
      <c r="P802" s="224"/>
      <c r="Q802" s="473"/>
      <c r="R802" s="476">
        <f t="shared" si="38"/>
        <v>0</v>
      </c>
    </row>
    <row r="803" spans="2:18" ht="15" customHeight="1" x14ac:dyDescent="0.2">
      <c r="B803" s="224"/>
      <c r="C803" s="473"/>
      <c r="D803" s="476">
        <f t="shared" si="36"/>
        <v>0</v>
      </c>
      <c r="I803" s="224"/>
      <c r="J803" s="473"/>
      <c r="K803" s="476">
        <f t="shared" si="37"/>
        <v>0</v>
      </c>
      <c r="P803" s="224"/>
      <c r="Q803" s="473"/>
      <c r="R803" s="476">
        <f t="shared" si="38"/>
        <v>0</v>
      </c>
    </row>
    <row r="804" spans="2:18" ht="15" customHeight="1" x14ac:dyDescent="0.2">
      <c r="B804" s="224"/>
      <c r="C804" s="473"/>
      <c r="D804" s="476">
        <f t="shared" si="36"/>
        <v>0</v>
      </c>
      <c r="I804" s="224"/>
      <c r="J804" s="473"/>
      <c r="K804" s="476">
        <f t="shared" si="37"/>
        <v>0</v>
      </c>
      <c r="P804" s="224"/>
      <c r="Q804" s="473"/>
      <c r="R804" s="476">
        <f t="shared" si="38"/>
        <v>0</v>
      </c>
    </row>
    <row r="805" spans="2:18" ht="15" customHeight="1" x14ac:dyDescent="0.2">
      <c r="B805" s="224"/>
      <c r="C805" s="473"/>
      <c r="D805" s="476">
        <f t="shared" si="36"/>
        <v>0</v>
      </c>
      <c r="I805" s="224"/>
      <c r="J805" s="473"/>
      <c r="K805" s="476">
        <f t="shared" si="37"/>
        <v>0</v>
      </c>
      <c r="P805" s="224"/>
      <c r="Q805" s="473"/>
      <c r="R805" s="476">
        <f t="shared" si="38"/>
        <v>0</v>
      </c>
    </row>
    <row r="806" spans="2:18" ht="15" customHeight="1" x14ac:dyDescent="0.2">
      <c r="B806" s="224"/>
      <c r="C806" s="473"/>
      <c r="D806" s="476">
        <f t="shared" si="36"/>
        <v>0</v>
      </c>
      <c r="I806" s="224"/>
      <c r="J806" s="473"/>
      <c r="K806" s="476">
        <f t="shared" si="37"/>
        <v>0</v>
      </c>
      <c r="P806" s="224"/>
      <c r="Q806" s="473"/>
      <c r="R806" s="476">
        <f t="shared" si="38"/>
        <v>0</v>
      </c>
    </row>
    <row r="807" spans="2:18" ht="15" customHeight="1" x14ac:dyDescent="0.2">
      <c r="B807" s="224"/>
      <c r="C807" s="473"/>
      <c r="D807" s="476">
        <f t="shared" si="36"/>
        <v>0</v>
      </c>
      <c r="I807" s="224"/>
      <c r="J807" s="473"/>
      <c r="K807" s="476">
        <f t="shared" si="37"/>
        <v>0</v>
      </c>
      <c r="P807" s="224"/>
      <c r="Q807" s="473"/>
      <c r="R807" s="476">
        <f t="shared" si="38"/>
        <v>0</v>
      </c>
    </row>
    <row r="808" spans="2:18" ht="15" customHeight="1" x14ac:dyDescent="0.2">
      <c r="B808" s="224"/>
      <c r="C808" s="473"/>
      <c r="D808" s="476">
        <f t="shared" si="36"/>
        <v>0</v>
      </c>
      <c r="I808" s="224"/>
      <c r="J808" s="473"/>
      <c r="K808" s="476">
        <f t="shared" si="37"/>
        <v>0</v>
      </c>
      <c r="P808" s="224"/>
      <c r="Q808" s="473"/>
      <c r="R808" s="476">
        <f t="shared" si="38"/>
        <v>0</v>
      </c>
    </row>
    <row r="809" spans="2:18" ht="15" customHeight="1" x14ac:dyDescent="0.2">
      <c r="B809" s="224"/>
      <c r="C809" s="473"/>
      <c r="D809" s="476">
        <f t="shared" si="36"/>
        <v>0</v>
      </c>
      <c r="I809" s="224"/>
      <c r="J809" s="473"/>
      <c r="K809" s="476">
        <f t="shared" si="37"/>
        <v>0</v>
      </c>
      <c r="P809" s="224"/>
      <c r="Q809" s="473"/>
      <c r="R809" s="476">
        <f t="shared" si="38"/>
        <v>0</v>
      </c>
    </row>
    <row r="810" spans="2:18" ht="15" customHeight="1" x14ac:dyDescent="0.2">
      <c r="B810" s="224"/>
      <c r="C810" s="473"/>
      <c r="D810" s="476">
        <f t="shared" si="36"/>
        <v>0</v>
      </c>
      <c r="I810" s="224"/>
      <c r="J810" s="473"/>
      <c r="K810" s="476">
        <f t="shared" si="37"/>
        <v>0</v>
      </c>
      <c r="P810" s="224"/>
      <c r="Q810" s="473"/>
      <c r="R810" s="476">
        <f t="shared" si="38"/>
        <v>0</v>
      </c>
    </row>
    <row r="811" spans="2:18" ht="15" customHeight="1" x14ac:dyDescent="0.2">
      <c r="B811" s="224"/>
      <c r="C811" s="473"/>
      <c r="D811" s="476">
        <f t="shared" si="36"/>
        <v>0</v>
      </c>
      <c r="I811" s="224"/>
      <c r="J811" s="473"/>
      <c r="K811" s="476">
        <f t="shared" si="37"/>
        <v>0</v>
      </c>
      <c r="P811" s="224"/>
      <c r="Q811" s="473"/>
      <c r="R811" s="476">
        <f t="shared" si="38"/>
        <v>0</v>
      </c>
    </row>
    <row r="812" spans="2:18" ht="15" customHeight="1" x14ac:dyDescent="0.2">
      <c r="B812" s="224"/>
      <c r="C812" s="473"/>
      <c r="D812" s="476">
        <f t="shared" si="36"/>
        <v>0</v>
      </c>
      <c r="I812" s="224"/>
      <c r="J812" s="473"/>
      <c r="K812" s="476">
        <f t="shared" si="37"/>
        <v>0</v>
      </c>
      <c r="P812" s="224"/>
      <c r="Q812" s="473"/>
      <c r="R812" s="476">
        <f t="shared" si="38"/>
        <v>0</v>
      </c>
    </row>
    <row r="813" spans="2:18" ht="15" customHeight="1" x14ac:dyDescent="0.2">
      <c r="B813" s="224"/>
      <c r="C813" s="473"/>
      <c r="D813" s="476">
        <f t="shared" si="36"/>
        <v>0</v>
      </c>
      <c r="I813" s="224"/>
      <c r="J813" s="473"/>
      <c r="K813" s="476">
        <f t="shared" si="37"/>
        <v>0</v>
      </c>
      <c r="P813" s="224"/>
      <c r="Q813" s="473"/>
      <c r="R813" s="476">
        <f t="shared" si="38"/>
        <v>0</v>
      </c>
    </row>
    <row r="814" spans="2:18" ht="15" customHeight="1" x14ac:dyDescent="0.2">
      <c r="B814" s="224"/>
      <c r="C814" s="473"/>
      <c r="D814" s="476">
        <f t="shared" si="36"/>
        <v>0</v>
      </c>
      <c r="I814" s="224"/>
      <c r="J814" s="473"/>
      <c r="K814" s="476">
        <f t="shared" si="37"/>
        <v>0</v>
      </c>
      <c r="P814" s="224"/>
      <c r="Q814" s="473"/>
      <c r="R814" s="476">
        <f t="shared" si="38"/>
        <v>0</v>
      </c>
    </row>
    <row r="815" spans="2:18" ht="15" customHeight="1" x14ac:dyDescent="0.2">
      <c r="B815" s="224"/>
      <c r="C815" s="473"/>
      <c r="D815" s="476">
        <f t="shared" si="36"/>
        <v>0</v>
      </c>
      <c r="I815" s="224"/>
      <c r="J815" s="473"/>
      <c r="K815" s="476">
        <f t="shared" si="37"/>
        <v>0</v>
      </c>
      <c r="P815" s="224"/>
      <c r="Q815" s="473"/>
      <c r="R815" s="476">
        <f t="shared" si="38"/>
        <v>0</v>
      </c>
    </row>
    <row r="816" spans="2:18" ht="15" customHeight="1" x14ac:dyDescent="0.2">
      <c r="B816" s="224"/>
      <c r="C816" s="473"/>
      <c r="D816" s="476">
        <f t="shared" si="36"/>
        <v>0</v>
      </c>
      <c r="I816" s="224"/>
      <c r="J816" s="473"/>
      <c r="K816" s="476">
        <f t="shared" si="37"/>
        <v>0</v>
      </c>
      <c r="P816" s="224"/>
      <c r="Q816" s="473"/>
      <c r="R816" s="476">
        <f t="shared" si="38"/>
        <v>0</v>
      </c>
    </row>
    <row r="817" spans="2:18" ht="15" customHeight="1" x14ac:dyDescent="0.2">
      <c r="B817" s="224"/>
      <c r="C817" s="473"/>
      <c r="D817" s="476">
        <f t="shared" si="36"/>
        <v>0</v>
      </c>
      <c r="I817" s="224"/>
      <c r="J817" s="473"/>
      <c r="K817" s="476">
        <f t="shared" si="37"/>
        <v>0</v>
      </c>
      <c r="P817" s="224"/>
      <c r="Q817" s="473"/>
      <c r="R817" s="476">
        <f t="shared" si="38"/>
        <v>0</v>
      </c>
    </row>
    <row r="818" spans="2:18" ht="15" customHeight="1" x14ac:dyDescent="0.2">
      <c r="B818" s="224"/>
      <c r="C818" s="473"/>
      <c r="D818" s="476">
        <f t="shared" si="36"/>
        <v>0</v>
      </c>
      <c r="I818" s="224"/>
      <c r="J818" s="473"/>
      <c r="K818" s="476">
        <f t="shared" si="37"/>
        <v>0</v>
      </c>
      <c r="P818" s="224"/>
      <c r="Q818" s="473"/>
      <c r="R818" s="476">
        <f t="shared" si="38"/>
        <v>0</v>
      </c>
    </row>
    <row r="819" spans="2:18" ht="15" customHeight="1" x14ac:dyDescent="0.2">
      <c r="B819" s="224"/>
      <c r="C819" s="473"/>
      <c r="D819" s="476">
        <f t="shared" si="36"/>
        <v>0</v>
      </c>
      <c r="I819" s="224"/>
      <c r="J819" s="473"/>
      <c r="K819" s="476">
        <f t="shared" si="37"/>
        <v>0</v>
      </c>
      <c r="P819" s="224"/>
      <c r="Q819" s="473"/>
      <c r="R819" s="476">
        <f t="shared" si="38"/>
        <v>0</v>
      </c>
    </row>
    <row r="820" spans="2:18" ht="15" customHeight="1" x14ac:dyDescent="0.2">
      <c r="B820" s="224"/>
      <c r="C820" s="473"/>
      <c r="D820" s="476">
        <f t="shared" si="36"/>
        <v>0</v>
      </c>
      <c r="I820" s="224"/>
      <c r="J820" s="473"/>
      <c r="K820" s="476">
        <f t="shared" si="37"/>
        <v>0</v>
      </c>
      <c r="P820" s="224"/>
      <c r="Q820" s="473"/>
      <c r="R820" s="476">
        <f t="shared" si="38"/>
        <v>0</v>
      </c>
    </row>
    <row r="821" spans="2:18" ht="15" customHeight="1" x14ac:dyDescent="0.2">
      <c r="B821" s="224"/>
      <c r="C821" s="473"/>
      <c r="D821" s="476">
        <f t="shared" si="36"/>
        <v>0</v>
      </c>
      <c r="I821" s="224"/>
      <c r="J821" s="473"/>
      <c r="K821" s="476">
        <f t="shared" si="37"/>
        <v>0</v>
      </c>
      <c r="P821" s="224"/>
      <c r="Q821" s="473"/>
      <c r="R821" s="476">
        <f t="shared" si="38"/>
        <v>0</v>
      </c>
    </row>
    <row r="822" spans="2:18" ht="15" customHeight="1" x14ac:dyDescent="0.2">
      <c r="B822" s="224"/>
      <c r="C822" s="473"/>
      <c r="D822" s="476">
        <f t="shared" si="36"/>
        <v>0</v>
      </c>
      <c r="I822" s="224"/>
      <c r="J822" s="473"/>
      <c r="K822" s="476">
        <f t="shared" si="37"/>
        <v>0</v>
      </c>
      <c r="P822" s="224"/>
      <c r="Q822" s="473"/>
      <c r="R822" s="476">
        <f t="shared" si="38"/>
        <v>0</v>
      </c>
    </row>
    <row r="823" spans="2:18" ht="15" customHeight="1" x14ac:dyDescent="0.2">
      <c r="B823" s="224"/>
      <c r="C823" s="473"/>
      <c r="D823" s="476">
        <f t="shared" si="36"/>
        <v>0</v>
      </c>
      <c r="I823" s="224"/>
      <c r="J823" s="473"/>
      <c r="K823" s="476">
        <f t="shared" si="37"/>
        <v>0</v>
      </c>
      <c r="P823" s="224"/>
      <c r="Q823" s="473"/>
      <c r="R823" s="476">
        <f t="shared" si="38"/>
        <v>0</v>
      </c>
    </row>
    <row r="824" spans="2:18" ht="15" customHeight="1" x14ac:dyDescent="0.2">
      <c r="B824" s="224"/>
      <c r="C824" s="473"/>
      <c r="D824" s="476">
        <f t="shared" si="36"/>
        <v>0</v>
      </c>
      <c r="I824" s="224"/>
      <c r="J824" s="473"/>
      <c r="K824" s="476">
        <f t="shared" si="37"/>
        <v>0</v>
      </c>
      <c r="P824" s="224"/>
      <c r="Q824" s="473"/>
      <c r="R824" s="476">
        <f t="shared" si="38"/>
        <v>0</v>
      </c>
    </row>
    <row r="825" spans="2:18" ht="15" customHeight="1" x14ac:dyDescent="0.2">
      <c r="B825" s="224"/>
      <c r="C825" s="473"/>
      <c r="D825" s="476">
        <f t="shared" si="36"/>
        <v>0</v>
      </c>
      <c r="I825" s="224"/>
      <c r="J825" s="473"/>
      <c r="K825" s="476">
        <f t="shared" si="37"/>
        <v>0</v>
      </c>
      <c r="P825" s="224"/>
      <c r="Q825" s="473"/>
      <c r="R825" s="476">
        <f t="shared" si="38"/>
        <v>0</v>
      </c>
    </row>
    <row r="826" spans="2:18" ht="15" customHeight="1" x14ac:dyDescent="0.2">
      <c r="B826" s="224"/>
      <c r="C826" s="473"/>
      <c r="D826" s="476">
        <f t="shared" si="36"/>
        <v>0</v>
      </c>
      <c r="I826" s="224"/>
      <c r="J826" s="473"/>
      <c r="K826" s="476">
        <f t="shared" si="37"/>
        <v>0</v>
      </c>
      <c r="P826" s="224"/>
      <c r="Q826" s="473"/>
      <c r="R826" s="476">
        <f t="shared" si="38"/>
        <v>0</v>
      </c>
    </row>
    <row r="827" spans="2:18" ht="15" customHeight="1" x14ac:dyDescent="0.2">
      <c r="B827" s="224"/>
      <c r="C827" s="473"/>
      <c r="D827" s="476">
        <f t="shared" si="36"/>
        <v>0</v>
      </c>
      <c r="I827" s="224"/>
      <c r="J827" s="473"/>
      <c r="K827" s="476">
        <f t="shared" si="37"/>
        <v>0</v>
      </c>
      <c r="P827" s="224"/>
      <c r="Q827" s="473"/>
      <c r="R827" s="476">
        <f t="shared" si="38"/>
        <v>0</v>
      </c>
    </row>
    <row r="828" spans="2:18" ht="15" customHeight="1" x14ac:dyDescent="0.2">
      <c r="B828" s="224"/>
      <c r="C828" s="473"/>
      <c r="D828" s="476">
        <f t="shared" si="36"/>
        <v>0</v>
      </c>
      <c r="I828" s="224"/>
      <c r="J828" s="473"/>
      <c r="K828" s="476">
        <f t="shared" si="37"/>
        <v>0</v>
      </c>
      <c r="P828" s="224"/>
      <c r="Q828" s="473"/>
      <c r="R828" s="476">
        <f t="shared" si="38"/>
        <v>0</v>
      </c>
    </row>
    <row r="829" spans="2:18" ht="15" customHeight="1" x14ac:dyDescent="0.2">
      <c r="B829" s="224"/>
      <c r="C829" s="473"/>
      <c r="D829" s="476">
        <f t="shared" si="36"/>
        <v>0</v>
      </c>
      <c r="I829" s="224"/>
      <c r="J829" s="473"/>
      <c r="K829" s="476">
        <f t="shared" si="37"/>
        <v>0</v>
      </c>
      <c r="P829" s="224"/>
      <c r="Q829" s="473"/>
      <c r="R829" s="476">
        <f t="shared" si="38"/>
        <v>0</v>
      </c>
    </row>
    <row r="830" spans="2:18" ht="15" customHeight="1" x14ac:dyDescent="0.2">
      <c r="B830" s="224"/>
      <c r="C830" s="473"/>
      <c r="D830" s="476">
        <f t="shared" si="36"/>
        <v>0</v>
      </c>
      <c r="I830" s="224"/>
      <c r="J830" s="473"/>
      <c r="K830" s="476">
        <f t="shared" si="37"/>
        <v>0</v>
      </c>
      <c r="P830" s="224"/>
      <c r="Q830" s="473"/>
      <c r="R830" s="476">
        <f t="shared" si="38"/>
        <v>0</v>
      </c>
    </row>
    <row r="831" spans="2:18" ht="15" customHeight="1" x14ac:dyDescent="0.2">
      <c r="B831" s="224"/>
      <c r="C831" s="473"/>
      <c r="D831" s="476">
        <f t="shared" si="36"/>
        <v>0</v>
      </c>
      <c r="I831" s="224"/>
      <c r="J831" s="473"/>
      <c r="K831" s="476">
        <f t="shared" si="37"/>
        <v>0</v>
      </c>
      <c r="P831" s="224"/>
      <c r="Q831" s="473"/>
      <c r="R831" s="476">
        <f t="shared" si="38"/>
        <v>0</v>
      </c>
    </row>
    <row r="832" spans="2:18" ht="15" customHeight="1" x14ac:dyDescent="0.2">
      <c r="B832" s="224"/>
      <c r="C832" s="473"/>
      <c r="D832" s="476">
        <f t="shared" si="36"/>
        <v>0</v>
      </c>
      <c r="I832" s="224"/>
      <c r="J832" s="473"/>
      <c r="K832" s="476">
        <f t="shared" si="37"/>
        <v>0</v>
      </c>
      <c r="P832" s="224"/>
      <c r="Q832" s="473"/>
      <c r="R832" s="476">
        <f t="shared" si="38"/>
        <v>0</v>
      </c>
    </row>
    <row r="833" spans="2:18" ht="15" customHeight="1" x14ac:dyDescent="0.2">
      <c r="B833" s="224"/>
      <c r="C833" s="473"/>
      <c r="D833" s="476">
        <f t="shared" si="36"/>
        <v>0</v>
      </c>
      <c r="I833" s="224"/>
      <c r="J833" s="473"/>
      <c r="K833" s="476">
        <f t="shared" si="37"/>
        <v>0</v>
      </c>
      <c r="P833" s="224"/>
      <c r="Q833" s="473"/>
      <c r="R833" s="476">
        <f t="shared" si="38"/>
        <v>0</v>
      </c>
    </row>
    <row r="834" spans="2:18" ht="15" customHeight="1" x14ac:dyDescent="0.2">
      <c r="B834" s="224"/>
      <c r="C834" s="473"/>
      <c r="D834" s="476">
        <f t="shared" si="36"/>
        <v>0</v>
      </c>
      <c r="I834" s="224"/>
      <c r="J834" s="473"/>
      <c r="K834" s="476">
        <f t="shared" si="37"/>
        <v>0</v>
      </c>
      <c r="P834" s="224"/>
      <c r="Q834" s="473"/>
      <c r="R834" s="476">
        <f t="shared" si="38"/>
        <v>0</v>
      </c>
    </row>
    <row r="835" spans="2:18" ht="15" customHeight="1" x14ac:dyDescent="0.2">
      <c r="B835" s="224"/>
      <c r="C835" s="473"/>
      <c r="D835" s="476">
        <f t="shared" si="36"/>
        <v>0</v>
      </c>
      <c r="I835" s="224"/>
      <c r="J835" s="473"/>
      <c r="K835" s="476">
        <f t="shared" si="37"/>
        <v>0</v>
      </c>
      <c r="P835" s="224"/>
      <c r="Q835" s="473"/>
      <c r="R835" s="476">
        <f t="shared" si="38"/>
        <v>0</v>
      </c>
    </row>
    <row r="836" spans="2:18" ht="15" customHeight="1" x14ac:dyDescent="0.2">
      <c r="B836" s="224"/>
      <c r="C836" s="473"/>
      <c r="D836" s="476">
        <f t="shared" si="36"/>
        <v>0</v>
      </c>
      <c r="I836" s="224"/>
      <c r="J836" s="473"/>
      <c r="K836" s="476">
        <f t="shared" si="37"/>
        <v>0</v>
      </c>
      <c r="P836" s="224"/>
      <c r="Q836" s="473"/>
      <c r="R836" s="476">
        <f t="shared" si="38"/>
        <v>0</v>
      </c>
    </row>
    <row r="837" spans="2:18" ht="15" customHeight="1" x14ac:dyDescent="0.2">
      <c r="B837" s="224"/>
      <c r="C837" s="473"/>
      <c r="D837" s="476">
        <f t="shared" si="36"/>
        <v>0</v>
      </c>
      <c r="I837" s="224"/>
      <c r="J837" s="473"/>
      <c r="K837" s="476">
        <f t="shared" si="37"/>
        <v>0</v>
      </c>
      <c r="P837" s="224"/>
      <c r="Q837" s="473"/>
      <c r="R837" s="476">
        <f t="shared" si="38"/>
        <v>0</v>
      </c>
    </row>
    <row r="838" spans="2:18" ht="15" customHeight="1" x14ac:dyDescent="0.2">
      <c r="B838" s="224"/>
      <c r="C838" s="473"/>
      <c r="D838" s="476">
        <f t="shared" si="36"/>
        <v>0</v>
      </c>
      <c r="I838" s="224"/>
      <c r="J838" s="473"/>
      <c r="K838" s="476">
        <f t="shared" si="37"/>
        <v>0</v>
      </c>
      <c r="P838" s="224"/>
      <c r="Q838" s="473"/>
      <c r="R838" s="476">
        <f t="shared" si="38"/>
        <v>0</v>
      </c>
    </row>
    <row r="839" spans="2:18" ht="15" customHeight="1" x14ac:dyDescent="0.2">
      <c r="B839" s="224"/>
      <c r="C839" s="473"/>
      <c r="D839" s="476">
        <f t="shared" si="36"/>
        <v>0</v>
      </c>
      <c r="I839" s="224"/>
      <c r="J839" s="473"/>
      <c r="K839" s="476">
        <f t="shared" si="37"/>
        <v>0</v>
      </c>
      <c r="P839" s="224"/>
      <c r="Q839" s="473"/>
      <c r="R839" s="476">
        <f t="shared" si="38"/>
        <v>0</v>
      </c>
    </row>
    <row r="840" spans="2:18" ht="15" customHeight="1" x14ac:dyDescent="0.2">
      <c r="B840" s="224"/>
      <c r="C840" s="473"/>
      <c r="D840" s="476">
        <f t="shared" si="36"/>
        <v>0</v>
      </c>
      <c r="I840" s="224"/>
      <c r="J840" s="473"/>
      <c r="K840" s="476">
        <f t="shared" si="37"/>
        <v>0</v>
      </c>
      <c r="P840" s="224"/>
      <c r="Q840" s="473"/>
      <c r="R840" s="476">
        <f t="shared" si="38"/>
        <v>0</v>
      </c>
    </row>
    <row r="841" spans="2:18" ht="15" customHeight="1" x14ac:dyDescent="0.2">
      <c r="B841" s="224"/>
      <c r="C841" s="473"/>
      <c r="D841" s="476">
        <f t="shared" si="36"/>
        <v>0</v>
      </c>
      <c r="I841" s="224"/>
      <c r="J841" s="473"/>
      <c r="K841" s="476">
        <f t="shared" si="37"/>
        <v>0</v>
      </c>
      <c r="P841" s="224"/>
      <c r="Q841" s="473"/>
      <c r="R841" s="476">
        <f t="shared" si="38"/>
        <v>0</v>
      </c>
    </row>
    <row r="842" spans="2:18" ht="15" customHeight="1" x14ac:dyDescent="0.2">
      <c r="B842" s="224"/>
      <c r="C842" s="473"/>
      <c r="D842" s="476">
        <f t="shared" si="36"/>
        <v>0</v>
      </c>
      <c r="I842" s="224"/>
      <c r="J842" s="473"/>
      <c r="K842" s="476">
        <f t="shared" si="37"/>
        <v>0</v>
      </c>
      <c r="P842" s="224"/>
      <c r="Q842" s="473"/>
      <c r="R842" s="476">
        <f t="shared" si="38"/>
        <v>0</v>
      </c>
    </row>
    <row r="843" spans="2:18" ht="15" customHeight="1" x14ac:dyDescent="0.2">
      <c r="B843" s="224"/>
      <c r="C843" s="473"/>
      <c r="D843" s="476">
        <f t="shared" si="36"/>
        <v>0</v>
      </c>
      <c r="I843" s="224"/>
      <c r="J843" s="473"/>
      <c r="K843" s="476">
        <f t="shared" si="37"/>
        <v>0</v>
      </c>
      <c r="P843" s="224"/>
      <c r="Q843" s="473"/>
      <c r="R843" s="476">
        <f t="shared" si="38"/>
        <v>0</v>
      </c>
    </row>
    <row r="844" spans="2:18" ht="15" customHeight="1" x14ac:dyDescent="0.2">
      <c r="B844" s="224"/>
      <c r="C844" s="473"/>
      <c r="D844" s="476">
        <f t="shared" si="36"/>
        <v>0</v>
      </c>
      <c r="I844" s="224"/>
      <c r="J844" s="473"/>
      <c r="K844" s="476">
        <f t="shared" si="37"/>
        <v>0</v>
      </c>
      <c r="P844" s="224"/>
      <c r="Q844" s="473"/>
      <c r="R844" s="476">
        <f t="shared" si="38"/>
        <v>0</v>
      </c>
    </row>
    <row r="845" spans="2:18" ht="15" customHeight="1" x14ac:dyDescent="0.2">
      <c r="B845" s="224"/>
      <c r="C845" s="473"/>
      <c r="D845" s="476">
        <f t="shared" si="36"/>
        <v>0</v>
      </c>
      <c r="I845" s="224"/>
      <c r="J845" s="473"/>
      <c r="K845" s="476">
        <f t="shared" si="37"/>
        <v>0</v>
      </c>
      <c r="P845" s="224"/>
      <c r="Q845" s="473"/>
      <c r="R845" s="476">
        <f t="shared" si="38"/>
        <v>0</v>
      </c>
    </row>
    <row r="846" spans="2:18" ht="15" customHeight="1" x14ac:dyDescent="0.2">
      <c r="B846" s="224"/>
      <c r="C846" s="473"/>
      <c r="D846" s="476">
        <f t="shared" si="36"/>
        <v>0</v>
      </c>
      <c r="I846" s="224"/>
      <c r="J846" s="473"/>
      <c r="K846" s="476">
        <f t="shared" si="37"/>
        <v>0</v>
      </c>
      <c r="P846" s="224"/>
      <c r="Q846" s="473"/>
      <c r="R846" s="476">
        <f t="shared" si="38"/>
        <v>0</v>
      </c>
    </row>
    <row r="847" spans="2:18" ht="15" customHeight="1" x14ac:dyDescent="0.2">
      <c r="B847" s="224"/>
      <c r="C847" s="473"/>
      <c r="D847" s="476">
        <f t="shared" si="36"/>
        <v>0</v>
      </c>
      <c r="I847" s="224"/>
      <c r="J847" s="473"/>
      <c r="K847" s="476">
        <f t="shared" si="37"/>
        <v>0</v>
      </c>
      <c r="P847" s="224"/>
      <c r="Q847" s="473"/>
      <c r="R847" s="476">
        <f t="shared" si="38"/>
        <v>0</v>
      </c>
    </row>
    <row r="848" spans="2:18" ht="15" customHeight="1" x14ac:dyDescent="0.2">
      <c r="B848" s="224"/>
      <c r="C848" s="473"/>
      <c r="D848" s="476">
        <f t="shared" si="36"/>
        <v>0</v>
      </c>
      <c r="I848" s="224"/>
      <c r="J848" s="473"/>
      <c r="K848" s="476">
        <f t="shared" si="37"/>
        <v>0</v>
      </c>
      <c r="P848" s="224"/>
      <c r="Q848" s="473"/>
      <c r="R848" s="476">
        <f t="shared" si="38"/>
        <v>0</v>
      </c>
    </row>
    <row r="849" spans="2:18" ht="15" customHeight="1" x14ac:dyDescent="0.2">
      <c r="B849" s="224"/>
      <c r="C849" s="473"/>
      <c r="D849" s="476">
        <f t="shared" si="36"/>
        <v>0</v>
      </c>
      <c r="I849" s="224"/>
      <c r="J849" s="473"/>
      <c r="K849" s="476">
        <f t="shared" si="37"/>
        <v>0</v>
      </c>
      <c r="P849" s="224"/>
      <c r="Q849" s="473"/>
      <c r="R849" s="476">
        <f t="shared" si="38"/>
        <v>0</v>
      </c>
    </row>
    <row r="850" spans="2:18" ht="15" customHeight="1" x14ac:dyDescent="0.2">
      <c r="B850" s="224"/>
      <c r="C850" s="473"/>
      <c r="D850" s="476">
        <f t="shared" ref="D850:D913" si="39">C850/1000</f>
        <v>0</v>
      </c>
      <c r="I850" s="224"/>
      <c r="J850" s="473"/>
      <c r="K850" s="476">
        <f t="shared" ref="K850:K913" si="40">J850/1000</f>
        <v>0</v>
      </c>
      <c r="P850" s="224"/>
      <c r="Q850" s="473"/>
      <c r="R850" s="476">
        <f t="shared" ref="R850:R913" si="41">Q850/1000</f>
        <v>0</v>
      </c>
    </row>
    <row r="851" spans="2:18" ht="15" customHeight="1" x14ac:dyDescent="0.2">
      <c r="B851" s="224"/>
      <c r="C851" s="473"/>
      <c r="D851" s="476">
        <f t="shared" si="39"/>
        <v>0</v>
      </c>
      <c r="I851" s="224"/>
      <c r="J851" s="473"/>
      <c r="K851" s="476">
        <f t="shared" si="40"/>
        <v>0</v>
      </c>
      <c r="P851" s="224"/>
      <c r="Q851" s="473"/>
      <c r="R851" s="476">
        <f t="shared" si="41"/>
        <v>0</v>
      </c>
    </row>
    <row r="852" spans="2:18" ht="15" customHeight="1" x14ac:dyDescent="0.2">
      <c r="B852" s="224"/>
      <c r="C852" s="473"/>
      <c r="D852" s="476">
        <f t="shared" si="39"/>
        <v>0</v>
      </c>
      <c r="I852" s="224"/>
      <c r="J852" s="473"/>
      <c r="K852" s="476">
        <f t="shared" si="40"/>
        <v>0</v>
      </c>
      <c r="P852" s="224"/>
      <c r="Q852" s="473"/>
      <c r="R852" s="476">
        <f t="shared" si="41"/>
        <v>0</v>
      </c>
    </row>
    <row r="853" spans="2:18" ht="15" customHeight="1" x14ac:dyDescent="0.2">
      <c r="B853" s="224"/>
      <c r="C853" s="473"/>
      <c r="D853" s="476">
        <f t="shared" si="39"/>
        <v>0</v>
      </c>
      <c r="I853" s="224"/>
      <c r="J853" s="473"/>
      <c r="K853" s="476">
        <f t="shared" si="40"/>
        <v>0</v>
      </c>
      <c r="P853" s="224"/>
      <c r="Q853" s="473"/>
      <c r="R853" s="476">
        <f t="shared" si="41"/>
        <v>0</v>
      </c>
    </row>
    <row r="854" spans="2:18" ht="15" customHeight="1" x14ac:dyDescent="0.2">
      <c r="B854" s="224"/>
      <c r="C854" s="473"/>
      <c r="D854" s="476">
        <f t="shared" si="39"/>
        <v>0</v>
      </c>
      <c r="I854" s="224"/>
      <c r="J854" s="473"/>
      <c r="K854" s="476">
        <f t="shared" si="40"/>
        <v>0</v>
      </c>
      <c r="P854" s="224"/>
      <c r="Q854" s="473"/>
      <c r="R854" s="476">
        <f t="shared" si="41"/>
        <v>0</v>
      </c>
    </row>
    <row r="855" spans="2:18" ht="15" customHeight="1" x14ac:dyDescent="0.2">
      <c r="B855" s="224"/>
      <c r="C855" s="473"/>
      <c r="D855" s="476">
        <f t="shared" si="39"/>
        <v>0</v>
      </c>
      <c r="I855" s="224"/>
      <c r="J855" s="473"/>
      <c r="K855" s="476">
        <f t="shared" si="40"/>
        <v>0</v>
      </c>
      <c r="P855" s="224"/>
      <c r="Q855" s="473"/>
      <c r="R855" s="476">
        <f t="shared" si="41"/>
        <v>0</v>
      </c>
    </row>
    <row r="856" spans="2:18" ht="15" customHeight="1" x14ac:dyDescent="0.2">
      <c r="B856" s="224"/>
      <c r="C856" s="473"/>
      <c r="D856" s="476">
        <f t="shared" si="39"/>
        <v>0</v>
      </c>
      <c r="I856" s="224"/>
      <c r="J856" s="473"/>
      <c r="K856" s="476">
        <f t="shared" si="40"/>
        <v>0</v>
      </c>
      <c r="P856" s="224"/>
      <c r="Q856" s="473"/>
      <c r="R856" s="476">
        <f t="shared" si="41"/>
        <v>0</v>
      </c>
    </row>
    <row r="857" spans="2:18" ht="15" customHeight="1" x14ac:dyDescent="0.2">
      <c r="B857" s="224"/>
      <c r="C857" s="473"/>
      <c r="D857" s="476">
        <f t="shared" si="39"/>
        <v>0</v>
      </c>
      <c r="I857" s="224"/>
      <c r="J857" s="473"/>
      <c r="K857" s="476">
        <f t="shared" si="40"/>
        <v>0</v>
      </c>
      <c r="P857" s="224"/>
      <c r="Q857" s="473"/>
      <c r="R857" s="476">
        <f t="shared" si="41"/>
        <v>0</v>
      </c>
    </row>
    <row r="858" spans="2:18" ht="15" customHeight="1" x14ac:dyDescent="0.2">
      <c r="B858" s="224"/>
      <c r="C858" s="473"/>
      <c r="D858" s="476">
        <f t="shared" si="39"/>
        <v>0</v>
      </c>
      <c r="I858" s="224"/>
      <c r="J858" s="473"/>
      <c r="K858" s="476">
        <f t="shared" si="40"/>
        <v>0</v>
      </c>
      <c r="P858" s="224"/>
      <c r="Q858" s="473"/>
      <c r="R858" s="476">
        <f t="shared" si="41"/>
        <v>0</v>
      </c>
    </row>
    <row r="859" spans="2:18" ht="15" customHeight="1" x14ac:dyDescent="0.2">
      <c r="B859" s="224"/>
      <c r="C859" s="473"/>
      <c r="D859" s="476">
        <f t="shared" si="39"/>
        <v>0</v>
      </c>
      <c r="I859" s="224"/>
      <c r="J859" s="473"/>
      <c r="K859" s="476">
        <f t="shared" si="40"/>
        <v>0</v>
      </c>
      <c r="P859" s="224"/>
      <c r="Q859" s="473"/>
      <c r="R859" s="476">
        <f t="shared" si="41"/>
        <v>0</v>
      </c>
    </row>
    <row r="860" spans="2:18" ht="15" customHeight="1" x14ac:dyDescent="0.2">
      <c r="B860" s="224"/>
      <c r="C860" s="473"/>
      <c r="D860" s="476">
        <f t="shared" si="39"/>
        <v>0</v>
      </c>
      <c r="I860" s="224"/>
      <c r="J860" s="473"/>
      <c r="K860" s="476">
        <f t="shared" si="40"/>
        <v>0</v>
      </c>
      <c r="P860" s="224"/>
      <c r="Q860" s="473"/>
      <c r="R860" s="476">
        <f t="shared" si="41"/>
        <v>0</v>
      </c>
    </row>
    <row r="861" spans="2:18" ht="15" customHeight="1" x14ac:dyDescent="0.2">
      <c r="B861" s="224"/>
      <c r="C861" s="473"/>
      <c r="D861" s="476">
        <f t="shared" si="39"/>
        <v>0</v>
      </c>
      <c r="I861" s="224"/>
      <c r="J861" s="473"/>
      <c r="K861" s="476">
        <f t="shared" si="40"/>
        <v>0</v>
      </c>
      <c r="P861" s="224"/>
      <c r="Q861" s="473"/>
      <c r="R861" s="476">
        <f t="shared" si="41"/>
        <v>0</v>
      </c>
    </row>
    <row r="862" spans="2:18" ht="15" customHeight="1" x14ac:dyDescent="0.2">
      <c r="B862" s="224"/>
      <c r="C862" s="473"/>
      <c r="D862" s="476">
        <f t="shared" si="39"/>
        <v>0</v>
      </c>
      <c r="I862" s="224"/>
      <c r="J862" s="473"/>
      <c r="K862" s="476">
        <f t="shared" si="40"/>
        <v>0</v>
      </c>
      <c r="P862" s="224"/>
      <c r="Q862" s="473"/>
      <c r="R862" s="476">
        <f t="shared" si="41"/>
        <v>0</v>
      </c>
    </row>
    <row r="863" spans="2:18" ht="15" customHeight="1" x14ac:dyDescent="0.2">
      <c r="B863" s="224"/>
      <c r="C863" s="473"/>
      <c r="D863" s="476">
        <f t="shared" si="39"/>
        <v>0</v>
      </c>
      <c r="I863" s="224"/>
      <c r="J863" s="473"/>
      <c r="K863" s="476">
        <f t="shared" si="40"/>
        <v>0</v>
      </c>
      <c r="P863" s="224"/>
      <c r="Q863" s="473"/>
      <c r="R863" s="476">
        <f t="shared" si="41"/>
        <v>0</v>
      </c>
    </row>
    <row r="864" spans="2:18" ht="15" customHeight="1" x14ac:dyDescent="0.2">
      <c r="B864" s="224"/>
      <c r="C864" s="473"/>
      <c r="D864" s="476">
        <f t="shared" si="39"/>
        <v>0</v>
      </c>
      <c r="I864" s="224"/>
      <c r="J864" s="473"/>
      <c r="K864" s="476">
        <f t="shared" si="40"/>
        <v>0</v>
      </c>
      <c r="P864" s="224"/>
      <c r="Q864" s="473"/>
      <c r="R864" s="476">
        <f t="shared" si="41"/>
        <v>0</v>
      </c>
    </row>
    <row r="865" spans="2:18" ht="15" customHeight="1" x14ac:dyDescent="0.2">
      <c r="B865" s="224"/>
      <c r="C865" s="473"/>
      <c r="D865" s="476">
        <f t="shared" si="39"/>
        <v>0</v>
      </c>
      <c r="I865" s="224"/>
      <c r="J865" s="473"/>
      <c r="K865" s="476">
        <f t="shared" si="40"/>
        <v>0</v>
      </c>
      <c r="P865" s="224"/>
      <c r="Q865" s="473"/>
      <c r="R865" s="476">
        <f t="shared" si="41"/>
        <v>0</v>
      </c>
    </row>
    <row r="866" spans="2:18" ht="15" customHeight="1" x14ac:dyDescent="0.2">
      <c r="B866" s="224"/>
      <c r="C866" s="473"/>
      <c r="D866" s="476">
        <f t="shared" si="39"/>
        <v>0</v>
      </c>
      <c r="I866" s="224"/>
      <c r="J866" s="473"/>
      <c r="K866" s="476">
        <f t="shared" si="40"/>
        <v>0</v>
      </c>
      <c r="P866" s="224"/>
      <c r="Q866" s="473"/>
      <c r="R866" s="476">
        <f t="shared" si="41"/>
        <v>0</v>
      </c>
    </row>
    <row r="867" spans="2:18" ht="15" customHeight="1" x14ac:dyDescent="0.2">
      <c r="B867" s="224"/>
      <c r="C867" s="473"/>
      <c r="D867" s="476">
        <f t="shared" si="39"/>
        <v>0</v>
      </c>
      <c r="I867" s="224"/>
      <c r="J867" s="473"/>
      <c r="K867" s="476">
        <f t="shared" si="40"/>
        <v>0</v>
      </c>
      <c r="P867" s="224"/>
      <c r="Q867" s="473"/>
      <c r="R867" s="476">
        <f t="shared" si="41"/>
        <v>0</v>
      </c>
    </row>
    <row r="868" spans="2:18" ht="15" customHeight="1" x14ac:dyDescent="0.2">
      <c r="B868" s="224"/>
      <c r="C868" s="473"/>
      <c r="D868" s="476">
        <f t="shared" si="39"/>
        <v>0</v>
      </c>
      <c r="I868" s="224"/>
      <c r="J868" s="473"/>
      <c r="K868" s="476">
        <f t="shared" si="40"/>
        <v>0</v>
      </c>
      <c r="P868" s="224"/>
      <c r="Q868" s="473"/>
      <c r="R868" s="476">
        <f t="shared" si="41"/>
        <v>0</v>
      </c>
    </row>
    <row r="869" spans="2:18" ht="15" customHeight="1" x14ac:dyDescent="0.2">
      <c r="B869" s="224"/>
      <c r="C869" s="473"/>
      <c r="D869" s="476">
        <f t="shared" si="39"/>
        <v>0</v>
      </c>
      <c r="I869" s="224"/>
      <c r="J869" s="473"/>
      <c r="K869" s="476">
        <f t="shared" si="40"/>
        <v>0</v>
      </c>
      <c r="P869" s="224"/>
      <c r="Q869" s="473"/>
      <c r="R869" s="476">
        <f t="shared" si="41"/>
        <v>0</v>
      </c>
    </row>
    <row r="870" spans="2:18" ht="15" customHeight="1" x14ac:dyDescent="0.2">
      <c r="B870" s="224"/>
      <c r="C870" s="473"/>
      <c r="D870" s="476">
        <f t="shared" si="39"/>
        <v>0</v>
      </c>
      <c r="I870" s="224"/>
      <c r="J870" s="473"/>
      <c r="K870" s="476">
        <f t="shared" si="40"/>
        <v>0</v>
      </c>
      <c r="P870" s="224"/>
      <c r="Q870" s="473"/>
      <c r="R870" s="476">
        <f t="shared" si="41"/>
        <v>0</v>
      </c>
    </row>
    <row r="871" spans="2:18" ht="15" customHeight="1" x14ac:dyDescent="0.2">
      <c r="B871" s="224"/>
      <c r="C871" s="473"/>
      <c r="D871" s="476">
        <f t="shared" si="39"/>
        <v>0</v>
      </c>
      <c r="I871" s="224"/>
      <c r="J871" s="473"/>
      <c r="K871" s="476">
        <f t="shared" si="40"/>
        <v>0</v>
      </c>
      <c r="P871" s="224"/>
      <c r="Q871" s="473"/>
      <c r="R871" s="476">
        <f t="shared" si="41"/>
        <v>0</v>
      </c>
    </row>
    <row r="872" spans="2:18" ht="15" customHeight="1" x14ac:dyDescent="0.2">
      <c r="B872" s="224"/>
      <c r="C872" s="473"/>
      <c r="D872" s="476">
        <f t="shared" si="39"/>
        <v>0</v>
      </c>
      <c r="I872" s="224"/>
      <c r="J872" s="473"/>
      <c r="K872" s="476">
        <f t="shared" si="40"/>
        <v>0</v>
      </c>
      <c r="P872" s="224"/>
      <c r="Q872" s="473"/>
      <c r="R872" s="476">
        <f t="shared" si="41"/>
        <v>0</v>
      </c>
    </row>
    <row r="873" spans="2:18" ht="15" customHeight="1" x14ac:dyDescent="0.2">
      <c r="B873" s="224"/>
      <c r="C873" s="473"/>
      <c r="D873" s="476">
        <f t="shared" si="39"/>
        <v>0</v>
      </c>
      <c r="I873" s="224"/>
      <c r="J873" s="473"/>
      <c r="K873" s="476">
        <f t="shared" si="40"/>
        <v>0</v>
      </c>
      <c r="P873" s="224"/>
      <c r="Q873" s="473"/>
      <c r="R873" s="476">
        <f t="shared" si="41"/>
        <v>0</v>
      </c>
    </row>
    <row r="874" spans="2:18" ht="15" customHeight="1" x14ac:dyDescent="0.2">
      <c r="B874" s="224"/>
      <c r="C874" s="473"/>
      <c r="D874" s="476">
        <f t="shared" si="39"/>
        <v>0</v>
      </c>
      <c r="I874" s="224"/>
      <c r="J874" s="473"/>
      <c r="K874" s="476">
        <f t="shared" si="40"/>
        <v>0</v>
      </c>
      <c r="P874" s="224"/>
      <c r="Q874" s="473"/>
      <c r="R874" s="476">
        <f t="shared" si="41"/>
        <v>0</v>
      </c>
    </row>
    <row r="875" spans="2:18" ht="15" customHeight="1" x14ac:dyDescent="0.2">
      <c r="B875" s="224"/>
      <c r="C875" s="473"/>
      <c r="D875" s="476">
        <f t="shared" si="39"/>
        <v>0</v>
      </c>
      <c r="I875" s="224"/>
      <c r="J875" s="473"/>
      <c r="K875" s="476">
        <f t="shared" si="40"/>
        <v>0</v>
      </c>
      <c r="P875" s="224"/>
      <c r="Q875" s="473"/>
      <c r="R875" s="476">
        <f t="shared" si="41"/>
        <v>0</v>
      </c>
    </row>
    <row r="876" spans="2:18" ht="15" customHeight="1" x14ac:dyDescent="0.2">
      <c r="B876" s="224"/>
      <c r="C876" s="473"/>
      <c r="D876" s="476">
        <f t="shared" si="39"/>
        <v>0</v>
      </c>
      <c r="I876" s="224"/>
      <c r="J876" s="473"/>
      <c r="K876" s="476">
        <f t="shared" si="40"/>
        <v>0</v>
      </c>
      <c r="P876" s="224"/>
      <c r="Q876" s="473"/>
      <c r="R876" s="476">
        <f t="shared" si="41"/>
        <v>0</v>
      </c>
    </row>
    <row r="877" spans="2:18" ht="15" customHeight="1" x14ac:dyDescent="0.2">
      <c r="B877" s="224"/>
      <c r="C877" s="473"/>
      <c r="D877" s="476">
        <f t="shared" si="39"/>
        <v>0</v>
      </c>
      <c r="I877" s="224"/>
      <c r="J877" s="473"/>
      <c r="K877" s="476">
        <f t="shared" si="40"/>
        <v>0</v>
      </c>
      <c r="P877" s="224"/>
      <c r="Q877" s="473"/>
      <c r="R877" s="476">
        <f t="shared" si="41"/>
        <v>0</v>
      </c>
    </row>
    <row r="878" spans="2:18" ht="15" customHeight="1" x14ac:dyDescent="0.2">
      <c r="B878" s="224"/>
      <c r="C878" s="473"/>
      <c r="D878" s="476">
        <f t="shared" si="39"/>
        <v>0</v>
      </c>
      <c r="I878" s="224"/>
      <c r="J878" s="473"/>
      <c r="K878" s="476">
        <f t="shared" si="40"/>
        <v>0</v>
      </c>
      <c r="P878" s="224"/>
      <c r="Q878" s="473"/>
      <c r="R878" s="476">
        <f t="shared" si="41"/>
        <v>0</v>
      </c>
    </row>
    <row r="879" spans="2:18" ht="15" customHeight="1" x14ac:dyDescent="0.2">
      <c r="B879" s="224"/>
      <c r="C879" s="473"/>
      <c r="D879" s="476">
        <f t="shared" si="39"/>
        <v>0</v>
      </c>
      <c r="I879" s="224"/>
      <c r="J879" s="473"/>
      <c r="K879" s="476">
        <f t="shared" si="40"/>
        <v>0</v>
      </c>
      <c r="P879" s="224"/>
      <c r="Q879" s="473"/>
      <c r="R879" s="476">
        <f t="shared" si="41"/>
        <v>0</v>
      </c>
    </row>
    <row r="880" spans="2:18" ht="15" customHeight="1" x14ac:dyDescent="0.2">
      <c r="B880" s="224"/>
      <c r="C880" s="473"/>
      <c r="D880" s="476">
        <f t="shared" si="39"/>
        <v>0</v>
      </c>
      <c r="I880" s="224"/>
      <c r="J880" s="473"/>
      <c r="K880" s="476">
        <f t="shared" si="40"/>
        <v>0</v>
      </c>
      <c r="P880" s="224"/>
      <c r="Q880" s="473"/>
      <c r="R880" s="476">
        <f t="shared" si="41"/>
        <v>0</v>
      </c>
    </row>
    <row r="881" spans="2:18" ht="15" customHeight="1" x14ac:dyDescent="0.2">
      <c r="B881" s="224"/>
      <c r="C881" s="473"/>
      <c r="D881" s="476">
        <f t="shared" si="39"/>
        <v>0</v>
      </c>
      <c r="I881" s="224"/>
      <c r="J881" s="473"/>
      <c r="K881" s="476">
        <f t="shared" si="40"/>
        <v>0</v>
      </c>
      <c r="P881" s="224"/>
      <c r="Q881" s="473"/>
      <c r="R881" s="476">
        <f t="shared" si="41"/>
        <v>0</v>
      </c>
    </row>
    <row r="882" spans="2:18" ht="15" customHeight="1" x14ac:dyDescent="0.2">
      <c r="B882" s="224"/>
      <c r="C882" s="473"/>
      <c r="D882" s="476">
        <f t="shared" si="39"/>
        <v>0</v>
      </c>
      <c r="I882" s="224"/>
      <c r="J882" s="473"/>
      <c r="K882" s="476">
        <f t="shared" si="40"/>
        <v>0</v>
      </c>
      <c r="P882" s="224"/>
      <c r="Q882" s="473"/>
      <c r="R882" s="476">
        <f t="shared" si="41"/>
        <v>0</v>
      </c>
    </row>
    <row r="883" spans="2:18" ht="15" customHeight="1" x14ac:dyDescent="0.2">
      <c r="B883" s="224"/>
      <c r="C883" s="473"/>
      <c r="D883" s="476">
        <f t="shared" si="39"/>
        <v>0</v>
      </c>
      <c r="I883" s="224"/>
      <c r="J883" s="473"/>
      <c r="K883" s="476">
        <f t="shared" si="40"/>
        <v>0</v>
      </c>
      <c r="P883" s="224"/>
      <c r="Q883" s="473"/>
      <c r="R883" s="476">
        <f t="shared" si="41"/>
        <v>0</v>
      </c>
    </row>
    <row r="884" spans="2:18" ht="15" customHeight="1" x14ac:dyDescent="0.2">
      <c r="B884" s="224"/>
      <c r="C884" s="473"/>
      <c r="D884" s="476">
        <f t="shared" si="39"/>
        <v>0</v>
      </c>
      <c r="I884" s="224"/>
      <c r="J884" s="473"/>
      <c r="K884" s="476">
        <f t="shared" si="40"/>
        <v>0</v>
      </c>
      <c r="P884" s="224"/>
      <c r="Q884" s="473"/>
      <c r="R884" s="476">
        <f t="shared" si="41"/>
        <v>0</v>
      </c>
    </row>
    <row r="885" spans="2:18" ht="15" customHeight="1" x14ac:dyDescent="0.2">
      <c r="B885" s="224"/>
      <c r="C885" s="473"/>
      <c r="D885" s="476">
        <f t="shared" si="39"/>
        <v>0</v>
      </c>
      <c r="I885" s="224"/>
      <c r="J885" s="473"/>
      <c r="K885" s="476">
        <f t="shared" si="40"/>
        <v>0</v>
      </c>
      <c r="P885" s="224"/>
      <c r="Q885" s="473"/>
      <c r="R885" s="476">
        <f t="shared" si="41"/>
        <v>0</v>
      </c>
    </row>
    <row r="886" spans="2:18" ht="15" customHeight="1" x14ac:dyDescent="0.2">
      <c r="B886" s="224"/>
      <c r="C886" s="473"/>
      <c r="D886" s="476">
        <f t="shared" si="39"/>
        <v>0</v>
      </c>
      <c r="I886" s="224"/>
      <c r="J886" s="473"/>
      <c r="K886" s="476">
        <f t="shared" si="40"/>
        <v>0</v>
      </c>
      <c r="P886" s="224"/>
      <c r="Q886" s="473"/>
      <c r="R886" s="476">
        <f t="shared" si="41"/>
        <v>0</v>
      </c>
    </row>
    <row r="887" spans="2:18" ht="15" customHeight="1" x14ac:dyDescent="0.2">
      <c r="B887" s="224"/>
      <c r="C887" s="473"/>
      <c r="D887" s="476">
        <f t="shared" si="39"/>
        <v>0</v>
      </c>
      <c r="I887" s="224"/>
      <c r="J887" s="473"/>
      <c r="K887" s="476">
        <f t="shared" si="40"/>
        <v>0</v>
      </c>
      <c r="P887" s="224"/>
      <c r="Q887" s="473"/>
      <c r="R887" s="476">
        <f t="shared" si="41"/>
        <v>0</v>
      </c>
    </row>
    <row r="888" spans="2:18" ht="15" customHeight="1" x14ac:dyDescent="0.2">
      <c r="B888" s="224"/>
      <c r="C888" s="473"/>
      <c r="D888" s="476">
        <f t="shared" si="39"/>
        <v>0</v>
      </c>
      <c r="I888" s="224"/>
      <c r="J888" s="473"/>
      <c r="K888" s="476">
        <f t="shared" si="40"/>
        <v>0</v>
      </c>
      <c r="P888" s="224"/>
      <c r="Q888" s="473"/>
      <c r="R888" s="476">
        <f t="shared" si="41"/>
        <v>0</v>
      </c>
    </row>
    <row r="889" spans="2:18" ht="15" customHeight="1" x14ac:dyDescent="0.2">
      <c r="B889" s="224"/>
      <c r="C889" s="473"/>
      <c r="D889" s="476">
        <f t="shared" si="39"/>
        <v>0</v>
      </c>
      <c r="I889" s="224"/>
      <c r="J889" s="473"/>
      <c r="K889" s="476">
        <f t="shared" si="40"/>
        <v>0</v>
      </c>
      <c r="P889" s="224"/>
      <c r="Q889" s="473"/>
      <c r="R889" s="476">
        <f t="shared" si="41"/>
        <v>0</v>
      </c>
    </row>
    <row r="890" spans="2:18" ht="15" customHeight="1" x14ac:dyDescent="0.2">
      <c r="B890" s="224"/>
      <c r="C890" s="473"/>
      <c r="D890" s="476">
        <f t="shared" si="39"/>
        <v>0</v>
      </c>
      <c r="I890" s="224"/>
      <c r="J890" s="473"/>
      <c r="K890" s="476">
        <f t="shared" si="40"/>
        <v>0</v>
      </c>
      <c r="P890" s="224"/>
      <c r="Q890" s="473"/>
      <c r="R890" s="476">
        <f t="shared" si="41"/>
        <v>0</v>
      </c>
    </row>
    <row r="891" spans="2:18" ht="15" customHeight="1" x14ac:dyDescent="0.2">
      <c r="B891" s="224"/>
      <c r="C891" s="473"/>
      <c r="D891" s="476">
        <f t="shared" si="39"/>
        <v>0</v>
      </c>
      <c r="I891" s="224"/>
      <c r="J891" s="473"/>
      <c r="K891" s="476">
        <f t="shared" si="40"/>
        <v>0</v>
      </c>
      <c r="P891" s="224"/>
      <c r="Q891" s="473"/>
      <c r="R891" s="476">
        <f t="shared" si="41"/>
        <v>0</v>
      </c>
    </row>
    <row r="892" spans="2:18" ht="15" customHeight="1" x14ac:dyDescent="0.2">
      <c r="B892" s="224"/>
      <c r="C892" s="473"/>
      <c r="D892" s="476">
        <f t="shared" si="39"/>
        <v>0</v>
      </c>
      <c r="I892" s="224"/>
      <c r="J892" s="473"/>
      <c r="K892" s="476">
        <f t="shared" si="40"/>
        <v>0</v>
      </c>
      <c r="P892" s="224"/>
      <c r="Q892" s="473"/>
      <c r="R892" s="476">
        <f t="shared" si="41"/>
        <v>0</v>
      </c>
    </row>
    <row r="893" spans="2:18" ht="15" customHeight="1" x14ac:dyDescent="0.2">
      <c r="B893" s="224"/>
      <c r="C893" s="473"/>
      <c r="D893" s="476">
        <f t="shared" si="39"/>
        <v>0</v>
      </c>
      <c r="I893" s="224"/>
      <c r="J893" s="473"/>
      <c r="K893" s="476">
        <f t="shared" si="40"/>
        <v>0</v>
      </c>
      <c r="P893" s="224"/>
      <c r="Q893" s="473"/>
      <c r="R893" s="476">
        <f t="shared" si="41"/>
        <v>0</v>
      </c>
    </row>
    <row r="894" spans="2:18" ht="15" customHeight="1" x14ac:dyDescent="0.2">
      <c r="B894" s="224"/>
      <c r="C894" s="473"/>
      <c r="D894" s="476">
        <f t="shared" si="39"/>
        <v>0</v>
      </c>
      <c r="I894" s="224"/>
      <c r="J894" s="473"/>
      <c r="K894" s="476">
        <f t="shared" si="40"/>
        <v>0</v>
      </c>
      <c r="P894" s="224"/>
      <c r="Q894" s="473"/>
      <c r="R894" s="476">
        <f t="shared" si="41"/>
        <v>0</v>
      </c>
    </row>
    <row r="895" spans="2:18" ht="15" customHeight="1" x14ac:dyDescent="0.2">
      <c r="B895" s="224"/>
      <c r="C895" s="473"/>
      <c r="D895" s="476">
        <f t="shared" si="39"/>
        <v>0</v>
      </c>
      <c r="I895" s="224"/>
      <c r="J895" s="473"/>
      <c r="K895" s="476">
        <f t="shared" si="40"/>
        <v>0</v>
      </c>
      <c r="P895" s="224"/>
      <c r="Q895" s="473"/>
      <c r="R895" s="476">
        <f t="shared" si="41"/>
        <v>0</v>
      </c>
    </row>
    <row r="896" spans="2:18" ht="15" customHeight="1" x14ac:dyDescent="0.2">
      <c r="B896" s="224"/>
      <c r="C896" s="473"/>
      <c r="D896" s="476">
        <f t="shared" si="39"/>
        <v>0</v>
      </c>
      <c r="I896" s="224"/>
      <c r="J896" s="473"/>
      <c r="K896" s="476">
        <f t="shared" si="40"/>
        <v>0</v>
      </c>
      <c r="P896" s="224"/>
      <c r="Q896" s="473"/>
      <c r="R896" s="476">
        <f t="shared" si="41"/>
        <v>0</v>
      </c>
    </row>
    <row r="897" spans="2:18" ht="15" customHeight="1" x14ac:dyDescent="0.2">
      <c r="B897" s="224"/>
      <c r="C897" s="473"/>
      <c r="D897" s="476">
        <f t="shared" si="39"/>
        <v>0</v>
      </c>
      <c r="I897" s="224"/>
      <c r="J897" s="473"/>
      <c r="K897" s="476">
        <f t="shared" si="40"/>
        <v>0</v>
      </c>
      <c r="P897" s="224"/>
      <c r="Q897" s="473"/>
      <c r="R897" s="476">
        <f t="shared" si="41"/>
        <v>0</v>
      </c>
    </row>
    <row r="898" spans="2:18" ht="15" customHeight="1" x14ac:dyDescent="0.2">
      <c r="B898" s="224"/>
      <c r="C898" s="473"/>
      <c r="D898" s="476">
        <f t="shared" si="39"/>
        <v>0</v>
      </c>
      <c r="I898" s="224"/>
      <c r="J898" s="473"/>
      <c r="K898" s="476">
        <f t="shared" si="40"/>
        <v>0</v>
      </c>
      <c r="P898" s="224"/>
      <c r="Q898" s="473"/>
      <c r="R898" s="476">
        <f t="shared" si="41"/>
        <v>0</v>
      </c>
    </row>
    <row r="899" spans="2:18" ht="15" customHeight="1" x14ac:dyDescent="0.2">
      <c r="B899" s="224"/>
      <c r="C899" s="473"/>
      <c r="D899" s="476">
        <f t="shared" si="39"/>
        <v>0</v>
      </c>
      <c r="I899" s="224"/>
      <c r="J899" s="473"/>
      <c r="K899" s="476">
        <f t="shared" si="40"/>
        <v>0</v>
      </c>
      <c r="P899" s="224"/>
      <c r="Q899" s="473"/>
      <c r="R899" s="476">
        <f t="shared" si="41"/>
        <v>0</v>
      </c>
    </row>
    <row r="900" spans="2:18" ht="15" customHeight="1" x14ac:dyDescent="0.2">
      <c r="B900" s="224"/>
      <c r="C900" s="473"/>
      <c r="D900" s="476">
        <f t="shared" si="39"/>
        <v>0</v>
      </c>
      <c r="I900" s="224"/>
      <c r="J900" s="473"/>
      <c r="K900" s="476">
        <f t="shared" si="40"/>
        <v>0</v>
      </c>
      <c r="P900" s="224"/>
      <c r="Q900" s="473"/>
      <c r="R900" s="476">
        <f t="shared" si="41"/>
        <v>0</v>
      </c>
    </row>
    <row r="901" spans="2:18" ht="15" customHeight="1" x14ac:dyDescent="0.2">
      <c r="B901" s="224"/>
      <c r="C901" s="473"/>
      <c r="D901" s="476">
        <f t="shared" si="39"/>
        <v>0</v>
      </c>
      <c r="I901" s="224"/>
      <c r="J901" s="473"/>
      <c r="K901" s="476">
        <f t="shared" si="40"/>
        <v>0</v>
      </c>
      <c r="P901" s="224"/>
      <c r="Q901" s="473"/>
      <c r="R901" s="476">
        <f t="shared" si="41"/>
        <v>0</v>
      </c>
    </row>
    <row r="902" spans="2:18" ht="15" customHeight="1" x14ac:dyDescent="0.2">
      <c r="B902" s="224"/>
      <c r="C902" s="473"/>
      <c r="D902" s="476">
        <f t="shared" si="39"/>
        <v>0</v>
      </c>
      <c r="I902" s="224"/>
      <c r="J902" s="473"/>
      <c r="K902" s="476">
        <f t="shared" si="40"/>
        <v>0</v>
      </c>
      <c r="P902" s="224"/>
      <c r="Q902" s="473"/>
      <c r="R902" s="476">
        <f t="shared" si="41"/>
        <v>0</v>
      </c>
    </row>
    <row r="903" spans="2:18" ht="15" customHeight="1" x14ac:dyDescent="0.2">
      <c r="B903" s="224"/>
      <c r="C903" s="473"/>
      <c r="D903" s="476">
        <f t="shared" si="39"/>
        <v>0</v>
      </c>
      <c r="I903" s="224"/>
      <c r="J903" s="473"/>
      <c r="K903" s="476">
        <f t="shared" si="40"/>
        <v>0</v>
      </c>
      <c r="P903" s="224"/>
      <c r="Q903" s="473"/>
      <c r="R903" s="476">
        <f t="shared" si="41"/>
        <v>0</v>
      </c>
    </row>
    <row r="904" spans="2:18" ht="15" customHeight="1" x14ac:dyDescent="0.2">
      <c r="B904" s="224"/>
      <c r="C904" s="473"/>
      <c r="D904" s="476">
        <f t="shared" si="39"/>
        <v>0</v>
      </c>
      <c r="I904" s="224"/>
      <c r="J904" s="473"/>
      <c r="K904" s="476">
        <f t="shared" si="40"/>
        <v>0</v>
      </c>
      <c r="P904" s="224"/>
      <c r="Q904" s="473"/>
      <c r="R904" s="476">
        <f t="shared" si="41"/>
        <v>0</v>
      </c>
    </row>
    <row r="905" spans="2:18" ht="15" customHeight="1" x14ac:dyDescent="0.2">
      <c r="B905" s="224"/>
      <c r="C905" s="473"/>
      <c r="D905" s="476">
        <f t="shared" si="39"/>
        <v>0</v>
      </c>
      <c r="I905" s="224"/>
      <c r="J905" s="473"/>
      <c r="K905" s="476">
        <f t="shared" si="40"/>
        <v>0</v>
      </c>
      <c r="P905" s="224"/>
      <c r="Q905" s="473"/>
      <c r="R905" s="476">
        <f t="shared" si="41"/>
        <v>0</v>
      </c>
    </row>
    <row r="906" spans="2:18" ht="15" customHeight="1" x14ac:dyDescent="0.2">
      <c r="B906" s="224"/>
      <c r="C906" s="473"/>
      <c r="D906" s="476">
        <f t="shared" si="39"/>
        <v>0</v>
      </c>
      <c r="I906" s="224"/>
      <c r="J906" s="473"/>
      <c r="K906" s="476">
        <f t="shared" si="40"/>
        <v>0</v>
      </c>
      <c r="P906" s="224"/>
      <c r="Q906" s="473"/>
      <c r="R906" s="476">
        <f t="shared" si="41"/>
        <v>0</v>
      </c>
    </row>
    <row r="907" spans="2:18" ht="15" customHeight="1" x14ac:dyDescent="0.2">
      <c r="B907" s="224"/>
      <c r="C907" s="473"/>
      <c r="D907" s="476">
        <f t="shared" si="39"/>
        <v>0</v>
      </c>
      <c r="I907" s="224"/>
      <c r="J907" s="473"/>
      <c r="K907" s="476">
        <f t="shared" si="40"/>
        <v>0</v>
      </c>
      <c r="P907" s="224"/>
      <c r="Q907" s="473"/>
      <c r="R907" s="476">
        <f t="shared" si="41"/>
        <v>0</v>
      </c>
    </row>
    <row r="908" spans="2:18" ht="15" customHeight="1" x14ac:dyDescent="0.2">
      <c r="B908" s="224"/>
      <c r="C908" s="473"/>
      <c r="D908" s="476">
        <f t="shared" si="39"/>
        <v>0</v>
      </c>
      <c r="I908" s="224"/>
      <c r="J908" s="473"/>
      <c r="K908" s="476">
        <f t="shared" si="40"/>
        <v>0</v>
      </c>
      <c r="P908" s="224"/>
      <c r="Q908" s="473"/>
      <c r="R908" s="476">
        <f t="shared" si="41"/>
        <v>0</v>
      </c>
    </row>
    <row r="909" spans="2:18" ht="15" customHeight="1" x14ac:dyDescent="0.2">
      <c r="B909" s="224"/>
      <c r="C909" s="473"/>
      <c r="D909" s="476">
        <f t="shared" si="39"/>
        <v>0</v>
      </c>
      <c r="I909" s="224"/>
      <c r="J909" s="473"/>
      <c r="K909" s="476">
        <f t="shared" si="40"/>
        <v>0</v>
      </c>
      <c r="P909" s="224"/>
      <c r="Q909" s="473"/>
      <c r="R909" s="476">
        <f t="shared" si="41"/>
        <v>0</v>
      </c>
    </row>
    <row r="910" spans="2:18" ht="15" customHeight="1" x14ac:dyDescent="0.2">
      <c r="B910" s="224"/>
      <c r="C910" s="473"/>
      <c r="D910" s="476">
        <f t="shared" si="39"/>
        <v>0</v>
      </c>
      <c r="I910" s="224"/>
      <c r="J910" s="473"/>
      <c r="K910" s="476">
        <f t="shared" si="40"/>
        <v>0</v>
      </c>
      <c r="P910" s="224"/>
      <c r="Q910" s="473"/>
      <c r="R910" s="476">
        <f t="shared" si="41"/>
        <v>0</v>
      </c>
    </row>
    <row r="911" spans="2:18" ht="15" customHeight="1" x14ac:dyDescent="0.2">
      <c r="B911" s="224"/>
      <c r="C911" s="473"/>
      <c r="D911" s="476">
        <f t="shared" si="39"/>
        <v>0</v>
      </c>
      <c r="I911" s="224"/>
      <c r="J911" s="473"/>
      <c r="K911" s="476">
        <f t="shared" si="40"/>
        <v>0</v>
      </c>
      <c r="P911" s="224"/>
      <c r="Q911" s="473"/>
      <c r="R911" s="476">
        <f t="shared" si="41"/>
        <v>0</v>
      </c>
    </row>
    <row r="912" spans="2:18" ht="15" customHeight="1" x14ac:dyDescent="0.2">
      <c r="B912" s="224"/>
      <c r="C912" s="473"/>
      <c r="D912" s="476">
        <f t="shared" si="39"/>
        <v>0</v>
      </c>
      <c r="I912" s="224"/>
      <c r="J912" s="473"/>
      <c r="K912" s="476">
        <f t="shared" si="40"/>
        <v>0</v>
      </c>
      <c r="P912" s="224"/>
      <c r="Q912" s="473"/>
      <c r="R912" s="476">
        <f t="shared" si="41"/>
        <v>0</v>
      </c>
    </row>
    <row r="913" spans="2:18" ht="15" customHeight="1" x14ac:dyDescent="0.2">
      <c r="B913" s="224"/>
      <c r="C913" s="473"/>
      <c r="D913" s="476">
        <f t="shared" si="39"/>
        <v>0</v>
      </c>
      <c r="I913" s="224"/>
      <c r="J913" s="473"/>
      <c r="K913" s="476">
        <f t="shared" si="40"/>
        <v>0</v>
      </c>
      <c r="P913" s="224"/>
      <c r="Q913" s="473"/>
      <c r="R913" s="476">
        <f t="shared" si="41"/>
        <v>0</v>
      </c>
    </row>
    <row r="914" spans="2:18" ht="15" customHeight="1" x14ac:dyDescent="0.2">
      <c r="B914" s="224"/>
      <c r="C914" s="473"/>
      <c r="D914" s="476">
        <f t="shared" ref="D914:D977" si="42">C914/1000</f>
        <v>0</v>
      </c>
      <c r="I914" s="224"/>
      <c r="J914" s="473"/>
      <c r="K914" s="476">
        <f t="shared" ref="K914:K977" si="43">J914/1000</f>
        <v>0</v>
      </c>
      <c r="P914" s="224"/>
      <c r="Q914" s="473"/>
      <c r="R914" s="476">
        <f t="shared" ref="R914:R977" si="44">Q914/1000</f>
        <v>0</v>
      </c>
    </row>
    <row r="915" spans="2:18" ht="15" customHeight="1" x14ac:dyDescent="0.2">
      <c r="B915" s="224"/>
      <c r="C915" s="473"/>
      <c r="D915" s="476">
        <f t="shared" si="42"/>
        <v>0</v>
      </c>
      <c r="I915" s="224"/>
      <c r="J915" s="473"/>
      <c r="K915" s="476">
        <f t="shared" si="43"/>
        <v>0</v>
      </c>
      <c r="P915" s="224"/>
      <c r="Q915" s="473"/>
      <c r="R915" s="476">
        <f t="shared" si="44"/>
        <v>0</v>
      </c>
    </row>
    <row r="916" spans="2:18" ht="15" customHeight="1" x14ac:dyDescent="0.2">
      <c r="B916" s="224"/>
      <c r="C916" s="473"/>
      <c r="D916" s="476">
        <f t="shared" si="42"/>
        <v>0</v>
      </c>
      <c r="I916" s="224"/>
      <c r="J916" s="473"/>
      <c r="K916" s="476">
        <f t="shared" si="43"/>
        <v>0</v>
      </c>
      <c r="P916" s="224"/>
      <c r="Q916" s="473"/>
      <c r="R916" s="476">
        <f t="shared" si="44"/>
        <v>0</v>
      </c>
    </row>
    <row r="917" spans="2:18" ht="15" customHeight="1" x14ac:dyDescent="0.2">
      <c r="B917" s="224"/>
      <c r="C917" s="473"/>
      <c r="D917" s="476">
        <f t="shared" si="42"/>
        <v>0</v>
      </c>
      <c r="I917" s="224"/>
      <c r="J917" s="473"/>
      <c r="K917" s="476">
        <f t="shared" si="43"/>
        <v>0</v>
      </c>
      <c r="P917" s="224"/>
      <c r="Q917" s="473"/>
      <c r="R917" s="476">
        <f t="shared" si="44"/>
        <v>0</v>
      </c>
    </row>
    <row r="918" spans="2:18" ht="15" customHeight="1" x14ac:dyDescent="0.2">
      <c r="B918" s="224"/>
      <c r="C918" s="473"/>
      <c r="D918" s="476">
        <f t="shared" si="42"/>
        <v>0</v>
      </c>
      <c r="I918" s="224"/>
      <c r="J918" s="473"/>
      <c r="K918" s="476">
        <f t="shared" si="43"/>
        <v>0</v>
      </c>
      <c r="P918" s="224"/>
      <c r="Q918" s="473"/>
      <c r="R918" s="476">
        <f t="shared" si="44"/>
        <v>0</v>
      </c>
    </row>
    <row r="919" spans="2:18" ht="15" customHeight="1" x14ac:dyDescent="0.2">
      <c r="B919" s="224"/>
      <c r="C919" s="473"/>
      <c r="D919" s="476">
        <f t="shared" si="42"/>
        <v>0</v>
      </c>
      <c r="I919" s="224"/>
      <c r="J919" s="473"/>
      <c r="K919" s="476">
        <f t="shared" si="43"/>
        <v>0</v>
      </c>
      <c r="P919" s="224"/>
      <c r="Q919" s="473"/>
      <c r="R919" s="476">
        <f t="shared" si="44"/>
        <v>0</v>
      </c>
    </row>
    <row r="920" spans="2:18" ht="15" customHeight="1" x14ac:dyDescent="0.2">
      <c r="B920" s="224"/>
      <c r="C920" s="473"/>
      <c r="D920" s="476">
        <f t="shared" si="42"/>
        <v>0</v>
      </c>
      <c r="I920" s="224"/>
      <c r="J920" s="473"/>
      <c r="K920" s="476">
        <f t="shared" si="43"/>
        <v>0</v>
      </c>
      <c r="P920" s="224"/>
      <c r="Q920" s="473"/>
      <c r="R920" s="476">
        <f t="shared" si="44"/>
        <v>0</v>
      </c>
    </row>
    <row r="921" spans="2:18" ht="15" customHeight="1" x14ac:dyDescent="0.2">
      <c r="B921" s="224"/>
      <c r="C921" s="473"/>
      <c r="D921" s="476">
        <f t="shared" si="42"/>
        <v>0</v>
      </c>
      <c r="I921" s="224"/>
      <c r="J921" s="473"/>
      <c r="K921" s="476">
        <f t="shared" si="43"/>
        <v>0</v>
      </c>
      <c r="P921" s="224"/>
      <c r="Q921" s="473"/>
      <c r="R921" s="476">
        <f t="shared" si="44"/>
        <v>0</v>
      </c>
    </row>
    <row r="922" spans="2:18" ht="15" customHeight="1" x14ac:dyDescent="0.2">
      <c r="B922" s="224"/>
      <c r="C922" s="473"/>
      <c r="D922" s="476">
        <f t="shared" si="42"/>
        <v>0</v>
      </c>
      <c r="I922" s="224"/>
      <c r="J922" s="473"/>
      <c r="K922" s="476">
        <f t="shared" si="43"/>
        <v>0</v>
      </c>
      <c r="P922" s="224"/>
      <c r="Q922" s="473"/>
      <c r="R922" s="476">
        <f t="shared" si="44"/>
        <v>0</v>
      </c>
    </row>
    <row r="923" spans="2:18" ht="15" customHeight="1" x14ac:dyDescent="0.2">
      <c r="B923" s="224"/>
      <c r="C923" s="473"/>
      <c r="D923" s="476">
        <f t="shared" si="42"/>
        <v>0</v>
      </c>
      <c r="I923" s="224"/>
      <c r="J923" s="473"/>
      <c r="K923" s="476">
        <f t="shared" si="43"/>
        <v>0</v>
      </c>
      <c r="P923" s="224"/>
      <c r="Q923" s="473"/>
      <c r="R923" s="476">
        <f t="shared" si="44"/>
        <v>0</v>
      </c>
    </row>
    <row r="924" spans="2:18" ht="15" customHeight="1" x14ac:dyDescent="0.2">
      <c r="B924" s="224"/>
      <c r="C924" s="473"/>
      <c r="D924" s="476">
        <f t="shared" si="42"/>
        <v>0</v>
      </c>
      <c r="I924" s="224"/>
      <c r="J924" s="473"/>
      <c r="K924" s="476">
        <f t="shared" si="43"/>
        <v>0</v>
      </c>
      <c r="P924" s="224"/>
      <c r="Q924" s="473"/>
      <c r="R924" s="476">
        <f t="shared" si="44"/>
        <v>0</v>
      </c>
    </row>
    <row r="925" spans="2:18" ht="15" customHeight="1" x14ac:dyDescent="0.2">
      <c r="B925" s="224"/>
      <c r="C925" s="473"/>
      <c r="D925" s="476">
        <f t="shared" si="42"/>
        <v>0</v>
      </c>
      <c r="I925" s="224"/>
      <c r="J925" s="473"/>
      <c r="K925" s="476">
        <f t="shared" si="43"/>
        <v>0</v>
      </c>
      <c r="P925" s="224"/>
      <c r="Q925" s="473"/>
      <c r="R925" s="476">
        <f t="shared" si="44"/>
        <v>0</v>
      </c>
    </row>
    <row r="926" spans="2:18" ht="15" customHeight="1" x14ac:dyDescent="0.2">
      <c r="B926" s="224"/>
      <c r="C926" s="473"/>
      <c r="D926" s="476">
        <f t="shared" si="42"/>
        <v>0</v>
      </c>
      <c r="I926" s="224"/>
      <c r="J926" s="473"/>
      <c r="K926" s="476">
        <f t="shared" si="43"/>
        <v>0</v>
      </c>
      <c r="P926" s="224"/>
      <c r="Q926" s="473"/>
      <c r="R926" s="476">
        <f t="shared" si="44"/>
        <v>0</v>
      </c>
    </row>
    <row r="927" spans="2:18" ht="15" customHeight="1" x14ac:dyDescent="0.2">
      <c r="B927" s="224"/>
      <c r="C927" s="473"/>
      <c r="D927" s="476">
        <f t="shared" si="42"/>
        <v>0</v>
      </c>
      <c r="I927" s="224"/>
      <c r="J927" s="473"/>
      <c r="K927" s="476">
        <f t="shared" si="43"/>
        <v>0</v>
      </c>
      <c r="P927" s="224"/>
      <c r="Q927" s="473"/>
      <c r="R927" s="476">
        <f t="shared" si="44"/>
        <v>0</v>
      </c>
    </row>
    <row r="928" spans="2:18" ht="15" customHeight="1" x14ac:dyDescent="0.2">
      <c r="B928" s="224"/>
      <c r="C928" s="473"/>
      <c r="D928" s="476">
        <f t="shared" si="42"/>
        <v>0</v>
      </c>
      <c r="I928" s="224"/>
      <c r="J928" s="473"/>
      <c r="K928" s="476">
        <f t="shared" si="43"/>
        <v>0</v>
      </c>
      <c r="P928" s="224"/>
      <c r="Q928" s="473"/>
      <c r="R928" s="476">
        <f t="shared" si="44"/>
        <v>0</v>
      </c>
    </row>
    <row r="929" spans="2:18" ht="15" customHeight="1" x14ac:dyDescent="0.2">
      <c r="B929" s="224"/>
      <c r="C929" s="473"/>
      <c r="D929" s="476">
        <f t="shared" si="42"/>
        <v>0</v>
      </c>
      <c r="I929" s="224"/>
      <c r="J929" s="473"/>
      <c r="K929" s="476">
        <f t="shared" si="43"/>
        <v>0</v>
      </c>
      <c r="P929" s="224"/>
      <c r="Q929" s="473"/>
      <c r="R929" s="476">
        <f t="shared" si="44"/>
        <v>0</v>
      </c>
    </row>
    <row r="930" spans="2:18" ht="15" customHeight="1" x14ac:dyDescent="0.2">
      <c r="B930" s="224"/>
      <c r="C930" s="473"/>
      <c r="D930" s="476">
        <f t="shared" si="42"/>
        <v>0</v>
      </c>
      <c r="I930" s="224"/>
      <c r="J930" s="473"/>
      <c r="K930" s="476">
        <f t="shared" si="43"/>
        <v>0</v>
      </c>
      <c r="P930" s="224"/>
      <c r="Q930" s="473"/>
      <c r="R930" s="476">
        <f t="shared" si="44"/>
        <v>0</v>
      </c>
    </row>
    <row r="931" spans="2:18" ht="15" customHeight="1" x14ac:dyDescent="0.2">
      <c r="B931" s="224"/>
      <c r="C931" s="473"/>
      <c r="D931" s="476">
        <f t="shared" si="42"/>
        <v>0</v>
      </c>
      <c r="I931" s="224"/>
      <c r="J931" s="473"/>
      <c r="K931" s="476">
        <f t="shared" si="43"/>
        <v>0</v>
      </c>
      <c r="P931" s="224"/>
      <c r="Q931" s="473"/>
      <c r="R931" s="476">
        <f t="shared" si="44"/>
        <v>0</v>
      </c>
    </row>
    <row r="932" spans="2:18" ht="15" customHeight="1" x14ac:dyDescent="0.2">
      <c r="B932" s="224"/>
      <c r="C932" s="473"/>
      <c r="D932" s="476">
        <f t="shared" si="42"/>
        <v>0</v>
      </c>
      <c r="I932" s="224"/>
      <c r="J932" s="473"/>
      <c r="K932" s="476">
        <f t="shared" si="43"/>
        <v>0</v>
      </c>
      <c r="P932" s="224"/>
      <c r="Q932" s="473"/>
      <c r="R932" s="476">
        <f t="shared" si="44"/>
        <v>0</v>
      </c>
    </row>
    <row r="933" spans="2:18" ht="15" customHeight="1" x14ac:dyDescent="0.2">
      <c r="B933" s="224"/>
      <c r="C933" s="473"/>
      <c r="D933" s="476">
        <f t="shared" si="42"/>
        <v>0</v>
      </c>
      <c r="I933" s="224"/>
      <c r="J933" s="473"/>
      <c r="K933" s="476">
        <f t="shared" si="43"/>
        <v>0</v>
      </c>
      <c r="P933" s="224"/>
      <c r="Q933" s="473"/>
      <c r="R933" s="476">
        <f t="shared" si="44"/>
        <v>0</v>
      </c>
    </row>
    <row r="934" spans="2:18" ht="15" customHeight="1" x14ac:dyDescent="0.2">
      <c r="B934" s="224"/>
      <c r="C934" s="473"/>
      <c r="D934" s="476">
        <f t="shared" si="42"/>
        <v>0</v>
      </c>
      <c r="I934" s="224"/>
      <c r="J934" s="473"/>
      <c r="K934" s="476">
        <f t="shared" si="43"/>
        <v>0</v>
      </c>
      <c r="P934" s="224"/>
      <c r="Q934" s="473"/>
      <c r="R934" s="476">
        <f t="shared" si="44"/>
        <v>0</v>
      </c>
    </row>
    <row r="935" spans="2:18" ht="15" customHeight="1" x14ac:dyDescent="0.2">
      <c r="B935" s="224"/>
      <c r="C935" s="473"/>
      <c r="D935" s="476">
        <f t="shared" si="42"/>
        <v>0</v>
      </c>
      <c r="I935" s="224"/>
      <c r="J935" s="473"/>
      <c r="K935" s="476">
        <f t="shared" si="43"/>
        <v>0</v>
      </c>
      <c r="P935" s="224"/>
      <c r="Q935" s="473"/>
      <c r="R935" s="476">
        <f t="shared" si="44"/>
        <v>0</v>
      </c>
    </row>
    <row r="936" spans="2:18" ht="15" customHeight="1" x14ac:dyDescent="0.2">
      <c r="B936" s="224"/>
      <c r="C936" s="473"/>
      <c r="D936" s="476">
        <f t="shared" si="42"/>
        <v>0</v>
      </c>
      <c r="I936" s="224"/>
      <c r="J936" s="473"/>
      <c r="K936" s="476">
        <f t="shared" si="43"/>
        <v>0</v>
      </c>
      <c r="P936" s="224"/>
      <c r="Q936" s="473"/>
      <c r="R936" s="476">
        <f t="shared" si="44"/>
        <v>0</v>
      </c>
    </row>
    <row r="937" spans="2:18" ht="15" customHeight="1" x14ac:dyDescent="0.2">
      <c r="B937" s="224"/>
      <c r="C937" s="473"/>
      <c r="D937" s="476">
        <f t="shared" si="42"/>
        <v>0</v>
      </c>
      <c r="I937" s="224"/>
      <c r="J937" s="473"/>
      <c r="K937" s="476">
        <f t="shared" si="43"/>
        <v>0</v>
      </c>
      <c r="P937" s="224"/>
      <c r="Q937" s="473"/>
      <c r="R937" s="476">
        <f t="shared" si="44"/>
        <v>0</v>
      </c>
    </row>
    <row r="938" spans="2:18" ht="15" customHeight="1" x14ac:dyDescent="0.2">
      <c r="B938" s="224"/>
      <c r="C938" s="473"/>
      <c r="D938" s="476">
        <f t="shared" si="42"/>
        <v>0</v>
      </c>
      <c r="I938" s="224"/>
      <c r="J938" s="473"/>
      <c r="K938" s="476">
        <f t="shared" si="43"/>
        <v>0</v>
      </c>
      <c r="P938" s="224"/>
      <c r="Q938" s="473"/>
      <c r="R938" s="476">
        <f t="shared" si="44"/>
        <v>0</v>
      </c>
    </row>
    <row r="939" spans="2:18" ht="15" customHeight="1" x14ac:dyDescent="0.2">
      <c r="B939" s="224"/>
      <c r="C939" s="473"/>
      <c r="D939" s="476">
        <f t="shared" si="42"/>
        <v>0</v>
      </c>
      <c r="I939" s="224"/>
      <c r="J939" s="473"/>
      <c r="K939" s="476">
        <f t="shared" si="43"/>
        <v>0</v>
      </c>
      <c r="P939" s="224"/>
      <c r="Q939" s="473"/>
      <c r="R939" s="476">
        <f t="shared" si="44"/>
        <v>0</v>
      </c>
    </row>
    <row r="940" spans="2:18" ht="15" customHeight="1" x14ac:dyDescent="0.2">
      <c r="B940" s="224"/>
      <c r="C940" s="473"/>
      <c r="D940" s="476">
        <f t="shared" si="42"/>
        <v>0</v>
      </c>
      <c r="I940" s="224"/>
      <c r="J940" s="473"/>
      <c r="K940" s="476">
        <f t="shared" si="43"/>
        <v>0</v>
      </c>
      <c r="P940" s="224"/>
      <c r="Q940" s="473"/>
      <c r="R940" s="476">
        <f t="shared" si="44"/>
        <v>0</v>
      </c>
    </row>
    <row r="941" spans="2:18" ht="15" customHeight="1" x14ac:dyDescent="0.2">
      <c r="B941" s="224"/>
      <c r="C941" s="473"/>
      <c r="D941" s="476">
        <f t="shared" si="42"/>
        <v>0</v>
      </c>
      <c r="I941" s="224"/>
      <c r="J941" s="473"/>
      <c r="K941" s="476">
        <f t="shared" si="43"/>
        <v>0</v>
      </c>
      <c r="P941" s="224"/>
      <c r="Q941" s="473"/>
      <c r="R941" s="476">
        <f t="shared" si="44"/>
        <v>0</v>
      </c>
    </row>
    <row r="942" spans="2:18" ht="15" customHeight="1" x14ac:dyDescent="0.2">
      <c r="B942" s="224"/>
      <c r="C942" s="473"/>
      <c r="D942" s="476">
        <f t="shared" si="42"/>
        <v>0</v>
      </c>
      <c r="I942" s="224"/>
      <c r="J942" s="473"/>
      <c r="K942" s="476">
        <f t="shared" si="43"/>
        <v>0</v>
      </c>
      <c r="P942" s="224"/>
      <c r="Q942" s="473"/>
      <c r="R942" s="476">
        <f t="shared" si="44"/>
        <v>0</v>
      </c>
    </row>
    <row r="943" spans="2:18" ht="15" customHeight="1" x14ac:dyDescent="0.2">
      <c r="B943" s="224"/>
      <c r="C943" s="473"/>
      <c r="D943" s="476">
        <f t="shared" si="42"/>
        <v>0</v>
      </c>
      <c r="I943" s="224"/>
      <c r="J943" s="473"/>
      <c r="K943" s="476">
        <f t="shared" si="43"/>
        <v>0</v>
      </c>
      <c r="P943" s="224"/>
      <c r="Q943" s="473"/>
      <c r="R943" s="476">
        <f t="shared" si="44"/>
        <v>0</v>
      </c>
    </row>
    <row r="944" spans="2:18" ht="15" customHeight="1" x14ac:dyDescent="0.2">
      <c r="B944" s="224"/>
      <c r="C944" s="473"/>
      <c r="D944" s="476">
        <f t="shared" si="42"/>
        <v>0</v>
      </c>
      <c r="I944" s="224"/>
      <c r="J944" s="473"/>
      <c r="K944" s="476">
        <f t="shared" si="43"/>
        <v>0</v>
      </c>
      <c r="P944" s="224"/>
      <c r="Q944" s="473"/>
      <c r="R944" s="476">
        <f t="shared" si="44"/>
        <v>0</v>
      </c>
    </row>
    <row r="945" spans="2:18" ht="15" customHeight="1" x14ac:dyDescent="0.2">
      <c r="B945" s="224"/>
      <c r="C945" s="473"/>
      <c r="D945" s="476">
        <f t="shared" si="42"/>
        <v>0</v>
      </c>
      <c r="I945" s="224"/>
      <c r="J945" s="473"/>
      <c r="K945" s="476">
        <f t="shared" si="43"/>
        <v>0</v>
      </c>
      <c r="P945" s="224"/>
      <c r="Q945" s="473"/>
      <c r="R945" s="476">
        <f t="shared" si="44"/>
        <v>0</v>
      </c>
    </row>
    <row r="946" spans="2:18" ht="15" customHeight="1" x14ac:dyDescent="0.2">
      <c r="B946" s="224"/>
      <c r="C946" s="473"/>
      <c r="D946" s="476">
        <f t="shared" si="42"/>
        <v>0</v>
      </c>
      <c r="I946" s="224"/>
      <c r="J946" s="473"/>
      <c r="K946" s="476">
        <f t="shared" si="43"/>
        <v>0</v>
      </c>
      <c r="P946" s="224"/>
      <c r="Q946" s="473"/>
      <c r="R946" s="476">
        <f t="shared" si="44"/>
        <v>0</v>
      </c>
    </row>
    <row r="947" spans="2:18" ht="15" customHeight="1" x14ac:dyDescent="0.2">
      <c r="B947" s="224"/>
      <c r="C947" s="473"/>
      <c r="D947" s="476">
        <f t="shared" si="42"/>
        <v>0</v>
      </c>
      <c r="I947" s="224"/>
      <c r="J947" s="473"/>
      <c r="K947" s="476">
        <f t="shared" si="43"/>
        <v>0</v>
      </c>
      <c r="P947" s="224"/>
      <c r="Q947" s="473"/>
      <c r="R947" s="476">
        <f t="shared" si="44"/>
        <v>0</v>
      </c>
    </row>
    <row r="948" spans="2:18" ht="15" customHeight="1" x14ac:dyDescent="0.2">
      <c r="B948" s="224"/>
      <c r="C948" s="473"/>
      <c r="D948" s="476">
        <f t="shared" si="42"/>
        <v>0</v>
      </c>
      <c r="I948" s="224"/>
      <c r="J948" s="473"/>
      <c r="K948" s="476">
        <f t="shared" si="43"/>
        <v>0</v>
      </c>
      <c r="P948" s="224"/>
      <c r="Q948" s="473"/>
      <c r="R948" s="476">
        <f t="shared" si="44"/>
        <v>0</v>
      </c>
    </row>
    <row r="949" spans="2:18" ht="15" customHeight="1" x14ac:dyDescent="0.2">
      <c r="B949" s="224"/>
      <c r="C949" s="473"/>
      <c r="D949" s="476">
        <f t="shared" si="42"/>
        <v>0</v>
      </c>
      <c r="I949" s="224"/>
      <c r="J949" s="473"/>
      <c r="K949" s="476">
        <f t="shared" si="43"/>
        <v>0</v>
      </c>
      <c r="P949" s="224"/>
      <c r="Q949" s="473"/>
      <c r="R949" s="476">
        <f t="shared" si="44"/>
        <v>0</v>
      </c>
    </row>
    <row r="950" spans="2:18" ht="15" customHeight="1" x14ac:dyDescent="0.2">
      <c r="B950" s="224"/>
      <c r="C950" s="473"/>
      <c r="D950" s="476">
        <f t="shared" si="42"/>
        <v>0</v>
      </c>
      <c r="I950" s="224"/>
      <c r="J950" s="473"/>
      <c r="K950" s="476">
        <f t="shared" si="43"/>
        <v>0</v>
      </c>
      <c r="P950" s="224"/>
      <c r="Q950" s="473"/>
      <c r="R950" s="476">
        <f t="shared" si="44"/>
        <v>0</v>
      </c>
    </row>
    <row r="951" spans="2:18" ht="15" customHeight="1" x14ac:dyDescent="0.2">
      <c r="B951" s="224"/>
      <c r="C951" s="473"/>
      <c r="D951" s="476">
        <f t="shared" si="42"/>
        <v>0</v>
      </c>
      <c r="I951" s="224"/>
      <c r="J951" s="473"/>
      <c r="K951" s="476">
        <f t="shared" si="43"/>
        <v>0</v>
      </c>
      <c r="P951" s="224"/>
      <c r="Q951" s="473"/>
      <c r="R951" s="476">
        <f t="shared" si="44"/>
        <v>0</v>
      </c>
    </row>
    <row r="952" spans="2:18" ht="15" customHeight="1" x14ac:dyDescent="0.2">
      <c r="B952" s="224"/>
      <c r="C952" s="473"/>
      <c r="D952" s="476">
        <f t="shared" si="42"/>
        <v>0</v>
      </c>
      <c r="I952" s="224"/>
      <c r="J952" s="473"/>
      <c r="K952" s="476">
        <f t="shared" si="43"/>
        <v>0</v>
      </c>
      <c r="P952" s="224"/>
      <c r="Q952" s="473"/>
      <c r="R952" s="476">
        <f t="shared" si="44"/>
        <v>0</v>
      </c>
    </row>
    <row r="953" spans="2:18" ht="15" customHeight="1" x14ac:dyDescent="0.2">
      <c r="B953" s="224"/>
      <c r="C953" s="473"/>
      <c r="D953" s="476">
        <f t="shared" si="42"/>
        <v>0</v>
      </c>
      <c r="I953" s="224"/>
      <c r="J953" s="473"/>
      <c r="K953" s="476">
        <f t="shared" si="43"/>
        <v>0</v>
      </c>
      <c r="P953" s="224"/>
      <c r="Q953" s="473"/>
      <c r="R953" s="476">
        <f t="shared" si="44"/>
        <v>0</v>
      </c>
    </row>
    <row r="954" spans="2:18" ht="15" customHeight="1" x14ac:dyDescent="0.2">
      <c r="B954" s="224"/>
      <c r="C954" s="473"/>
      <c r="D954" s="476">
        <f t="shared" si="42"/>
        <v>0</v>
      </c>
      <c r="I954" s="224"/>
      <c r="J954" s="473"/>
      <c r="K954" s="476">
        <f t="shared" si="43"/>
        <v>0</v>
      </c>
      <c r="P954" s="224"/>
      <c r="Q954" s="473"/>
      <c r="R954" s="476">
        <f t="shared" si="44"/>
        <v>0</v>
      </c>
    </row>
    <row r="955" spans="2:18" ht="15" customHeight="1" x14ac:dyDescent="0.2">
      <c r="B955" s="224"/>
      <c r="C955" s="473"/>
      <c r="D955" s="476">
        <f t="shared" si="42"/>
        <v>0</v>
      </c>
      <c r="I955" s="224"/>
      <c r="J955" s="473"/>
      <c r="K955" s="476">
        <f t="shared" si="43"/>
        <v>0</v>
      </c>
      <c r="P955" s="224"/>
      <c r="Q955" s="473"/>
      <c r="R955" s="476">
        <f t="shared" si="44"/>
        <v>0</v>
      </c>
    </row>
    <row r="956" spans="2:18" ht="15" customHeight="1" x14ac:dyDescent="0.2">
      <c r="B956" s="224"/>
      <c r="C956" s="473"/>
      <c r="D956" s="476">
        <f t="shared" si="42"/>
        <v>0</v>
      </c>
      <c r="I956" s="224"/>
      <c r="J956" s="473"/>
      <c r="K956" s="476">
        <f t="shared" si="43"/>
        <v>0</v>
      </c>
      <c r="P956" s="224"/>
      <c r="Q956" s="473"/>
      <c r="R956" s="476">
        <f t="shared" si="44"/>
        <v>0</v>
      </c>
    </row>
    <row r="957" spans="2:18" ht="15" customHeight="1" x14ac:dyDescent="0.2">
      <c r="B957" s="224"/>
      <c r="C957" s="473"/>
      <c r="D957" s="476">
        <f t="shared" si="42"/>
        <v>0</v>
      </c>
      <c r="I957" s="224"/>
      <c r="J957" s="473"/>
      <c r="K957" s="476">
        <f t="shared" si="43"/>
        <v>0</v>
      </c>
      <c r="P957" s="224"/>
      <c r="Q957" s="473"/>
      <c r="R957" s="476">
        <f t="shared" si="44"/>
        <v>0</v>
      </c>
    </row>
    <row r="958" spans="2:18" ht="15" customHeight="1" x14ac:dyDescent="0.2">
      <c r="B958" s="224"/>
      <c r="C958" s="473"/>
      <c r="D958" s="476">
        <f t="shared" si="42"/>
        <v>0</v>
      </c>
      <c r="I958" s="224"/>
      <c r="J958" s="473"/>
      <c r="K958" s="476">
        <f t="shared" si="43"/>
        <v>0</v>
      </c>
      <c r="P958" s="224"/>
      <c r="Q958" s="473"/>
      <c r="R958" s="476">
        <f t="shared" si="44"/>
        <v>0</v>
      </c>
    </row>
    <row r="959" spans="2:18" ht="15" customHeight="1" x14ac:dyDescent="0.2">
      <c r="B959" s="224"/>
      <c r="C959" s="473"/>
      <c r="D959" s="476">
        <f t="shared" si="42"/>
        <v>0</v>
      </c>
      <c r="I959" s="224"/>
      <c r="J959" s="473"/>
      <c r="K959" s="476">
        <f t="shared" si="43"/>
        <v>0</v>
      </c>
      <c r="P959" s="224"/>
      <c r="Q959" s="473"/>
      <c r="R959" s="476">
        <f t="shared" si="44"/>
        <v>0</v>
      </c>
    </row>
    <row r="960" spans="2:18" ht="15" customHeight="1" x14ac:dyDescent="0.2">
      <c r="B960" s="224"/>
      <c r="C960" s="473"/>
      <c r="D960" s="476">
        <f t="shared" si="42"/>
        <v>0</v>
      </c>
      <c r="I960" s="224"/>
      <c r="J960" s="473"/>
      <c r="K960" s="476">
        <f t="shared" si="43"/>
        <v>0</v>
      </c>
      <c r="P960" s="224"/>
      <c r="Q960" s="473"/>
      <c r="R960" s="476">
        <f t="shared" si="44"/>
        <v>0</v>
      </c>
    </row>
    <row r="961" spans="2:18" ht="15" customHeight="1" x14ac:dyDescent="0.2">
      <c r="B961" s="224"/>
      <c r="C961" s="473"/>
      <c r="D961" s="476">
        <f t="shared" si="42"/>
        <v>0</v>
      </c>
      <c r="I961" s="224"/>
      <c r="J961" s="473"/>
      <c r="K961" s="476">
        <f t="shared" si="43"/>
        <v>0</v>
      </c>
      <c r="P961" s="224"/>
      <c r="Q961" s="473"/>
      <c r="R961" s="476">
        <f t="shared" si="44"/>
        <v>0</v>
      </c>
    </row>
    <row r="962" spans="2:18" ht="15" customHeight="1" x14ac:dyDescent="0.2">
      <c r="B962" s="224"/>
      <c r="C962" s="473"/>
      <c r="D962" s="476">
        <f t="shared" si="42"/>
        <v>0</v>
      </c>
      <c r="I962" s="224"/>
      <c r="J962" s="473"/>
      <c r="K962" s="476">
        <f t="shared" si="43"/>
        <v>0</v>
      </c>
      <c r="P962" s="224"/>
      <c r="Q962" s="473"/>
      <c r="R962" s="476">
        <f t="shared" si="44"/>
        <v>0</v>
      </c>
    </row>
    <row r="963" spans="2:18" ht="15" customHeight="1" x14ac:dyDescent="0.2">
      <c r="B963" s="224"/>
      <c r="C963" s="473"/>
      <c r="D963" s="476">
        <f t="shared" si="42"/>
        <v>0</v>
      </c>
      <c r="I963" s="224"/>
      <c r="J963" s="473"/>
      <c r="K963" s="476">
        <f t="shared" si="43"/>
        <v>0</v>
      </c>
      <c r="P963" s="224"/>
      <c r="Q963" s="473"/>
      <c r="R963" s="476">
        <f t="shared" si="44"/>
        <v>0</v>
      </c>
    </row>
    <row r="964" spans="2:18" ht="15" customHeight="1" x14ac:dyDescent="0.2">
      <c r="B964" s="224"/>
      <c r="C964" s="473"/>
      <c r="D964" s="476">
        <f t="shared" si="42"/>
        <v>0</v>
      </c>
      <c r="I964" s="224"/>
      <c r="J964" s="473"/>
      <c r="K964" s="476">
        <f t="shared" si="43"/>
        <v>0</v>
      </c>
      <c r="P964" s="224"/>
      <c r="Q964" s="473"/>
      <c r="R964" s="476">
        <f t="shared" si="44"/>
        <v>0</v>
      </c>
    </row>
    <row r="965" spans="2:18" ht="15" customHeight="1" x14ac:dyDescent="0.2">
      <c r="B965" s="224"/>
      <c r="C965" s="473"/>
      <c r="D965" s="476">
        <f t="shared" si="42"/>
        <v>0</v>
      </c>
      <c r="I965" s="224"/>
      <c r="J965" s="473"/>
      <c r="K965" s="476">
        <f t="shared" si="43"/>
        <v>0</v>
      </c>
      <c r="P965" s="224"/>
      <c r="Q965" s="473"/>
      <c r="R965" s="476">
        <f t="shared" si="44"/>
        <v>0</v>
      </c>
    </row>
    <row r="966" spans="2:18" ht="15" customHeight="1" x14ac:dyDescent="0.2">
      <c r="B966" s="224"/>
      <c r="C966" s="473"/>
      <c r="D966" s="476">
        <f t="shared" si="42"/>
        <v>0</v>
      </c>
      <c r="I966" s="224"/>
      <c r="J966" s="473"/>
      <c r="K966" s="476">
        <f t="shared" si="43"/>
        <v>0</v>
      </c>
      <c r="P966" s="224"/>
      <c r="Q966" s="473"/>
      <c r="R966" s="476">
        <f t="shared" si="44"/>
        <v>0</v>
      </c>
    </row>
    <row r="967" spans="2:18" ht="15" customHeight="1" x14ac:dyDescent="0.2">
      <c r="B967" s="224"/>
      <c r="C967" s="473"/>
      <c r="D967" s="476">
        <f t="shared" si="42"/>
        <v>0</v>
      </c>
      <c r="I967" s="224"/>
      <c r="J967" s="473"/>
      <c r="K967" s="476">
        <f t="shared" si="43"/>
        <v>0</v>
      </c>
      <c r="P967" s="224"/>
      <c r="Q967" s="473"/>
      <c r="R967" s="476">
        <f t="shared" si="44"/>
        <v>0</v>
      </c>
    </row>
    <row r="968" spans="2:18" ht="15" customHeight="1" x14ac:dyDescent="0.2">
      <c r="B968" s="224"/>
      <c r="C968" s="473"/>
      <c r="D968" s="476">
        <f t="shared" si="42"/>
        <v>0</v>
      </c>
      <c r="I968" s="224"/>
      <c r="J968" s="473"/>
      <c r="K968" s="476">
        <f t="shared" si="43"/>
        <v>0</v>
      </c>
      <c r="P968" s="224"/>
      <c r="Q968" s="473"/>
      <c r="R968" s="476">
        <f t="shared" si="44"/>
        <v>0</v>
      </c>
    </row>
    <row r="969" spans="2:18" ht="15" customHeight="1" x14ac:dyDescent="0.2">
      <c r="B969" s="224"/>
      <c r="C969" s="473"/>
      <c r="D969" s="476">
        <f t="shared" si="42"/>
        <v>0</v>
      </c>
      <c r="I969" s="224"/>
      <c r="J969" s="473"/>
      <c r="K969" s="476">
        <f t="shared" si="43"/>
        <v>0</v>
      </c>
      <c r="P969" s="224"/>
      <c r="Q969" s="473"/>
      <c r="R969" s="476">
        <f t="shared" si="44"/>
        <v>0</v>
      </c>
    </row>
    <row r="970" spans="2:18" ht="15" customHeight="1" x14ac:dyDescent="0.2">
      <c r="B970" s="224"/>
      <c r="C970" s="473"/>
      <c r="D970" s="476">
        <f t="shared" si="42"/>
        <v>0</v>
      </c>
      <c r="I970" s="224"/>
      <c r="J970" s="473"/>
      <c r="K970" s="476">
        <f t="shared" si="43"/>
        <v>0</v>
      </c>
      <c r="P970" s="224"/>
      <c r="Q970" s="473"/>
      <c r="R970" s="476">
        <f t="shared" si="44"/>
        <v>0</v>
      </c>
    </row>
    <row r="971" spans="2:18" ht="15" customHeight="1" x14ac:dyDescent="0.2">
      <c r="B971" s="224"/>
      <c r="C971" s="473"/>
      <c r="D971" s="476">
        <f t="shared" si="42"/>
        <v>0</v>
      </c>
      <c r="I971" s="224"/>
      <c r="J971" s="473"/>
      <c r="K971" s="476">
        <f t="shared" si="43"/>
        <v>0</v>
      </c>
      <c r="P971" s="224"/>
      <c r="Q971" s="473"/>
      <c r="R971" s="476">
        <f t="shared" si="44"/>
        <v>0</v>
      </c>
    </row>
    <row r="972" spans="2:18" ht="15" customHeight="1" x14ac:dyDescent="0.2">
      <c r="B972" s="224"/>
      <c r="C972" s="473"/>
      <c r="D972" s="476">
        <f t="shared" si="42"/>
        <v>0</v>
      </c>
      <c r="I972" s="224"/>
      <c r="J972" s="473"/>
      <c r="K972" s="476">
        <f t="shared" si="43"/>
        <v>0</v>
      </c>
      <c r="P972" s="224"/>
      <c r="Q972" s="473"/>
      <c r="R972" s="476">
        <f t="shared" si="44"/>
        <v>0</v>
      </c>
    </row>
    <row r="973" spans="2:18" ht="15" customHeight="1" x14ac:dyDescent="0.2">
      <c r="B973" s="224"/>
      <c r="C973" s="473"/>
      <c r="D973" s="476">
        <f t="shared" si="42"/>
        <v>0</v>
      </c>
      <c r="I973" s="224"/>
      <c r="J973" s="473"/>
      <c r="K973" s="476">
        <f t="shared" si="43"/>
        <v>0</v>
      </c>
      <c r="P973" s="224"/>
      <c r="Q973" s="473"/>
      <c r="R973" s="476">
        <f t="shared" si="44"/>
        <v>0</v>
      </c>
    </row>
    <row r="974" spans="2:18" ht="15" customHeight="1" x14ac:dyDescent="0.2">
      <c r="B974" s="224"/>
      <c r="C974" s="473"/>
      <c r="D974" s="476">
        <f t="shared" si="42"/>
        <v>0</v>
      </c>
      <c r="I974" s="224"/>
      <c r="J974" s="473"/>
      <c r="K974" s="476">
        <f t="shared" si="43"/>
        <v>0</v>
      </c>
      <c r="P974" s="224"/>
      <c r="Q974" s="473"/>
      <c r="R974" s="476">
        <f t="shared" si="44"/>
        <v>0</v>
      </c>
    </row>
    <row r="975" spans="2:18" ht="15" customHeight="1" x14ac:dyDescent="0.2">
      <c r="B975" s="224"/>
      <c r="C975" s="473"/>
      <c r="D975" s="476">
        <f t="shared" si="42"/>
        <v>0</v>
      </c>
      <c r="I975" s="224"/>
      <c r="J975" s="473"/>
      <c r="K975" s="476">
        <f t="shared" si="43"/>
        <v>0</v>
      </c>
      <c r="P975" s="224"/>
      <c r="Q975" s="473"/>
      <c r="R975" s="476">
        <f t="shared" si="44"/>
        <v>0</v>
      </c>
    </row>
    <row r="976" spans="2:18" ht="15" customHeight="1" x14ac:dyDescent="0.2">
      <c r="B976" s="224"/>
      <c r="C976" s="473"/>
      <c r="D976" s="476">
        <f t="shared" si="42"/>
        <v>0</v>
      </c>
      <c r="I976" s="224"/>
      <c r="J976" s="473"/>
      <c r="K976" s="476">
        <f t="shared" si="43"/>
        <v>0</v>
      </c>
      <c r="P976" s="224"/>
      <c r="Q976" s="473"/>
      <c r="R976" s="476">
        <f t="shared" si="44"/>
        <v>0</v>
      </c>
    </row>
    <row r="977" spans="2:18" ht="15" customHeight="1" x14ac:dyDescent="0.2">
      <c r="B977" s="224"/>
      <c r="C977" s="473"/>
      <c r="D977" s="476">
        <f t="shared" si="42"/>
        <v>0</v>
      </c>
      <c r="I977" s="224"/>
      <c r="J977" s="473"/>
      <c r="K977" s="476">
        <f t="shared" si="43"/>
        <v>0</v>
      </c>
      <c r="P977" s="224"/>
      <c r="Q977" s="473"/>
      <c r="R977" s="476">
        <f t="shared" si="44"/>
        <v>0</v>
      </c>
    </row>
    <row r="978" spans="2:18" ht="15" customHeight="1" x14ac:dyDescent="0.2">
      <c r="B978" s="224"/>
      <c r="C978" s="473"/>
      <c r="D978" s="476">
        <f t="shared" ref="D978:D1041" si="45">C978/1000</f>
        <v>0</v>
      </c>
      <c r="I978" s="224"/>
      <c r="J978" s="473"/>
      <c r="K978" s="476">
        <f t="shared" ref="K978:K1041" si="46">J978/1000</f>
        <v>0</v>
      </c>
      <c r="P978" s="224"/>
      <c r="Q978" s="473"/>
      <c r="R978" s="476">
        <f t="shared" ref="R978:R1041" si="47">Q978/1000</f>
        <v>0</v>
      </c>
    </row>
    <row r="979" spans="2:18" ht="15" customHeight="1" x14ac:dyDescent="0.2">
      <c r="B979" s="224"/>
      <c r="C979" s="473"/>
      <c r="D979" s="476">
        <f t="shared" si="45"/>
        <v>0</v>
      </c>
      <c r="I979" s="224"/>
      <c r="J979" s="473"/>
      <c r="K979" s="476">
        <f t="shared" si="46"/>
        <v>0</v>
      </c>
      <c r="P979" s="224"/>
      <c r="Q979" s="473"/>
      <c r="R979" s="476">
        <f t="shared" si="47"/>
        <v>0</v>
      </c>
    </row>
    <row r="980" spans="2:18" ht="15" customHeight="1" x14ac:dyDescent="0.2">
      <c r="B980" s="224"/>
      <c r="C980" s="473"/>
      <c r="D980" s="476">
        <f t="shared" si="45"/>
        <v>0</v>
      </c>
      <c r="I980" s="224"/>
      <c r="J980" s="473"/>
      <c r="K980" s="476">
        <f t="shared" si="46"/>
        <v>0</v>
      </c>
      <c r="P980" s="224"/>
      <c r="Q980" s="473"/>
      <c r="R980" s="476">
        <f t="shared" si="47"/>
        <v>0</v>
      </c>
    </row>
    <row r="981" spans="2:18" ht="15" customHeight="1" x14ac:dyDescent="0.2">
      <c r="B981" s="224"/>
      <c r="C981" s="473"/>
      <c r="D981" s="476">
        <f t="shared" si="45"/>
        <v>0</v>
      </c>
      <c r="I981" s="224"/>
      <c r="J981" s="473"/>
      <c r="K981" s="476">
        <f t="shared" si="46"/>
        <v>0</v>
      </c>
      <c r="P981" s="224"/>
      <c r="Q981" s="473"/>
      <c r="R981" s="476">
        <f t="shared" si="47"/>
        <v>0</v>
      </c>
    </row>
    <row r="982" spans="2:18" ht="15" customHeight="1" x14ac:dyDescent="0.2">
      <c r="B982" s="224"/>
      <c r="C982" s="473"/>
      <c r="D982" s="476">
        <f t="shared" si="45"/>
        <v>0</v>
      </c>
      <c r="I982" s="224"/>
      <c r="J982" s="473"/>
      <c r="K982" s="476">
        <f t="shared" si="46"/>
        <v>0</v>
      </c>
      <c r="P982" s="224"/>
      <c r="Q982" s="473"/>
      <c r="R982" s="476">
        <f t="shared" si="47"/>
        <v>0</v>
      </c>
    </row>
    <row r="983" spans="2:18" ht="15" customHeight="1" x14ac:dyDescent="0.2">
      <c r="B983" s="224"/>
      <c r="C983" s="473"/>
      <c r="D983" s="476">
        <f t="shared" si="45"/>
        <v>0</v>
      </c>
      <c r="I983" s="224"/>
      <c r="J983" s="473"/>
      <c r="K983" s="476">
        <f t="shared" si="46"/>
        <v>0</v>
      </c>
      <c r="P983" s="224"/>
      <c r="Q983" s="473"/>
      <c r="R983" s="476">
        <f t="shared" si="47"/>
        <v>0</v>
      </c>
    </row>
    <row r="984" spans="2:18" ht="15" customHeight="1" x14ac:dyDescent="0.2">
      <c r="B984" s="224"/>
      <c r="C984" s="473"/>
      <c r="D984" s="476">
        <f t="shared" si="45"/>
        <v>0</v>
      </c>
      <c r="I984" s="224"/>
      <c r="J984" s="473"/>
      <c r="K984" s="476">
        <f t="shared" si="46"/>
        <v>0</v>
      </c>
      <c r="P984" s="224"/>
      <c r="Q984" s="473"/>
      <c r="R984" s="476">
        <f t="shared" si="47"/>
        <v>0</v>
      </c>
    </row>
    <row r="985" spans="2:18" ht="15" customHeight="1" x14ac:dyDescent="0.2">
      <c r="B985" s="224"/>
      <c r="C985" s="473"/>
      <c r="D985" s="476">
        <f t="shared" si="45"/>
        <v>0</v>
      </c>
      <c r="I985" s="224"/>
      <c r="J985" s="473"/>
      <c r="K985" s="476">
        <f t="shared" si="46"/>
        <v>0</v>
      </c>
      <c r="P985" s="224"/>
      <c r="Q985" s="473"/>
      <c r="R985" s="476">
        <f t="shared" si="47"/>
        <v>0</v>
      </c>
    </row>
    <row r="986" spans="2:18" ht="15" customHeight="1" x14ac:dyDescent="0.2">
      <c r="B986" s="224"/>
      <c r="C986" s="473"/>
      <c r="D986" s="476">
        <f t="shared" si="45"/>
        <v>0</v>
      </c>
      <c r="I986" s="224"/>
      <c r="J986" s="473"/>
      <c r="K986" s="476">
        <f t="shared" si="46"/>
        <v>0</v>
      </c>
      <c r="P986" s="224"/>
      <c r="Q986" s="473"/>
      <c r="R986" s="476">
        <f t="shared" si="47"/>
        <v>0</v>
      </c>
    </row>
    <row r="987" spans="2:18" ht="15" customHeight="1" x14ac:dyDescent="0.2">
      <c r="B987" s="224"/>
      <c r="C987" s="473"/>
      <c r="D987" s="476">
        <f t="shared" si="45"/>
        <v>0</v>
      </c>
      <c r="I987" s="224"/>
      <c r="J987" s="473"/>
      <c r="K987" s="476">
        <f t="shared" si="46"/>
        <v>0</v>
      </c>
      <c r="P987" s="224"/>
      <c r="Q987" s="473"/>
      <c r="R987" s="476">
        <f t="shared" si="47"/>
        <v>0</v>
      </c>
    </row>
    <row r="988" spans="2:18" ht="15" customHeight="1" x14ac:dyDescent="0.2">
      <c r="B988" s="224"/>
      <c r="C988" s="473"/>
      <c r="D988" s="476">
        <f t="shared" si="45"/>
        <v>0</v>
      </c>
      <c r="I988" s="224"/>
      <c r="J988" s="473"/>
      <c r="K988" s="476">
        <f t="shared" si="46"/>
        <v>0</v>
      </c>
      <c r="P988" s="224"/>
      <c r="Q988" s="473"/>
      <c r="R988" s="476">
        <f t="shared" si="47"/>
        <v>0</v>
      </c>
    </row>
    <row r="989" spans="2:18" ht="15" customHeight="1" x14ac:dyDescent="0.2">
      <c r="B989" s="224"/>
      <c r="C989" s="473"/>
      <c r="D989" s="476">
        <f t="shared" si="45"/>
        <v>0</v>
      </c>
      <c r="I989" s="224"/>
      <c r="J989" s="473"/>
      <c r="K989" s="476">
        <f t="shared" si="46"/>
        <v>0</v>
      </c>
      <c r="P989" s="224"/>
      <c r="Q989" s="473"/>
      <c r="R989" s="476">
        <f t="shared" si="47"/>
        <v>0</v>
      </c>
    </row>
    <row r="990" spans="2:18" ht="15" customHeight="1" x14ac:dyDescent="0.2">
      <c r="B990" s="224"/>
      <c r="C990" s="473"/>
      <c r="D990" s="476">
        <f t="shared" si="45"/>
        <v>0</v>
      </c>
      <c r="I990" s="224"/>
      <c r="J990" s="473"/>
      <c r="K990" s="476">
        <f t="shared" si="46"/>
        <v>0</v>
      </c>
      <c r="P990" s="224"/>
      <c r="Q990" s="473"/>
      <c r="R990" s="476">
        <f t="shared" si="47"/>
        <v>0</v>
      </c>
    </row>
    <row r="991" spans="2:18" ht="15" customHeight="1" x14ac:dyDescent="0.2">
      <c r="B991" s="224"/>
      <c r="C991" s="473"/>
      <c r="D991" s="476">
        <f t="shared" si="45"/>
        <v>0</v>
      </c>
      <c r="I991" s="224"/>
      <c r="J991" s="473"/>
      <c r="K991" s="476">
        <f t="shared" si="46"/>
        <v>0</v>
      </c>
      <c r="P991" s="224"/>
      <c r="Q991" s="473"/>
      <c r="R991" s="476">
        <f t="shared" si="47"/>
        <v>0</v>
      </c>
    </row>
    <row r="992" spans="2:18" ht="15" customHeight="1" x14ac:dyDescent="0.2">
      <c r="B992" s="224"/>
      <c r="C992" s="473"/>
      <c r="D992" s="476">
        <f t="shared" si="45"/>
        <v>0</v>
      </c>
      <c r="I992" s="224"/>
      <c r="J992" s="473"/>
      <c r="K992" s="476">
        <f t="shared" si="46"/>
        <v>0</v>
      </c>
      <c r="P992" s="224"/>
      <c r="Q992" s="473"/>
      <c r="R992" s="476">
        <f t="shared" si="47"/>
        <v>0</v>
      </c>
    </row>
    <row r="993" spans="2:18" ht="15" customHeight="1" x14ac:dyDescent="0.2">
      <c r="B993" s="224"/>
      <c r="C993" s="473"/>
      <c r="D993" s="476">
        <f t="shared" si="45"/>
        <v>0</v>
      </c>
      <c r="I993" s="224"/>
      <c r="J993" s="473"/>
      <c r="K993" s="476">
        <f t="shared" si="46"/>
        <v>0</v>
      </c>
      <c r="P993" s="224"/>
      <c r="Q993" s="473"/>
      <c r="R993" s="476">
        <f t="shared" si="47"/>
        <v>0</v>
      </c>
    </row>
    <row r="994" spans="2:18" ht="15" customHeight="1" x14ac:dyDescent="0.2">
      <c r="B994" s="224"/>
      <c r="C994" s="473"/>
      <c r="D994" s="476">
        <f t="shared" si="45"/>
        <v>0</v>
      </c>
      <c r="I994" s="224"/>
      <c r="J994" s="473"/>
      <c r="K994" s="476">
        <f t="shared" si="46"/>
        <v>0</v>
      </c>
      <c r="P994" s="224"/>
      <c r="Q994" s="473"/>
      <c r="R994" s="476">
        <f t="shared" si="47"/>
        <v>0</v>
      </c>
    </row>
    <row r="995" spans="2:18" ht="15" customHeight="1" x14ac:dyDescent="0.2">
      <c r="B995" s="224"/>
      <c r="C995" s="473"/>
      <c r="D995" s="476">
        <f t="shared" si="45"/>
        <v>0</v>
      </c>
      <c r="I995" s="224"/>
      <c r="J995" s="473"/>
      <c r="K995" s="476">
        <f t="shared" si="46"/>
        <v>0</v>
      </c>
      <c r="P995" s="224"/>
      <c r="Q995" s="473"/>
      <c r="R995" s="476">
        <f t="shared" si="47"/>
        <v>0</v>
      </c>
    </row>
    <row r="996" spans="2:18" ht="15" customHeight="1" x14ac:dyDescent="0.2">
      <c r="B996" s="224"/>
      <c r="C996" s="473"/>
      <c r="D996" s="476">
        <f t="shared" si="45"/>
        <v>0</v>
      </c>
      <c r="I996" s="224"/>
      <c r="J996" s="473"/>
      <c r="K996" s="476">
        <f t="shared" si="46"/>
        <v>0</v>
      </c>
      <c r="P996" s="224"/>
      <c r="Q996" s="473"/>
      <c r="R996" s="476">
        <f t="shared" si="47"/>
        <v>0</v>
      </c>
    </row>
    <row r="997" spans="2:18" ht="15" customHeight="1" x14ac:dyDescent="0.2">
      <c r="B997" s="224"/>
      <c r="C997" s="473"/>
      <c r="D997" s="476">
        <f t="shared" si="45"/>
        <v>0</v>
      </c>
      <c r="I997" s="224"/>
      <c r="J997" s="473"/>
      <c r="K997" s="476">
        <f t="shared" si="46"/>
        <v>0</v>
      </c>
      <c r="P997" s="224"/>
      <c r="Q997" s="473"/>
      <c r="R997" s="476">
        <f t="shared" si="47"/>
        <v>0</v>
      </c>
    </row>
    <row r="998" spans="2:18" ht="15" customHeight="1" x14ac:dyDescent="0.2">
      <c r="B998" s="224"/>
      <c r="C998" s="473"/>
      <c r="D998" s="476">
        <f t="shared" si="45"/>
        <v>0</v>
      </c>
      <c r="I998" s="224"/>
      <c r="J998" s="473"/>
      <c r="K998" s="476">
        <f t="shared" si="46"/>
        <v>0</v>
      </c>
      <c r="P998" s="224"/>
      <c r="Q998" s="473"/>
      <c r="R998" s="476">
        <f t="shared" si="47"/>
        <v>0</v>
      </c>
    </row>
    <row r="999" spans="2:18" ht="15" customHeight="1" x14ac:dyDescent="0.2">
      <c r="B999" s="224"/>
      <c r="C999" s="473"/>
      <c r="D999" s="476">
        <f t="shared" si="45"/>
        <v>0</v>
      </c>
      <c r="I999" s="224"/>
      <c r="J999" s="473"/>
      <c r="K999" s="476">
        <f t="shared" si="46"/>
        <v>0</v>
      </c>
      <c r="P999" s="224"/>
      <c r="Q999" s="473"/>
      <c r="R999" s="476">
        <f t="shared" si="47"/>
        <v>0</v>
      </c>
    </row>
    <row r="1000" spans="2:18" ht="15" customHeight="1" x14ac:dyDescent="0.2">
      <c r="B1000" s="224"/>
      <c r="C1000" s="473"/>
      <c r="D1000" s="476">
        <f t="shared" si="45"/>
        <v>0</v>
      </c>
      <c r="I1000" s="224"/>
      <c r="J1000" s="473"/>
      <c r="K1000" s="476">
        <f t="shared" si="46"/>
        <v>0</v>
      </c>
      <c r="P1000" s="224"/>
      <c r="Q1000" s="473"/>
      <c r="R1000" s="476">
        <f t="shared" si="47"/>
        <v>0</v>
      </c>
    </row>
    <row r="1001" spans="2:18" ht="15" customHeight="1" x14ac:dyDescent="0.2">
      <c r="B1001" s="224"/>
      <c r="C1001" s="473"/>
      <c r="D1001" s="476">
        <f t="shared" si="45"/>
        <v>0</v>
      </c>
      <c r="I1001" s="224"/>
      <c r="J1001" s="473"/>
      <c r="K1001" s="476">
        <f t="shared" si="46"/>
        <v>0</v>
      </c>
      <c r="P1001" s="224"/>
      <c r="Q1001" s="473"/>
      <c r="R1001" s="476">
        <f t="shared" si="47"/>
        <v>0</v>
      </c>
    </row>
    <row r="1002" spans="2:18" ht="15" customHeight="1" x14ac:dyDescent="0.2">
      <c r="B1002" s="224"/>
      <c r="C1002" s="473"/>
      <c r="D1002" s="476">
        <f t="shared" si="45"/>
        <v>0</v>
      </c>
      <c r="I1002" s="224"/>
      <c r="J1002" s="473"/>
      <c r="K1002" s="476">
        <f t="shared" si="46"/>
        <v>0</v>
      </c>
      <c r="P1002" s="224"/>
      <c r="Q1002" s="473"/>
      <c r="R1002" s="476">
        <f t="shared" si="47"/>
        <v>0</v>
      </c>
    </row>
    <row r="1003" spans="2:18" ht="15" customHeight="1" x14ac:dyDescent="0.2">
      <c r="B1003" s="224"/>
      <c r="C1003" s="473"/>
      <c r="D1003" s="476">
        <f t="shared" si="45"/>
        <v>0</v>
      </c>
      <c r="I1003" s="224"/>
      <c r="J1003" s="473"/>
      <c r="K1003" s="476">
        <f t="shared" si="46"/>
        <v>0</v>
      </c>
      <c r="P1003" s="224"/>
      <c r="Q1003" s="473"/>
      <c r="R1003" s="476">
        <f t="shared" si="47"/>
        <v>0</v>
      </c>
    </row>
    <row r="1004" spans="2:18" ht="15" customHeight="1" x14ac:dyDescent="0.2">
      <c r="B1004" s="224"/>
      <c r="C1004" s="473"/>
      <c r="D1004" s="476">
        <f t="shared" si="45"/>
        <v>0</v>
      </c>
      <c r="I1004" s="224"/>
      <c r="J1004" s="473"/>
      <c r="K1004" s="476">
        <f t="shared" si="46"/>
        <v>0</v>
      </c>
      <c r="P1004" s="224"/>
      <c r="Q1004" s="473"/>
      <c r="R1004" s="476">
        <f t="shared" si="47"/>
        <v>0</v>
      </c>
    </row>
    <row r="1005" spans="2:18" ht="15" customHeight="1" x14ac:dyDescent="0.2">
      <c r="B1005" s="224"/>
      <c r="C1005" s="473"/>
      <c r="D1005" s="476">
        <f t="shared" si="45"/>
        <v>0</v>
      </c>
      <c r="I1005" s="224"/>
      <c r="J1005" s="473"/>
      <c r="K1005" s="476">
        <f t="shared" si="46"/>
        <v>0</v>
      </c>
      <c r="P1005" s="224"/>
      <c r="Q1005" s="473"/>
      <c r="R1005" s="476">
        <f t="shared" si="47"/>
        <v>0</v>
      </c>
    </row>
    <row r="1006" spans="2:18" ht="15" customHeight="1" x14ac:dyDescent="0.2">
      <c r="B1006" s="224"/>
      <c r="C1006" s="473"/>
      <c r="D1006" s="476">
        <f t="shared" si="45"/>
        <v>0</v>
      </c>
      <c r="I1006" s="224"/>
      <c r="J1006" s="473"/>
      <c r="K1006" s="476">
        <f t="shared" si="46"/>
        <v>0</v>
      </c>
      <c r="P1006" s="224"/>
      <c r="Q1006" s="473"/>
      <c r="R1006" s="476">
        <f t="shared" si="47"/>
        <v>0</v>
      </c>
    </row>
    <row r="1007" spans="2:18" ht="15" customHeight="1" x14ac:dyDescent="0.2">
      <c r="B1007" s="224"/>
      <c r="C1007" s="473"/>
      <c r="D1007" s="476">
        <f t="shared" si="45"/>
        <v>0</v>
      </c>
      <c r="I1007" s="224"/>
      <c r="J1007" s="473"/>
      <c r="K1007" s="476">
        <f t="shared" si="46"/>
        <v>0</v>
      </c>
      <c r="P1007" s="224"/>
      <c r="Q1007" s="473"/>
      <c r="R1007" s="476">
        <f t="shared" si="47"/>
        <v>0</v>
      </c>
    </row>
    <row r="1008" spans="2:18" ht="15" customHeight="1" x14ac:dyDescent="0.2">
      <c r="B1008" s="224"/>
      <c r="C1008" s="473"/>
      <c r="D1008" s="476">
        <f t="shared" si="45"/>
        <v>0</v>
      </c>
      <c r="I1008" s="224"/>
      <c r="J1008" s="473"/>
      <c r="K1008" s="476">
        <f t="shared" si="46"/>
        <v>0</v>
      </c>
      <c r="P1008" s="224"/>
      <c r="Q1008" s="473"/>
      <c r="R1008" s="476">
        <f t="shared" si="47"/>
        <v>0</v>
      </c>
    </row>
    <row r="1009" spans="2:18" ht="15" customHeight="1" x14ac:dyDescent="0.2">
      <c r="B1009" s="224"/>
      <c r="C1009" s="473"/>
      <c r="D1009" s="476">
        <f t="shared" si="45"/>
        <v>0</v>
      </c>
      <c r="I1009" s="224"/>
      <c r="J1009" s="473"/>
      <c r="K1009" s="476">
        <f t="shared" si="46"/>
        <v>0</v>
      </c>
      <c r="P1009" s="224"/>
      <c r="Q1009" s="473"/>
      <c r="R1009" s="476">
        <f t="shared" si="47"/>
        <v>0</v>
      </c>
    </row>
    <row r="1010" spans="2:18" ht="15" customHeight="1" x14ac:dyDescent="0.2">
      <c r="B1010" s="224"/>
      <c r="C1010" s="473"/>
      <c r="D1010" s="476">
        <f t="shared" si="45"/>
        <v>0</v>
      </c>
      <c r="I1010" s="224"/>
      <c r="J1010" s="473"/>
      <c r="K1010" s="476">
        <f t="shared" si="46"/>
        <v>0</v>
      </c>
      <c r="P1010" s="224"/>
      <c r="Q1010" s="473"/>
      <c r="R1010" s="476">
        <f t="shared" si="47"/>
        <v>0</v>
      </c>
    </row>
    <row r="1011" spans="2:18" ht="15" customHeight="1" x14ac:dyDescent="0.2">
      <c r="B1011" s="224"/>
      <c r="C1011" s="473"/>
      <c r="D1011" s="476">
        <f t="shared" si="45"/>
        <v>0</v>
      </c>
      <c r="I1011" s="224"/>
      <c r="J1011" s="473"/>
      <c r="K1011" s="476">
        <f t="shared" si="46"/>
        <v>0</v>
      </c>
      <c r="P1011" s="224"/>
      <c r="Q1011" s="473"/>
      <c r="R1011" s="476">
        <f t="shared" si="47"/>
        <v>0</v>
      </c>
    </row>
    <row r="1012" spans="2:18" ht="15" customHeight="1" x14ac:dyDescent="0.2">
      <c r="B1012" s="224"/>
      <c r="C1012" s="473"/>
      <c r="D1012" s="476">
        <f t="shared" si="45"/>
        <v>0</v>
      </c>
      <c r="I1012" s="224"/>
      <c r="J1012" s="473"/>
      <c r="K1012" s="476">
        <f t="shared" si="46"/>
        <v>0</v>
      </c>
      <c r="P1012" s="224"/>
      <c r="Q1012" s="473"/>
      <c r="R1012" s="476">
        <f t="shared" si="47"/>
        <v>0</v>
      </c>
    </row>
    <row r="1013" spans="2:18" ht="15" customHeight="1" x14ac:dyDescent="0.2">
      <c r="B1013" s="224"/>
      <c r="C1013" s="473"/>
      <c r="D1013" s="476">
        <f t="shared" si="45"/>
        <v>0</v>
      </c>
      <c r="I1013" s="224"/>
      <c r="J1013" s="473"/>
      <c r="K1013" s="476">
        <f t="shared" si="46"/>
        <v>0</v>
      </c>
      <c r="P1013" s="224"/>
      <c r="Q1013" s="473"/>
      <c r="R1013" s="476">
        <f t="shared" si="47"/>
        <v>0</v>
      </c>
    </row>
    <row r="1014" spans="2:18" ht="15" customHeight="1" x14ac:dyDescent="0.2">
      <c r="B1014" s="224"/>
      <c r="C1014" s="473"/>
      <c r="D1014" s="476">
        <f t="shared" si="45"/>
        <v>0</v>
      </c>
      <c r="I1014" s="224"/>
      <c r="J1014" s="473"/>
      <c r="K1014" s="476">
        <f t="shared" si="46"/>
        <v>0</v>
      </c>
      <c r="P1014" s="224"/>
      <c r="Q1014" s="473"/>
      <c r="R1014" s="476">
        <f t="shared" si="47"/>
        <v>0</v>
      </c>
    </row>
    <row r="1015" spans="2:18" ht="15" customHeight="1" x14ac:dyDescent="0.2">
      <c r="B1015" s="224"/>
      <c r="C1015" s="473"/>
      <c r="D1015" s="476">
        <f t="shared" si="45"/>
        <v>0</v>
      </c>
      <c r="I1015" s="224"/>
      <c r="J1015" s="473"/>
      <c r="K1015" s="476">
        <f t="shared" si="46"/>
        <v>0</v>
      </c>
      <c r="P1015" s="224"/>
      <c r="Q1015" s="473"/>
      <c r="R1015" s="476">
        <f t="shared" si="47"/>
        <v>0</v>
      </c>
    </row>
    <row r="1016" spans="2:18" ht="15" customHeight="1" x14ac:dyDescent="0.2">
      <c r="B1016" s="224"/>
      <c r="C1016" s="473"/>
      <c r="D1016" s="476">
        <f t="shared" si="45"/>
        <v>0</v>
      </c>
      <c r="I1016" s="224"/>
      <c r="J1016" s="473"/>
      <c r="K1016" s="476">
        <f t="shared" si="46"/>
        <v>0</v>
      </c>
      <c r="P1016" s="224"/>
      <c r="Q1016" s="473"/>
      <c r="R1016" s="476">
        <f t="shared" si="47"/>
        <v>0</v>
      </c>
    </row>
    <row r="1017" spans="2:18" ht="15" customHeight="1" x14ac:dyDescent="0.2">
      <c r="B1017" s="224"/>
      <c r="C1017" s="473"/>
      <c r="D1017" s="476">
        <f t="shared" si="45"/>
        <v>0</v>
      </c>
      <c r="I1017" s="224"/>
      <c r="J1017" s="473"/>
      <c r="K1017" s="476">
        <f t="shared" si="46"/>
        <v>0</v>
      </c>
      <c r="P1017" s="224"/>
      <c r="Q1017" s="473"/>
      <c r="R1017" s="476">
        <f t="shared" si="47"/>
        <v>0</v>
      </c>
    </row>
    <row r="1018" spans="2:18" ht="15" customHeight="1" x14ac:dyDescent="0.2">
      <c r="B1018" s="224"/>
      <c r="C1018" s="473"/>
      <c r="D1018" s="476">
        <f t="shared" si="45"/>
        <v>0</v>
      </c>
      <c r="I1018" s="224"/>
      <c r="J1018" s="473"/>
      <c r="K1018" s="476">
        <f t="shared" si="46"/>
        <v>0</v>
      </c>
      <c r="P1018" s="224"/>
      <c r="Q1018" s="473"/>
      <c r="R1018" s="476">
        <f t="shared" si="47"/>
        <v>0</v>
      </c>
    </row>
    <row r="1019" spans="2:18" ht="15" customHeight="1" x14ac:dyDescent="0.2">
      <c r="B1019" s="224"/>
      <c r="C1019" s="473"/>
      <c r="D1019" s="476">
        <f t="shared" si="45"/>
        <v>0</v>
      </c>
      <c r="I1019" s="224"/>
      <c r="J1019" s="473"/>
      <c r="K1019" s="476">
        <f t="shared" si="46"/>
        <v>0</v>
      </c>
      <c r="P1019" s="224"/>
      <c r="Q1019" s="473"/>
      <c r="R1019" s="476">
        <f t="shared" si="47"/>
        <v>0</v>
      </c>
    </row>
    <row r="1020" spans="2:18" ht="15" customHeight="1" x14ac:dyDescent="0.2">
      <c r="B1020" s="224"/>
      <c r="C1020" s="473"/>
      <c r="D1020" s="476">
        <f t="shared" si="45"/>
        <v>0</v>
      </c>
      <c r="I1020" s="224"/>
      <c r="J1020" s="473"/>
      <c r="K1020" s="476">
        <f t="shared" si="46"/>
        <v>0</v>
      </c>
      <c r="P1020" s="224"/>
      <c r="Q1020" s="473"/>
      <c r="R1020" s="476">
        <f t="shared" si="47"/>
        <v>0</v>
      </c>
    </row>
    <row r="1021" spans="2:18" ht="15" customHeight="1" x14ac:dyDescent="0.2">
      <c r="B1021" s="224"/>
      <c r="C1021" s="473"/>
      <c r="D1021" s="476">
        <f t="shared" si="45"/>
        <v>0</v>
      </c>
      <c r="I1021" s="224"/>
      <c r="J1021" s="473"/>
      <c r="K1021" s="476">
        <f t="shared" si="46"/>
        <v>0</v>
      </c>
      <c r="P1021" s="224"/>
      <c r="Q1021" s="473"/>
      <c r="R1021" s="476">
        <f t="shared" si="47"/>
        <v>0</v>
      </c>
    </row>
    <row r="1022" spans="2:18" ht="15" customHeight="1" x14ac:dyDescent="0.2">
      <c r="B1022" s="224"/>
      <c r="C1022" s="473"/>
      <c r="D1022" s="476">
        <f t="shared" si="45"/>
        <v>0</v>
      </c>
      <c r="I1022" s="224"/>
      <c r="J1022" s="473"/>
      <c r="K1022" s="476">
        <f t="shared" si="46"/>
        <v>0</v>
      </c>
      <c r="P1022" s="224"/>
      <c r="Q1022" s="473"/>
      <c r="R1022" s="476">
        <f t="shared" si="47"/>
        <v>0</v>
      </c>
    </row>
    <row r="1023" spans="2:18" ht="15" customHeight="1" x14ac:dyDescent="0.2">
      <c r="B1023" s="224"/>
      <c r="C1023" s="473"/>
      <c r="D1023" s="476">
        <f t="shared" si="45"/>
        <v>0</v>
      </c>
      <c r="I1023" s="224"/>
      <c r="J1023" s="473"/>
      <c r="K1023" s="476">
        <f t="shared" si="46"/>
        <v>0</v>
      </c>
      <c r="P1023" s="224"/>
      <c r="Q1023" s="473"/>
      <c r="R1023" s="476">
        <f t="shared" si="47"/>
        <v>0</v>
      </c>
    </row>
    <row r="1024" spans="2:18" ht="15" customHeight="1" x14ac:dyDescent="0.2">
      <c r="B1024" s="224"/>
      <c r="C1024" s="473"/>
      <c r="D1024" s="476">
        <f t="shared" si="45"/>
        <v>0</v>
      </c>
      <c r="I1024" s="224"/>
      <c r="J1024" s="473"/>
      <c r="K1024" s="476">
        <f t="shared" si="46"/>
        <v>0</v>
      </c>
      <c r="P1024" s="224"/>
      <c r="Q1024" s="473"/>
      <c r="R1024" s="476">
        <f t="shared" si="47"/>
        <v>0</v>
      </c>
    </row>
    <row r="1025" spans="2:18" ht="15" customHeight="1" x14ac:dyDescent="0.2">
      <c r="B1025" s="224"/>
      <c r="C1025" s="473"/>
      <c r="D1025" s="476">
        <f t="shared" si="45"/>
        <v>0</v>
      </c>
      <c r="I1025" s="224"/>
      <c r="J1025" s="473"/>
      <c r="K1025" s="476">
        <f t="shared" si="46"/>
        <v>0</v>
      </c>
      <c r="P1025" s="224"/>
      <c r="Q1025" s="473"/>
      <c r="R1025" s="476">
        <f t="shared" si="47"/>
        <v>0</v>
      </c>
    </row>
    <row r="1026" spans="2:18" ht="15" customHeight="1" x14ac:dyDescent="0.2">
      <c r="B1026" s="224"/>
      <c r="C1026" s="473"/>
      <c r="D1026" s="476">
        <f t="shared" si="45"/>
        <v>0</v>
      </c>
      <c r="I1026" s="224"/>
      <c r="J1026" s="473"/>
      <c r="K1026" s="476">
        <f t="shared" si="46"/>
        <v>0</v>
      </c>
      <c r="P1026" s="224"/>
      <c r="Q1026" s="473"/>
      <c r="R1026" s="476">
        <f t="shared" si="47"/>
        <v>0</v>
      </c>
    </row>
    <row r="1027" spans="2:18" ht="15" customHeight="1" x14ac:dyDescent="0.2">
      <c r="B1027" s="224"/>
      <c r="C1027" s="473"/>
      <c r="D1027" s="476">
        <f t="shared" si="45"/>
        <v>0</v>
      </c>
      <c r="I1027" s="224"/>
      <c r="J1027" s="473"/>
      <c r="K1027" s="476">
        <f t="shared" si="46"/>
        <v>0</v>
      </c>
      <c r="P1027" s="224"/>
      <c r="Q1027" s="473"/>
      <c r="R1027" s="476">
        <f t="shared" si="47"/>
        <v>0</v>
      </c>
    </row>
    <row r="1028" spans="2:18" ht="15" customHeight="1" x14ac:dyDescent="0.2">
      <c r="B1028" s="224"/>
      <c r="C1028" s="473"/>
      <c r="D1028" s="476">
        <f t="shared" si="45"/>
        <v>0</v>
      </c>
      <c r="I1028" s="224"/>
      <c r="J1028" s="473"/>
      <c r="K1028" s="476">
        <f t="shared" si="46"/>
        <v>0</v>
      </c>
      <c r="P1028" s="224"/>
      <c r="Q1028" s="473"/>
      <c r="R1028" s="476">
        <f t="shared" si="47"/>
        <v>0</v>
      </c>
    </row>
    <row r="1029" spans="2:18" ht="15" customHeight="1" x14ac:dyDescent="0.2">
      <c r="B1029" s="224"/>
      <c r="C1029" s="473"/>
      <c r="D1029" s="476">
        <f t="shared" si="45"/>
        <v>0</v>
      </c>
      <c r="I1029" s="224"/>
      <c r="J1029" s="473"/>
      <c r="K1029" s="476">
        <f t="shared" si="46"/>
        <v>0</v>
      </c>
      <c r="P1029" s="224"/>
      <c r="Q1029" s="473"/>
      <c r="R1029" s="476">
        <f t="shared" si="47"/>
        <v>0</v>
      </c>
    </row>
    <row r="1030" spans="2:18" ht="15" customHeight="1" x14ac:dyDescent="0.2">
      <c r="B1030" s="224"/>
      <c r="C1030" s="473"/>
      <c r="D1030" s="476">
        <f t="shared" si="45"/>
        <v>0</v>
      </c>
      <c r="I1030" s="224"/>
      <c r="J1030" s="473"/>
      <c r="K1030" s="476">
        <f t="shared" si="46"/>
        <v>0</v>
      </c>
      <c r="P1030" s="224"/>
      <c r="Q1030" s="473"/>
      <c r="R1030" s="476">
        <f t="shared" si="47"/>
        <v>0</v>
      </c>
    </row>
    <row r="1031" spans="2:18" ht="15" customHeight="1" x14ac:dyDescent="0.2">
      <c r="B1031" s="224"/>
      <c r="C1031" s="473"/>
      <c r="D1031" s="476">
        <f t="shared" si="45"/>
        <v>0</v>
      </c>
      <c r="I1031" s="224"/>
      <c r="J1031" s="473"/>
      <c r="K1031" s="476">
        <f t="shared" si="46"/>
        <v>0</v>
      </c>
      <c r="P1031" s="224"/>
      <c r="Q1031" s="473"/>
      <c r="R1031" s="476">
        <f t="shared" si="47"/>
        <v>0</v>
      </c>
    </row>
    <row r="1032" spans="2:18" ht="15" customHeight="1" x14ac:dyDescent="0.2">
      <c r="B1032" s="224"/>
      <c r="C1032" s="473"/>
      <c r="D1032" s="476">
        <f t="shared" si="45"/>
        <v>0</v>
      </c>
      <c r="I1032" s="224"/>
      <c r="J1032" s="473"/>
      <c r="K1032" s="476">
        <f t="shared" si="46"/>
        <v>0</v>
      </c>
      <c r="P1032" s="224"/>
      <c r="Q1032" s="473"/>
      <c r="R1032" s="476">
        <f t="shared" si="47"/>
        <v>0</v>
      </c>
    </row>
    <row r="1033" spans="2:18" ht="15" customHeight="1" x14ac:dyDescent="0.2">
      <c r="B1033" s="224"/>
      <c r="C1033" s="473"/>
      <c r="D1033" s="476">
        <f t="shared" si="45"/>
        <v>0</v>
      </c>
      <c r="I1033" s="224"/>
      <c r="J1033" s="473"/>
      <c r="K1033" s="476">
        <f t="shared" si="46"/>
        <v>0</v>
      </c>
      <c r="P1033" s="224"/>
      <c r="Q1033" s="473"/>
      <c r="R1033" s="476">
        <f t="shared" si="47"/>
        <v>0</v>
      </c>
    </row>
    <row r="1034" spans="2:18" ht="15" customHeight="1" x14ac:dyDescent="0.2">
      <c r="B1034" s="224"/>
      <c r="C1034" s="473"/>
      <c r="D1034" s="476">
        <f t="shared" si="45"/>
        <v>0</v>
      </c>
      <c r="I1034" s="224"/>
      <c r="J1034" s="473"/>
      <c r="K1034" s="476">
        <f t="shared" si="46"/>
        <v>0</v>
      </c>
      <c r="P1034" s="224"/>
      <c r="Q1034" s="473"/>
      <c r="R1034" s="476">
        <f t="shared" si="47"/>
        <v>0</v>
      </c>
    </row>
    <row r="1035" spans="2:18" ht="15" customHeight="1" x14ac:dyDescent="0.2">
      <c r="B1035" s="224"/>
      <c r="C1035" s="473"/>
      <c r="D1035" s="476">
        <f t="shared" si="45"/>
        <v>0</v>
      </c>
      <c r="I1035" s="224"/>
      <c r="J1035" s="473"/>
      <c r="K1035" s="476">
        <f t="shared" si="46"/>
        <v>0</v>
      </c>
      <c r="P1035" s="224"/>
      <c r="Q1035" s="473"/>
      <c r="R1035" s="476">
        <f t="shared" si="47"/>
        <v>0</v>
      </c>
    </row>
    <row r="1036" spans="2:18" ht="15" customHeight="1" x14ac:dyDescent="0.2">
      <c r="B1036" s="224"/>
      <c r="C1036" s="473"/>
      <c r="D1036" s="476">
        <f t="shared" si="45"/>
        <v>0</v>
      </c>
      <c r="I1036" s="224"/>
      <c r="J1036" s="473"/>
      <c r="K1036" s="476">
        <f t="shared" si="46"/>
        <v>0</v>
      </c>
      <c r="P1036" s="224"/>
      <c r="Q1036" s="473"/>
      <c r="R1036" s="476">
        <f t="shared" si="47"/>
        <v>0</v>
      </c>
    </row>
    <row r="1037" spans="2:18" ht="15" customHeight="1" x14ac:dyDescent="0.2">
      <c r="B1037" s="224"/>
      <c r="C1037" s="473"/>
      <c r="D1037" s="476">
        <f t="shared" si="45"/>
        <v>0</v>
      </c>
      <c r="I1037" s="224"/>
      <c r="J1037" s="473"/>
      <c r="K1037" s="476">
        <f t="shared" si="46"/>
        <v>0</v>
      </c>
      <c r="P1037" s="224"/>
      <c r="Q1037" s="473"/>
      <c r="R1037" s="476">
        <f t="shared" si="47"/>
        <v>0</v>
      </c>
    </row>
    <row r="1038" spans="2:18" ht="15" customHeight="1" x14ac:dyDescent="0.2">
      <c r="B1038" s="224"/>
      <c r="C1038" s="473"/>
      <c r="D1038" s="476">
        <f t="shared" si="45"/>
        <v>0</v>
      </c>
      <c r="I1038" s="224"/>
      <c r="J1038" s="473"/>
      <c r="K1038" s="476">
        <f t="shared" si="46"/>
        <v>0</v>
      </c>
      <c r="P1038" s="224"/>
      <c r="Q1038" s="473"/>
      <c r="R1038" s="476">
        <f t="shared" si="47"/>
        <v>0</v>
      </c>
    </row>
    <row r="1039" spans="2:18" ht="15" customHeight="1" x14ac:dyDescent="0.2">
      <c r="B1039" s="224"/>
      <c r="C1039" s="473"/>
      <c r="D1039" s="476">
        <f t="shared" si="45"/>
        <v>0</v>
      </c>
      <c r="I1039" s="224"/>
      <c r="J1039" s="473"/>
      <c r="K1039" s="476">
        <f t="shared" si="46"/>
        <v>0</v>
      </c>
      <c r="P1039" s="224"/>
      <c r="Q1039" s="473"/>
      <c r="R1039" s="476">
        <f t="shared" si="47"/>
        <v>0</v>
      </c>
    </row>
    <row r="1040" spans="2:18" ht="15" customHeight="1" x14ac:dyDescent="0.2">
      <c r="B1040" s="224"/>
      <c r="C1040" s="473"/>
      <c r="D1040" s="476">
        <f t="shared" si="45"/>
        <v>0</v>
      </c>
      <c r="I1040" s="224"/>
      <c r="J1040" s="473"/>
      <c r="K1040" s="476">
        <f t="shared" si="46"/>
        <v>0</v>
      </c>
      <c r="P1040" s="224"/>
      <c r="Q1040" s="473"/>
      <c r="R1040" s="476">
        <f t="shared" si="47"/>
        <v>0</v>
      </c>
    </row>
    <row r="1041" spans="2:18" ht="15" customHeight="1" x14ac:dyDescent="0.2">
      <c r="B1041" s="224"/>
      <c r="C1041" s="473"/>
      <c r="D1041" s="476">
        <f t="shared" si="45"/>
        <v>0</v>
      </c>
      <c r="I1041" s="224"/>
      <c r="J1041" s="473"/>
      <c r="K1041" s="476">
        <f t="shared" si="46"/>
        <v>0</v>
      </c>
      <c r="P1041" s="224"/>
      <c r="Q1041" s="473"/>
      <c r="R1041" s="476">
        <f t="shared" si="47"/>
        <v>0</v>
      </c>
    </row>
    <row r="1042" spans="2:18" ht="15" customHeight="1" x14ac:dyDescent="0.2">
      <c r="B1042" s="224"/>
      <c r="C1042" s="473"/>
      <c r="D1042" s="476">
        <f t="shared" ref="D1042:D1105" si="48">C1042/1000</f>
        <v>0</v>
      </c>
      <c r="I1042" s="224"/>
      <c r="J1042" s="473"/>
      <c r="K1042" s="476">
        <f t="shared" ref="K1042:K1105" si="49">J1042/1000</f>
        <v>0</v>
      </c>
      <c r="P1042" s="224"/>
      <c r="Q1042" s="473"/>
      <c r="R1042" s="476">
        <f t="shared" ref="R1042:R1105" si="50">Q1042/1000</f>
        <v>0</v>
      </c>
    </row>
    <row r="1043" spans="2:18" ht="15" customHeight="1" x14ac:dyDescent="0.2">
      <c r="B1043" s="224"/>
      <c r="C1043" s="473"/>
      <c r="D1043" s="476">
        <f t="shared" si="48"/>
        <v>0</v>
      </c>
      <c r="I1043" s="224"/>
      <c r="J1043" s="473"/>
      <c r="K1043" s="476">
        <f t="shared" si="49"/>
        <v>0</v>
      </c>
      <c r="P1043" s="224"/>
      <c r="Q1043" s="473"/>
      <c r="R1043" s="476">
        <f t="shared" si="50"/>
        <v>0</v>
      </c>
    </row>
    <row r="1044" spans="2:18" ht="15" customHeight="1" x14ac:dyDescent="0.2">
      <c r="B1044" s="224"/>
      <c r="C1044" s="473"/>
      <c r="D1044" s="476">
        <f t="shared" si="48"/>
        <v>0</v>
      </c>
      <c r="I1044" s="224"/>
      <c r="J1044" s="473"/>
      <c r="K1044" s="476">
        <f t="shared" si="49"/>
        <v>0</v>
      </c>
      <c r="P1044" s="224"/>
      <c r="Q1044" s="473"/>
      <c r="R1044" s="476">
        <f t="shared" si="50"/>
        <v>0</v>
      </c>
    </row>
    <row r="1045" spans="2:18" ht="15" customHeight="1" x14ac:dyDescent="0.2">
      <c r="B1045" s="224"/>
      <c r="C1045" s="473"/>
      <c r="D1045" s="476">
        <f t="shared" si="48"/>
        <v>0</v>
      </c>
      <c r="I1045" s="224"/>
      <c r="J1045" s="473"/>
      <c r="K1045" s="476">
        <f t="shared" si="49"/>
        <v>0</v>
      </c>
      <c r="P1045" s="224"/>
      <c r="Q1045" s="473"/>
      <c r="R1045" s="476">
        <f t="shared" si="50"/>
        <v>0</v>
      </c>
    </row>
    <row r="1046" spans="2:18" ht="15" customHeight="1" x14ac:dyDescent="0.2">
      <c r="B1046" s="224"/>
      <c r="C1046" s="473"/>
      <c r="D1046" s="476">
        <f t="shared" si="48"/>
        <v>0</v>
      </c>
      <c r="I1046" s="224"/>
      <c r="J1046" s="473"/>
      <c r="K1046" s="476">
        <f t="shared" si="49"/>
        <v>0</v>
      </c>
      <c r="P1046" s="224"/>
      <c r="Q1046" s="473"/>
      <c r="R1046" s="476">
        <f t="shared" si="50"/>
        <v>0</v>
      </c>
    </row>
    <row r="1047" spans="2:18" ht="15" customHeight="1" x14ac:dyDescent="0.2">
      <c r="B1047" s="224"/>
      <c r="C1047" s="473"/>
      <c r="D1047" s="476">
        <f t="shared" si="48"/>
        <v>0</v>
      </c>
      <c r="I1047" s="224"/>
      <c r="J1047" s="473"/>
      <c r="K1047" s="476">
        <f t="shared" si="49"/>
        <v>0</v>
      </c>
      <c r="P1047" s="224"/>
      <c r="Q1047" s="473"/>
      <c r="R1047" s="476">
        <f t="shared" si="50"/>
        <v>0</v>
      </c>
    </row>
    <row r="1048" spans="2:18" ht="15" customHeight="1" x14ac:dyDescent="0.2">
      <c r="B1048" s="224"/>
      <c r="C1048" s="473"/>
      <c r="D1048" s="476">
        <f t="shared" si="48"/>
        <v>0</v>
      </c>
      <c r="I1048" s="224"/>
      <c r="J1048" s="473"/>
      <c r="K1048" s="476">
        <f t="shared" si="49"/>
        <v>0</v>
      </c>
      <c r="P1048" s="224"/>
      <c r="Q1048" s="473"/>
      <c r="R1048" s="476">
        <f t="shared" si="50"/>
        <v>0</v>
      </c>
    </row>
    <row r="1049" spans="2:18" ht="15" customHeight="1" x14ac:dyDescent="0.2">
      <c r="B1049" s="224"/>
      <c r="C1049" s="473"/>
      <c r="D1049" s="476">
        <f t="shared" si="48"/>
        <v>0</v>
      </c>
      <c r="I1049" s="224"/>
      <c r="J1049" s="473"/>
      <c r="K1049" s="476">
        <f t="shared" si="49"/>
        <v>0</v>
      </c>
      <c r="P1049" s="224"/>
      <c r="Q1049" s="473"/>
      <c r="R1049" s="476">
        <f t="shared" si="50"/>
        <v>0</v>
      </c>
    </row>
    <row r="1050" spans="2:18" ht="15" customHeight="1" x14ac:dyDescent="0.2">
      <c r="B1050" s="224"/>
      <c r="C1050" s="473"/>
      <c r="D1050" s="476">
        <f t="shared" si="48"/>
        <v>0</v>
      </c>
      <c r="I1050" s="224"/>
      <c r="J1050" s="473"/>
      <c r="K1050" s="476">
        <f t="shared" si="49"/>
        <v>0</v>
      </c>
      <c r="P1050" s="224"/>
      <c r="Q1050" s="473"/>
      <c r="R1050" s="476">
        <f t="shared" si="50"/>
        <v>0</v>
      </c>
    </row>
    <row r="1051" spans="2:18" ht="15" customHeight="1" x14ac:dyDescent="0.2">
      <c r="B1051" s="224"/>
      <c r="C1051" s="473"/>
      <c r="D1051" s="476">
        <f t="shared" si="48"/>
        <v>0</v>
      </c>
      <c r="I1051" s="224"/>
      <c r="J1051" s="473"/>
      <c r="K1051" s="476">
        <f t="shared" si="49"/>
        <v>0</v>
      </c>
      <c r="P1051" s="224"/>
      <c r="Q1051" s="473"/>
      <c r="R1051" s="476">
        <f t="shared" si="50"/>
        <v>0</v>
      </c>
    </row>
    <row r="1052" spans="2:18" ht="15" customHeight="1" x14ac:dyDescent="0.2">
      <c r="B1052" s="224"/>
      <c r="C1052" s="473"/>
      <c r="D1052" s="476">
        <f t="shared" si="48"/>
        <v>0</v>
      </c>
      <c r="I1052" s="224"/>
      <c r="J1052" s="473"/>
      <c r="K1052" s="476">
        <f t="shared" si="49"/>
        <v>0</v>
      </c>
      <c r="P1052" s="224"/>
      <c r="Q1052" s="473"/>
      <c r="R1052" s="476">
        <f t="shared" si="50"/>
        <v>0</v>
      </c>
    </row>
    <row r="1053" spans="2:18" ht="15" customHeight="1" x14ac:dyDescent="0.2">
      <c r="B1053" s="224"/>
      <c r="C1053" s="473"/>
      <c r="D1053" s="476">
        <f t="shared" si="48"/>
        <v>0</v>
      </c>
      <c r="I1053" s="224"/>
      <c r="J1053" s="473"/>
      <c r="K1053" s="476">
        <f t="shared" si="49"/>
        <v>0</v>
      </c>
      <c r="P1053" s="224"/>
      <c r="Q1053" s="473"/>
      <c r="R1053" s="476">
        <f t="shared" si="50"/>
        <v>0</v>
      </c>
    </row>
    <row r="1054" spans="2:18" ht="15" customHeight="1" x14ac:dyDescent="0.2">
      <c r="B1054" s="224"/>
      <c r="C1054" s="473"/>
      <c r="D1054" s="476">
        <f t="shared" si="48"/>
        <v>0</v>
      </c>
      <c r="I1054" s="224"/>
      <c r="J1054" s="473"/>
      <c r="K1054" s="476">
        <f t="shared" si="49"/>
        <v>0</v>
      </c>
      <c r="P1054" s="224"/>
      <c r="Q1054" s="473"/>
      <c r="R1054" s="476">
        <f t="shared" si="50"/>
        <v>0</v>
      </c>
    </row>
    <row r="1055" spans="2:18" ht="15" customHeight="1" x14ac:dyDescent="0.2">
      <c r="B1055" s="224"/>
      <c r="C1055" s="473"/>
      <c r="D1055" s="476">
        <f t="shared" si="48"/>
        <v>0</v>
      </c>
      <c r="I1055" s="224"/>
      <c r="J1055" s="473"/>
      <c r="K1055" s="476">
        <f t="shared" si="49"/>
        <v>0</v>
      </c>
      <c r="P1055" s="224"/>
      <c r="Q1055" s="473"/>
      <c r="R1055" s="476">
        <f t="shared" si="50"/>
        <v>0</v>
      </c>
    </row>
    <row r="1056" spans="2:18" ht="15" customHeight="1" x14ac:dyDescent="0.2">
      <c r="B1056" s="224"/>
      <c r="C1056" s="473"/>
      <c r="D1056" s="476">
        <f t="shared" si="48"/>
        <v>0</v>
      </c>
      <c r="I1056" s="224"/>
      <c r="J1056" s="473"/>
      <c r="K1056" s="476">
        <f t="shared" si="49"/>
        <v>0</v>
      </c>
      <c r="P1056" s="224"/>
      <c r="Q1056" s="473"/>
      <c r="R1056" s="476">
        <f t="shared" si="50"/>
        <v>0</v>
      </c>
    </row>
    <row r="1057" spans="2:18" ht="15" customHeight="1" x14ac:dyDescent="0.2">
      <c r="B1057" s="224"/>
      <c r="C1057" s="473"/>
      <c r="D1057" s="476">
        <f t="shared" si="48"/>
        <v>0</v>
      </c>
      <c r="I1057" s="224"/>
      <c r="J1057" s="473"/>
      <c r="K1057" s="476">
        <f t="shared" si="49"/>
        <v>0</v>
      </c>
      <c r="P1057" s="224"/>
      <c r="Q1057" s="473"/>
      <c r="R1057" s="476">
        <f t="shared" si="50"/>
        <v>0</v>
      </c>
    </row>
    <row r="1058" spans="2:18" ht="15" customHeight="1" x14ac:dyDescent="0.2">
      <c r="B1058" s="224"/>
      <c r="C1058" s="473"/>
      <c r="D1058" s="476">
        <f t="shared" si="48"/>
        <v>0</v>
      </c>
      <c r="I1058" s="224"/>
      <c r="J1058" s="473"/>
      <c r="K1058" s="476">
        <f t="shared" si="49"/>
        <v>0</v>
      </c>
      <c r="P1058" s="224"/>
      <c r="Q1058" s="473"/>
      <c r="R1058" s="476">
        <f t="shared" si="50"/>
        <v>0</v>
      </c>
    </row>
    <row r="1059" spans="2:18" ht="15" customHeight="1" x14ac:dyDescent="0.2">
      <c r="B1059" s="224"/>
      <c r="C1059" s="473"/>
      <c r="D1059" s="476">
        <f t="shared" si="48"/>
        <v>0</v>
      </c>
      <c r="I1059" s="224"/>
      <c r="J1059" s="473"/>
      <c r="K1059" s="476">
        <f t="shared" si="49"/>
        <v>0</v>
      </c>
      <c r="P1059" s="224"/>
      <c r="Q1059" s="473"/>
      <c r="R1059" s="476">
        <f t="shared" si="50"/>
        <v>0</v>
      </c>
    </row>
    <row r="1060" spans="2:18" ht="15" customHeight="1" x14ac:dyDescent="0.2">
      <c r="B1060" s="224"/>
      <c r="C1060" s="473"/>
      <c r="D1060" s="476">
        <f t="shared" si="48"/>
        <v>0</v>
      </c>
      <c r="I1060" s="224"/>
      <c r="J1060" s="473"/>
      <c r="K1060" s="476">
        <f t="shared" si="49"/>
        <v>0</v>
      </c>
      <c r="P1060" s="224"/>
      <c r="Q1060" s="473"/>
      <c r="R1060" s="476">
        <f t="shared" si="50"/>
        <v>0</v>
      </c>
    </row>
    <row r="1061" spans="2:18" ht="15" customHeight="1" x14ac:dyDescent="0.2">
      <c r="B1061" s="224"/>
      <c r="C1061" s="473"/>
      <c r="D1061" s="476">
        <f t="shared" si="48"/>
        <v>0</v>
      </c>
      <c r="I1061" s="224"/>
      <c r="J1061" s="473"/>
      <c r="K1061" s="476">
        <f t="shared" si="49"/>
        <v>0</v>
      </c>
      <c r="P1061" s="224"/>
      <c r="Q1061" s="473"/>
      <c r="R1061" s="476">
        <f t="shared" si="50"/>
        <v>0</v>
      </c>
    </row>
    <row r="1062" spans="2:18" ht="15" customHeight="1" x14ac:dyDescent="0.2">
      <c r="B1062" s="224"/>
      <c r="C1062" s="473"/>
      <c r="D1062" s="476">
        <f t="shared" si="48"/>
        <v>0</v>
      </c>
      <c r="I1062" s="224"/>
      <c r="J1062" s="473"/>
      <c r="K1062" s="476">
        <f t="shared" si="49"/>
        <v>0</v>
      </c>
      <c r="P1062" s="224"/>
      <c r="Q1062" s="473"/>
      <c r="R1062" s="476">
        <f t="shared" si="50"/>
        <v>0</v>
      </c>
    </row>
    <row r="1063" spans="2:18" ht="15" customHeight="1" x14ac:dyDescent="0.2">
      <c r="B1063" s="224"/>
      <c r="C1063" s="473"/>
      <c r="D1063" s="476">
        <f t="shared" si="48"/>
        <v>0</v>
      </c>
      <c r="I1063" s="224"/>
      <c r="J1063" s="473"/>
      <c r="K1063" s="476">
        <f t="shared" si="49"/>
        <v>0</v>
      </c>
      <c r="P1063" s="224"/>
      <c r="Q1063" s="473"/>
      <c r="R1063" s="476">
        <f t="shared" si="50"/>
        <v>0</v>
      </c>
    </row>
    <row r="1064" spans="2:18" ht="15" customHeight="1" x14ac:dyDescent="0.2">
      <c r="B1064" s="224"/>
      <c r="C1064" s="473"/>
      <c r="D1064" s="476">
        <f t="shared" si="48"/>
        <v>0</v>
      </c>
      <c r="I1064" s="224"/>
      <c r="J1064" s="473"/>
      <c r="K1064" s="476">
        <f t="shared" si="49"/>
        <v>0</v>
      </c>
      <c r="P1064" s="224"/>
      <c r="Q1064" s="473"/>
      <c r="R1064" s="476">
        <f t="shared" si="50"/>
        <v>0</v>
      </c>
    </row>
    <row r="1065" spans="2:18" ht="15" customHeight="1" x14ac:dyDescent="0.2">
      <c r="B1065" s="224"/>
      <c r="C1065" s="473"/>
      <c r="D1065" s="476">
        <f t="shared" si="48"/>
        <v>0</v>
      </c>
      <c r="I1065" s="224"/>
      <c r="J1065" s="473"/>
      <c r="K1065" s="476">
        <f t="shared" si="49"/>
        <v>0</v>
      </c>
      <c r="P1065" s="224"/>
      <c r="Q1065" s="473"/>
      <c r="R1065" s="476">
        <f t="shared" si="50"/>
        <v>0</v>
      </c>
    </row>
    <row r="1066" spans="2:18" ht="15" customHeight="1" x14ac:dyDescent="0.2">
      <c r="B1066" s="224"/>
      <c r="C1066" s="473"/>
      <c r="D1066" s="476">
        <f t="shared" si="48"/>
        <v>0</v>
      </c>
      <c r="I1066" s="224"/>
      <c r="J1066" s="473"/>
      <c r="K1066" s="476">
        <f t="shared" si="49"/>
        <v>0</v>
      </c>
      <c r="P1066" s="224"/>
      <c r="Q1066" s="473"/>
      <c r="R1066" s="476">
        <f t="shared" si="50"/>
        <v>0</v>
      </c>
    </row>
    <row r="1067" spans="2:18" ht="15" customHeight="1" x14ac:dyDescent="0.2">
      <c r="B1067" s="224"/>
      <c r="C1067" s="473"/>
      <c r="D1067" s="476">
        <f t="shared" si="48"/>
        <v>0</v>
      </c>
      <c r="I1067" s="224"/>
      <c r="J1067" s="473"/>
      <c r="K1067" s="476">
        <f t="shared" si="49"/>
        <v>0</v>
      </c>
      <c r="P1067" s="224"/>
      <c r="Q1067" s="473"/>
      <c r="R1067" s="476">
        <f t="shared" si="50"/>
        <v>0</v>
      </c>
    </row>
    <row r="1068" spans="2:18" ht="15" customHeight="1" x14ac:dyDescent="0.2">
      <c r="B1068" s="224"/>
      <c r="C1068" s="473"/>
      <c r="D1068" s="476">
        <f t="shared" si="48"/>
        <v>0</v>
      </c>
      <c r="I1068" s="224"/>
      <c r="J1068" s="473"/>
      <c r="K1068" s="476">
        <f t="shared" si="49"/>
        <v>0</v>
      </c>
      <c r="P1068" s="224"/>
      <c r="Q1068" s="473"/>
      <c r="R1068" s="476">
        <f t="shared" si="50"/>
        <v>0</v>
      </c>
    </row>
    <row r="1069" spans="2:18" ht="15" customHeight="1" x14ac:dyDescent="0.2">
      <c r="B1069" s="224"/>
      <c r="C1069" s="473"/>
      <c r="D1069" s="476">
        <f t="shared" si="48"/>
        <v>0</v>
      </c>
      <c r="I1069" s="224"/>
      <c r="J1069" s="473"/>
      <c r="K1069" s="476">
        <f t="shared" si="49"/>
        <v>0</v>
      </c>
      <c r="P1069" s="224"/>
      <c r="Q1069" s="473"/>
      <c r="R1069" s="476">
        <f t="shared" si="50"/>
        <v>0</v>
      </c>
    </row>
    <row r="1070" spans="2:18" ht="15" customHeight="1" x14ac:dyDescent="0.2">
      <c r="B1070" s="224"/>
      <c r="C1070" s="473"/>
      <c r="D1070" s="476">
        <f t="shared" si="48"/>
        <v>0</v>
      </c>
      <c r="I1070" s="224"/>
      <c r="J1070" s="473"/>
      <c r="K1070" s="476">
        <f t="shared" si="49"/>
        <v>0</v>
      </c>
      <c r="P1070" s="224"/>
      <c r="Q1070" s="473"/>
      <c r="R1070" s="476">
        <f t="shared" si="50"/>
        <v>0</v>
      </c>
    </row>
    <row r="1071" spans="2:18" ht="15" customHeight="1" x14ac:dyDescent="0.2">
      <c r="B1071" s="224"/>
      <c r="C1071" s="473"/>
      <c r="D1071" s="476">
        <f t="shared" si="48"/>
        <v>0</v>
      </c>
      <c r="I1071" s="224"/>
      <c r="J1071" s="473"/>
      <c r="K1071" s="476">
        <f t="shared" si="49"/>
        <v>0</v>
      </c>
      <c r="P1071" s="224"/>
      <c r="Q1071" s="473"/>
      <c r="R1071" s="476">
        <f t="shared" si="50"/>
        <v>0</v>
      </c>
    </row>
    <row r="1072" spans="2:18" ht="15" customHeight="1" x14ac:dyDescent="0.2">
      <c r="B1072" s="224"/>
      <c r="C1072" s="473"/>
      <c r="D1072" s="476">
        <f t="shared" si="48"/>
        <v>0</v>
      </c>
      <c r="I1072" s="224"/>
      <c r="J1072" s="473"/>
      <c r="K1072" s="476">
        <f t="shared" si="49"/>
        <v>0</v>
      </c>
      <c r="P1072" s="224"/>
      <c r="Q1072" s="473"/>
      <c r="R1072" s="476">
        <f t="shared" si="50"/>
        <v>0</v>
      </c>
    </row>
    <row r="1073" spans="2:18" ht="15" customHeight="1" x14ac:dyDescent="0.2">
      <c r="B1073" s="224"/>
      <c r="C1073" s="473"/>
      <c r="D1073" s="476">
        <f t="shared" si="48"/>
        <v>0</v>
      </c>
      <c r="I1073" s="224"/>
      <c r="J1073" s="473"/>
      <c r="K1073" s="476">
        <f t="shared" si="49"/>
        <v>0</v>
      </c>
      <c r="P1073" s="224"/>
      <c r="Q1073" s="473"/>
      <c r="R1073" s="476">
        <f t="shared" si="50"/>
        <v>0</v>
      </c>
    </row>
    <row r="1074" spans="2:18" ht="15" customHeight="1" x14ac:dyDescent="0.2">
      <c r="B1074" s="224"/>
      <c r="C1074" s="473"/>
      <c r="D1074" s="476">
        <f t="shared" si="48"/>
        <v>0</v>
      </c>
      <c r="I1074" s="224"/>
      <c r="J1074" s="473"/>
      <c r="K1074" s="476">
        <f t="shared" si="49"/>
        <v>0</v>
      </c>
      <c r="P1074" s="224"/>
      <c r="Q1074" s="473"/>
      <c r="R1074" s="476">
        <f t="shared" si="50"/>
        <v>0</v>
      </c>
    </row>
    <row r="1075" spans="2:18" ht="15" customHeight="1" x14ac:dyDescent="0.2">
      <c r="B1075" s="224"/>
      <c r="C1075" s="473"/>
      <c r="D1075" s="476">
        <f t="shared" si="48"/>
        <v>0</v>
      </c>
      <c r="I1075" s="224"/>
      <c r="J1075" s="473"/>
      <c r="K1075" s="476">
        <f t="shared" si="49"/>
        <v>0</v>
      </c>
      <c r="P1075" s="224"/>
      <c r="Q1075" s="473"/>
      <c r="R1075" s="476">
        <f t="shared" si="50"/>
        <v>0</v>
      </c>
    </row>
    <row r="1076" spans="2:18" ht="15" customHeight="1" x14ac:dyDescent="0.2">
      <c r="B1076" s="224"/>
      <c r="C1076" s="473"/>
      <c r="D1076" s="476">
        <f t="shared" si="48"/>
        <v>0</v>
      </c>
      <c r="I1076" s="224"/>
      <c r="J1076" s="473"/>
      <c r="K1076" s="476">
        <f t="shared" si="49"/>
        <v>0</v>
      </c>
      <c r="P1076" s="224"/>
      <c r="Q1076" s="473"/>
      <c r="R1076" s="476">
        <f t="shared" si="50"/>
        <v>0</v>
      </c>
    </row>
    <row r="1077" spans="2:18" ht="15" customHeight="1" x14ac:dyDescent="0.2">
      <c r="B1077" s="224"/>
      <c r="C1077" s="473"/>
      <c r="D1077" s="476">
        <f t="shared" si="48"/>
        <v>0</v>
      </c>
      <c r="I1077" s="224"/>
      <c r="J1077" s="473"/>
      <c r="K1077" s="476">
        <f t="shared" si="49"/>
        <v>0</v>
      </c>
      <c r="P1077" s="224"/>
      <c r="Q1077" s="473"/>
      <c r="R1077" s="476">
        <f t="shared" si="50"/>
        <v>0</v>
      </c>
    </row>
    <row r="1078" spans="2:18" ht="15" customHeight="1" x14ac:dyDescent="0.2">
      <c r="B1078" s="224"/>
      <c r="C1078" s="473"/>
      <c r="D1078" s="476">
        <f t="shared" si="48"/>
        <v>0</v>
      </c>
      <c r="I1078" s="224"/>
      <c r="J1078" s="473"/>
      <c r="K1078" s="476">
        <f t="shared" si="49"/>
        <v>0</v>
      </c>
      <c r="P1078" s="224"/>
      <c r="Q1078" s="473"/>
      <c r="R1078" s="476">
        <f t="shared" si="50"/>
        <v>0</v>
      </c>
    </row>
    <row r="1079" spans="2:18" ht="15" customHeight="1" x14ac:dyDescent="0.2">
      <c r="B1079" s="224"/>
      <c r="C1079" s="473"/>
      <c r="D1079" s="476">
        <f t="shared" si="48"/>
        <v>0</v>
      </c>
      <c r="I1079" s="224"/>
      <c r="J1079" s="473"/>
      <c r="K1079" s="476">
        <f t="shared" si="49"/>
        <v>0</v>
      </c>
      <c r="P1079" s="224"/>
      <c r="Q1079" s="473"/>
      <c r="R1079" s="476">
        <f t="shared" si="50"/>
        <v>0</v>
      </c>
    </row>
    <row r="1080" spans="2:18" ht="15" customHeight="1" x14ac:dyDescent="0.2">
      <c r="B1080" s="224"/>
      <c r="C1080" s="473"/>
      <c r="D1080" s="476">
        <f t="shared" si="48"/>
        <v>0</v>
      </c>
      <c r="I1080" s="224"/>
      <c r="J1080" s="473"/>
      <c r="K1080" s="476">
        <f t="shared" si="49"/>
        <v>0</v>
      </c>
      <c r="P1080" s="224"/>
      <c r="Q1080" s="473"/>
      <c r="R1080" s="476">
        <f t="shared" si="50"/>
        <v>0</v>
      </c>
    </row>
    <row r="1081" spans="2:18" ht="15" customHeight="1" x14ac:dyDescent="0.2">
      <c r="B1081" s="224"/>
      <c r="C1081" s="473"/>
      <c r="D1081" s="476">
        <f t="shared" si="48"/>
        <v>0</v>
      </c>
      <c r="I1081" s="224"/>
      <c r="J1081" s="473"/>
      <c r="K1081" s="476">
        <f t="shared" si="49"/>
        <v>0</v>
      </c>
      <c r="P1081" s="224"/>
      <c r="Q1081" s="473"/>
      <c r="R1081" s="476">
        <f t="shared" si="50"/>
        <v>0</v>
      </c>
    </row>
    <row r="1082" spans="2:18" ht="15" customHeight="1" x14ac:dyDescent="0.2">
      <c r="B1082" s="224"/>
      <c r="C1082" s="473"/>
      <c r="D1082" s="476">
        <f t="shared" si="48"/>
        <v>0</v>
      </c>
      <c r="I1082" s="224"/>
      <c r="J1082" s="473"/>
      <c r="K1082" s="476">
        <f t="shared" si="49"/>
        <v>0</v>
      </c>
      <c r="P1082" s="224"/>
      <c r="Q1082" s="473"/>
      <c r="R1082" s="476">
        <f t="shared" si="50"/>
        <v>0</v>
      </c>
    </row>
    <row r="1083" spans="2:18" ht="15" customHeight="1" x14ac:dyDescent="0.2">
      <c r="B1083" s="224"/>
      <c r="C1083" s="473"/>
      <c r="D1083" s="476">
        <f t="shared" si="48"/>
        <v>0</v>
      </c>
      <c r="I1083" s="224"/>
      <c r="J1083" s="473"/>
      <c r="K1083" s="476">
        <f t="shared" si="49"/>
        <v>0</v>
      </c>
      <c r="P1083" s="224"/>
      <c r="Q1083" s="473"/>
      <c r="R1083" s="476">
        <f t="shared" si="50"/>
        <v>0</v>
      </c>
    </row>
    <row r="1084" spans="2:18" ht="15" customHeight="1" x14ac:dyDescent="0.2">
      <c r="B1084" s="224"/>
      <c r="C1084" s="473"/>
      <c r="D1084" s="476">
        <f t="shared" si="48"/>
        <v>0</v>
      </c>
      <c r="I1084" s="224"/>
      <c r="J1084" s="473"/>
      <c r="K1084" s="476">
        <f t="shared" si="49"/>
        <v>0</v>
      </c>
      <c r="P1084" s="224"/>
      <c r="Q1084" s="473"/>
      <c r="R1084" s="476">
        <f t="shared" si="50"/>
        <v>0</v>
      </c>
    </row>
    <row r="1085" spans="2:18" ht="15" customHeight="1" x14ac:dyDescent="0.2">
      <c r="B1085" s="224"/>
      <c r="C1085" s="473"/>
      <c r="D1085" s="476">
        <f t="shared" si="48"/>
        <v>0</v>
      </c>
      <c r="I1085" s="224"/>
      <c r="J1085" s="473"/>
      <c r="K1085" s="476">
        <f t="shared" si="49"/>
        <v>0</v>
      </c>
      <c r="P1085" s="224"/>
      <c r="Q1085" s="473"/>
      <c r="R1085" s="476">
        <f t="shared" si="50"/>
        <v>0</v>
      </c>
    </row>
    <row r="1086" spans="2:18" ht="15" customHeight="1" x14ac:dyDescent="0.2">
      <c r="B1086" s="224"/>
      <c r="C1086" s="473"/>
      <c r="D1086" s="476">
        <f t="shared" si="48"/>
        <v>0</v>
      </c>
      <c r="I1086" s="224"/>
      <c r="J1086" s="473"/>
      <c r="K1086" s="476">
        <f t="shared" si="49"/>
        <v>0</v>
      </c>
      <c r="P1086" s="224"/>
      <c r="Q1086" s="473"/>
      <c r="R1086" s="476">
        <f t="shared" si="50"/>
        <v>0</v>
      </c>
    </row>
    <row r="1087" spans="2:18" ht="15" customHeight="1" x14ac:dyDescent="0.2">
      <c r="B1087" s="224"/>
      <c r="C1087" s="473"/>
      <c r="D1087" s="476">
        <f t="shared" si="48"/>
        <v>0</v>
      </c>
      <c r="I1087" s="224"/>
      <c r="J1087" s="473"/>
      <c r="K1087" s="476">
        <f t="shared" si="49"/>
        <v>0</v>
      </c>
      <c r="P1087" s="224"/>
      <c r="Q1087" s="473"/>
      <c r="R1087" s="476">
        <f t="shared" si="50"/>
        <v>0</v>
      </c>
    </row>
    <row r="1088" spans="2:18" ht="15" customHeight="1" x14ac:dyDescent="0.2">
      <c r="B1088" s="224"/>
      <c r="C1088" s="473"/>
      <c r="D1088" s="476">
        <f t="shared" si="48"/>
        <v>0</v>
      </c>
      <c r="I1088" s="224"/>
      <c r="J1088" s="473"/>
      <c r="K1088" s="476">
        <f t="shared" si="49"/>
        <v>0</v>
      </c>
      <c r="P1088" s="224"/>
      <c r="Q1088" s="473"/>
      <c r="R1088" s="476">
        <f t="shared" si="50"/>
        <v>0</v>
      </c>
    </row>
    <row r="1089" spans="2:18" ht="15" customHeight="1" x14ac:dyDescent="0.2">
      <c r="B1089" s="224"/>
      <c r="C1089" s="473"/>
      <c r="D1089" s="476">
        <f t="shared" si="48"/>
        <v>0</v>
      </c>
      <c r="I1089" s="224"/>
      <c r="J1089" s="473"/>
      <c r="K1089" s="476">
        <f t="shared" si="49"/>
        <v>0</v>
      </c>
      <c r="P1089" s="224"/>
      <c r="Q1089" s="473"/>
      <c r="R1089" s="476">
        <f t="shared" si="50"/>
        <v>0</v>
      </c>
    </row>
    <row r="1090" spans="2:18" ht="15" customHeight="1" x14ac:dyDescent="0.2">
      <c r="B1090" s="224"/>
      <c r="C1090" s="473"/>
      <c r="D1090" s="476">
        <f t="shared" si="48"/>
        <v>0</v>
      </c>
      <c r="I1090" s="224"/>
      <c r="J1090" s="473"/>
      <c r="K1090" s="476">
        <f t="shared" si="49"/>
        <v>0</v>
      </c>
      <c r="P1090" s="224"/>
      <c r="Q1090" s="473"/>
      <c r="R1090" s="476">
        <f t="shared" si="50"/>
        <v>0</v>
      </c>
    </row>
    <row r="1091" spans="2:18" ht="15" customHeight="1" x14ac:dyDescent="0.2">
      <c r="B1091" s="224"/>
      <c r="C1091" s="473"/>
      <c r="D1091" s="476">
        <f t="shared" si="48"/>
        <v>0</v>
      </c>
      <c r="I1091" s="224"/>
      <c r="J1091" s="473"/>
      <c r="K1091" s="476">
        <f t="shared" si="49"/>
        <v>0</v>
      </c>
      <c r="P1091" s="224"/>
      <c r="Q1091" s="473"/>
      <c r="R1091" s="476">
        <f t="shared" si="50"/>
        <v>0</v>
      </c>
    </row>
    <row r="1092" spans="2:18" ht="15" customHeight="1" x14ac:dyDescent="0.2">
      <c r="B1092" s="224"/>
      <c r="C1092" s="473"/>
      <c r="D1092" s="476">
        <f t="shared" si="48"/>
        <v>0</v>
      </c>
      <c r="I1092" s="224"/>
      <c r="J1092" s="473"/>
      <c r="K1092" s="476">
        <f t="shared" si="49"/>
        <v>0</v>
      </c>
      <c r="P1092" s="224"/>
      <c r="Q1092" s="473"/>
      <c r="R1092" s="476">
        <f t="shared" si="50"/>
        <v>0</v>
      </c>
    </row>
    <row r="1093" spans="2:18" ht="15" customHeight="1" x14ac:dyDescent="0.2">
      <c r="B1093" s="224"/>
      <c r="C1093" s="473"/>
      <c r="D1093" s="476">
        <f t="shared" si="48"/>
        <v>0</v>
      </c>
      <c r="I1093" s="224"/>
      <c r="J1093" s="473"/>
      <c r="K1093" s="476">
        <f t="shared" si="49"/>
        <v>0</v>
      </c>
      <c r="P1093" s="224"/>
      <c r="Q1093" s="473"/>
      <c r="R1093" s="476">
        <f t="shared" si="50"/>
        <v>0</v>
      </c>
    </row>
    <row r="1094" spans="2:18" ht="15" customHeight="1" x14ac:dyDescent="0.2">
      <c r="B1094" s="224"/>
      <c r="C1094" s="473"/>
      <c r="D1094" s="476">
        <f t="shared" si="48"/>
        <v>0</v>
      </c>
      <c r="I1094" s="224"/>
      <c r="J1094" s="473"/>
      <c r="K1094" s="476">
        <f t="shared" si="49"/>
        <v>0</v>
      </c>
      <c r="P1094" s="224"/>
      <c r="Q1094" s="473"/>
      <c r="R1094" s="476">
        <f t="shared" si="50"/>
        <v>0</v>
      </c>
    </row>
    <row r="1095" spans="2:18" ht="15" customHeight="1" x14ac:dyDescent="0.2">
      <c r="B1095" s="224"/>
      <c r="C1095" s="473"/>
      <c r="D1095" s="476">
        <f t="shared" si="48"/>
        <v>0</v>
      </c>
      <c r="I1095" s="224"/>
      <c r="J1095" s="473"/>
      <c r="K1095" s="476">
        <f t="shared" si="49"/>
        <v>0</v>
      </c>
      <c r="P1095" s="224"/>
      <c r="Q1095" s="473"/>
      <c r="R1095" s="476">
        <f t="shared" si="50"/>
        <v>0</v>
      </c>
    </row>
    <row r="1096" spans="2:18" ht="15" customHeight="1" x14ac:dyDescent="0.2">
      <c r="B1096" s="224"/>
      <c r="C1096" s="473"/>
      <c r="D1096" s="476">
        <f t="shared" si="48"/>
        <v>0</v>
      </c>
      <c r="I1096" s="224"/>
      <c r="J1096" s="473"/>
      <c r="K1096" s="476">
        <f t="shared" si="49"/>
        <v>0</v>
      </c>
      <c r="P1096" s="224"/>
      <c r="Q1096" s="473"/>
      <c r="R1096" s="476">
        <f t="shared" si="50"/>
        <v>0</v>
      </c>
    </row>
    <row r="1097" spans="2:18" ht="15" customHeight="1" x14ac:dyDescent="0.2">
      <c r="B1097" s="224"/>
      <c r="C1097" s="473"/>
      <c r="D1097" s="476">
        <f t="shared" si="48"/>
        <v>0</v>
      </c>
      <c r="I1097" s="224"/>
      <c r="J1097" s="473"/>
      <c r="K1097" s="476">
        <f t="shared" si="49"/>
        <v>0</v>
      </c>
      <c r="P1097" s="224"/>
      <c r="Q1097" s="473"/>
      <c r="R1097" s="476">
        <f t="shared" si="50"/>
        <v>0</v>
      </c>
    </row>
    <row r="1098" spans="2:18" ht="15" customHeight="1" x14ac:dyDescent="0.2">
      <c r="B1098" s="224"/>
      <c r="C1098" s="473"/>
      <c r="D1098" s="476">
        <f t="shared" si="48"/>
        <v>0</v>
      </c>
      <c r="I1098" s="224"/>
      <c r="J1098" s="473"/>
      <c r="K1098" s="476">
        <f t="shared" si="49"/>
        <v>0</v>
      </c>
      <c r="P1098" s="224"/>
      <c r="Q1098" s="473"/>
      <c r="R1098" s="476">
        <f t="shared" si="50"/>
        <v>0</v>
      </c>
    </row>
    <row r="1099" spans="2:18" ht="15" customHeight="1" x14ac:dyDescent="0.2">
      <c r="B1099" s="224"/>
      <c r="C1099" s="473"/>
      <c r="D1099" s="476">
        <f t="shared" si="48"/>
        <v>0</v>
      </c>
      <c r="I1099" s="224"/>
      <c r="J1099" s="473"/>
      <c r="K1099" s="476">
        <f t="shared" si="49"/>
        <v>0</v>
      </c>
      <c r="P1099" s="224"/>
      <c r="Q1099" s="473"/>
      <c r="R1099" s="476">
        <f t="shared" si="50"/>
        <v>0</v>
      </c>
    </row>
    <row r="1100" spans="2:18" ht="15" customHeight="1" x14ac:dyDescent="0.2">
      <c r="B1100" s="224"/>
      <c r="C1100" s="473"/>
      <c r="D1100" s="476">
        <f t="shared" si="48"/>
        <v>0</v>
      </c>
      <c r="I1100" s="224"/>
      <c r="J1100" s="473"/>
      <c r="K1100" s="476">
        <f t="shared" si="49"/>
        <v>0</v>
      </c>
      <c r="P1100" s="224"/>
      <c r="Q1100" s="473"/>
      <c r="R1100" s="476">
        <f t="shared" si="50"/>
        <v>0</v>
      </c>
    </row>
    <row r="1101" spans="2:18" ht="15" customHeight="1" x14ac:dyDescent="0.2">
      <c r="B1101" s="224"/>
      <c r="C1101" s="473"/>
      <c r="D1101" s="476">
        <f t="shared" si="48"/>
        <v>0</v>
      </c>
      <c r="I1101" s="224"/>
      <c r="J1101" s="473"/>
      <c r="K1101" s="476">
        <f t="shared" si="49"/>
        <v>0</v>
      </c>
      <c r="P1101" s="224"/>
      <c r="Q1101" s="473"/>
      <c r="R1101" s="476">
        <f t="shared" si="50"/>
        <v>0</v>
      </c>
    </row>
    <row r="1102" spans="2:18" ht="15" customHeight="1" x14ac:dyDescent="0.2">
      <c r="B1102" s="224"/>
      <c r="C1102" s="473"/>
      <c r="D1102" s="476">
        <f t="shared" si="48"/>
        <v>0</v>
      </c>
      <c r="I1102" s="224"/>
      <c r="J1102" s="473"/>
      <c r="K1102" s="476">
        <f t="shared" si="49"/>
        <v>0</v>
      </c>
      <c r="P1102" s="224"/>
      <c r="Q1102" s="473"/>
      <c r="R1102" s="476">
        <f t="shared" si="50"/>
        <v>0</v>
      </c>
    </row>
    <row r="1103" spans="2:18" ht="15" customHeight="1" x14ac:dyDescent="0.2">
      <c r="B1103" s="224"/>
      <c r="C1103" s="473"/>
      <c r="D1103" s="476">
        <f t="shared" si="48"/>
        <v>0</v>
      </c>
      <c r="I1103" s="224"/>
      <c r="J1103" s="473"/>
      <c r="K1103" s="476">
        <f t="shared" si="49"/>
        <v>0</v>
      </c>
      <c r="P1103" s="224"/>
      <c r="Q1103" s="473"/>
      <c r="R1103" s="476">
        <f t="shared" si="50"/>
        <v>0</v>
      </c>
    </row>
    <row r="1104" spans="2:18" ht="15" customHeight="1" x14ac:dyDescent="0.2">
      <c r="B1104" s="224"/>
      <c r="C1104" s="473"/>
      <c r="D1104" s="476">
        <f t="shared" si="48"/>
        <v>0</v>
      </c>
      <c r="I1104" s="224"/>
      <c r="J1104" s="473"/>
      <c r="K1104" s="476">
        <f t="shared" si="49"/>
        <v>0</v>
      </c>
      <c r="P1104" s="224"/>
      <c r="Q1104" s="473"/>
      <c r="R1104" s="476">
        <f t="shared" si="50"/>
        <v>0</v>
      </c>
    </row>
    <row r="1105" spans="2:18" ht="15" customHeight="1" x14ac:dyDescent="0.2">
      <c r="B1105" s="224"/>
      <c r="C1105" s="473"/>
      <c r="D1105" s="476">
        <f t="shared" si="48"/>
        <v>0</v>
      </c>
      <c r="I1105" s="224"/>
      <c r="J1105" s="473"/>
      <c r="K1105" s="476">
        <f t="shared" si="49"/>
        <v>0</v>
      </c>
      <c r="P1105" s="224"/>
      <c r="Q1105" s="473"/>
      <c r="R1105" s="476">
        <f t="shared" si="50"/>
        <v>0</v>
      </c>
    </row>
    <row r="1106" spans="2:18" ht="15" customHeight="1" x14ac:dyDescent="0.2">
      <c r="B1106" s="224"/>
      <c r="C1106" s="473"/>
      <c r="D1106" s="476">
        <f t="shared" ref="D1106:D1169" si="51">C1106/1000</f>
        <v>0</v>
      </c>
      <c r="I1106" s="224"/>
      <c r="J1106" s="473"/>
      <c r="K1106" s="476">
        <f t="shared" ref="K1106:K1169" si="52">J1106/1000</f>
        <v>0</v>
      </c>
      <c r="P1106" s="224"/>
      <c r="Q1106" s="473"/>
      <c r="R1106" s="476">
        <f t="shared" ref="R1106:R1169" si="53">Q1106/1000</f>
        <v>0</v>
      </c>
    </row>
    <row r="1107" spans="2:18" ht="15" customHeight="1" x14ac:dyDescent="0.2">
      <c r="B1107" s="224"/>
      <c r="C1107" s="473"/>
      <c r="D1107" s="476">
        <f t="shared" si="51"/>
        <v>0</v>
      </c>
      <c r="I1107" s="224"/>
      <c r="J1107" s="473"/>
      <c r="K1107" s="476">
        <f t="shared" si="52"/>
        <v>0</v>
      </c>
      <c r="P1107" s="224"/>
      <c r="Q1107" s="473"/>
      <c r="R1107" s="476">
        <f t="shared" si="53"/>
        <v>0</v>
      </c>
    </row>
    <row r="1108" spans="2:18" ht="15" customHeight="1" x14ac:dyDescent="0.2">
      <c r="B1108" s="224"/>
      <c r="C1108" s="473"/>
      <c r="D1108" s="476">
        <f t="shared" si="51"/>
        <v>0</v>
      </c>
      <c r="I1108" s="224"/>
      <c r="J1108" s="473"/>
      <c r="K1108" s="476">
        <f t="shared" si="52"/>
        <v>0</v>
      </c>
      <c r="P1108" s="224"/>
      <c r="Q1108" s="473"/>
      <c r="R1108" s="476">
        <f t="shared" si="53"/>
        <v>0</v>
      </c>
    </row>
    <row r="1109" spans="2:18" ht="15" customHeight="1" x14ac:dyDescent="0.2">
      <c r="B1109" s="224"/>
      <c r="C1109" s="473"/>
      <c r="D1109" s="476">
        <f t="shared" si="51"/>
        <v>0</v>
      </c>
      <c r="I1109" s="224"/>
      <c r="J1109" s="473"/>
      <c r="K1109" s="476">
        <f t="shared" si="52"/>
        <v>0</v>
      </c>
      <c r="P1109" s="224"/>
      <c r="Q1109" s="473"/>
      <c r="R1109" s="476">
        <f t="shared" si="53"/>
        <v>0</v>
      </c>
    </row>
    <row r="1110" spans="2:18" ht="15" customHeight="1" x14ac:dyDescent="0.2">
      <c r="B1110" s="224"/>
      <c r="C1110" s="473"/>
      <c r="D1110" s="476">
        <f t="shared" si="51"/>
        <v>0</v>
      </c>
      <c r="I1110" s="224"/>
      <c r="J1110" s="473"/>
      <c r="K1110" s="476">
        <f t="shared" si="52"/>
        <v>0</v>
      </c>
      <c r="P1110" s="224"/>
      <c r="Q1110" s="473"/>
      <c r="R1110" s="476">
        <f t="shared" si="53"/>
        <v>0</v>
      </c>
    </row>
    <row r="1111" spans="2:18" ht="15" customHeight="1" x14ac:dyDescent="0.2">
      <c r="B1111" s="224"/>
      <c r="C1111" s="473"/>
      <c r="D1111" s="476">
        <f t="shared" si="51"/>
        <v>0</v>
      </c>
      <c r="I1111" s="224"/>
      <c r="J1111" s="473"/>
      <c r="K1111" s="476">
        <f t="shared" si="52"/>
        <v>0</v>
      </c>
      <c r="P1111" s="224"/>
      <c r="Q1111" s="473"/>
      <c r="R1111" s="476">
        <f t="shared" si="53"/>
        <v>0</v>
      </c>
    </row>
    <row r="1112" spans="2:18" ht="15" customHeight="1" x14ac:dyDescent="0.2">
      <c r="B1112" s="224"/>
      <c r="C1112" s="473"/>
      <c r="D1112" s="476">
        <f t="shared" si="51"/>
        <v>0</v>
      </c>
      <c r="I1112" s="224"/>
      <c r="J1112" s="473"/>
      <c r="K1112" s="476">
        <f t="shared" si="52"/>
        <v>0</v>
      </c>
      <c r="P1112" s="224"/>
      <c r="Q1112" s="473"/>
      <c r="R1112" s="476">
        <f t="shared" si="53"/>
        <v>0</v>
      </c>
    </row>
    <row r="1113" spans="2:18" ht="15" customHeight="1" x14ac:dyDescent="0.2">
      <c r="B1113" s="224"/>
      <c r="C1113" s="473"/>
      <c r="D1113" s="476">
        <f t="shared" si="51"/>
        <v>0</v>
      </c>
      <c r="I1113" s="224"/>
      <c r="J1113" s="473"/>
      <c r="K1113" s="476">
        <f t="shared" si="52"/>
        <v>0</v>
      </c>
      <c r="P1113" s="224"/>
      <c r="Q1113" s="473"/>
      <c r="R1113" s="476">
        <f t="shared" si="53"/>
        <v>0</v>
      </c>
    </row>
    <row r="1114" spans="2:18" ht="15" customHeight="1" x14ac:dyDescent="0.2">
      <c r="B1114" s="224"/>
      <c r="C1114" s="473"/>
      <c r="D1114" s="476">
        <f t="shared" si="51"/>
        <v>0</v>
      </c>
      <c r="I1114" s="224"/>
      <c r="J1114" s="473"/>
      <c r="K1114" s="476">
        <f t="shared" si="52"/>
        <v>0</v>
      </c>
      <c r="P1114" s="224"/>
      <c r="Q1114" s="473"/>
      <c r="R1114" s="476">
        <f t="shared" si="53"/>
        <v>0</v>
      </c>
    </row>
    <row r="1115" spans="2:18" ht="15" customHeight="1" x14ac:dyDescent="0.2">
      <c r="B1115" s="224"/>
      <c r="C1115" s="473"/>
      <c r="D1115" s="476">
        <f t="shared" si="51"/>
        <v>0</v>
      </c>
      <c r="I1115" s="224"/>
      <c r="J1115" s="473"/>
      <c r="K1115" s="476">
        <f t="shared" si="52"/>
        <v>0</v>
      </c>
      <c r="P1115" s="224"/>
      <c r="Q1115" s="473"/>
      <c r="R1115" s="476">
        <f t="shared" si="53"/>
        <v>0</v>
      </c>
    </row>
    <row r="1116" spans="2:18" ht="15" customHeight="1" x14ac:dyDescent="0.2">
      <c r="B1116" s="224"/>
      <c r="C1116" s="473"/>
      <c r="D1116" s="476">
        <f t="shared" si="51"/>
        <v>0</v>
      </c>
      <c r="I1116" s="224"/>
      <c r="J1116" s="473"/>
      <c r="K1116" s="476">
        <f t="shared" si="52"/>
        <v>0</v>
      </c>
      <c r="P1116" s="224"/>
      <c r="Q1116" s="473"/>
      <c r="R1116" s="476">
        <f t="shared" si="53"/>
        <v>0</v>
      </c>
    </row>
    <row r="1117" spans="2:18" ht="15" customHeight="1" x14ac:dyDescent="0.2">
      <c r="B1117" s="224"/>
      <c r="C1117" s="473"/>
      <c r="D1117" s="476">
        <f t="shared" si="51"/>
        <v>0</v>
      </c>
      <c r="I1117" s="224"/>
      <c r="J1117" s="473"/>
      <c r="K1117" s="476">
        <f t="shared" si="52"/>
        <v>0</v>
      </c>
      <c r="P1117" s="224"/>
      <c r="Q1117" s="473"/>
      <c r="R1117" s="476">
        <f t="shared" si="53"/>
        <v>0</v>
      </c>
    </row>
    <row r="1118" spans="2:18" ht="15" customHeight="1" x14ac:dyDescent="0.2">
      <c r="B1118" s="224"/>
      <c r="C1118" s="473"/>
      <c r="D1118" s="476">
        <f t="shared" si="51"/>
        <v>0</v>
      </c>
      <c r="I1118" s="224"/>
      <c r="J1118" s="473"/>
      <c r="K1118" s="476">
        <f t="shared" si="52"/>
        <v>0</v>
      </c>
      <c r="P1118" s="224"/>
      <c r="Q1118" s="473"/>
      <c r="R1118" s="476">
        <f t="shared" si="53"/>
        <v>0</v>
      </c>
    </row>
    <row r="1119" spans="2:18" ht="15" customHeight="1" x14ac:dyDescent="0.2">
      <c r="B1119" s="224"/>
      <c r="C1119" s="473"/>
      <c r="D1119" s="476">
        <f t="shared" si="51"/>
        <v>0</v>
      </c>
      <c r="I1119" s="224"/>
      <c r="J1119" s="473"/>
      <c r="K1119" s="476">
        <f t="shared" si="52"/>
        <v>0</v>
      </c>
      <c r="P1119" s="224"/>
      <c r="Q1119" s="473"/>
      <c r="R1119" s="476">
        <f t="shared" si="53"/>
        <v>0</v>
      </c>
    </row>
    <row r="1120" spans="2:18" ht="15" customHeight="1" x14ac:dyDescent="0.2">
      <c r="B1120" s="224"/>
      <c r="C1120" s="473"/>
      <c r="D1120" s="476">
        <f t="shared" si="51"/>
        <v>0</v>
      </c>
      <c r="I1120" s="224"/>
      <c r="J1120" s="473"/>
      <c r="K1120" s="476">
        <f t="shared" si="52"/>
        <v>0</v>
      </c>
      <c r="P1120" s="224"/>
      <c r="Q1120" s="473"/>
      <c r="R1120" s="476">
        <f t="shared" si="53"/>
        <v>0</v>
      </c>
    </row>
    <row r="1121" spans="2:18" ht="15" customHeight="1" x14ac:dyDescent="0.2">
      <c r="B1121" s="224"/>
      <c r="C1121" s="473"/>
      <c r="D1121" s="476">
        <f t="shared" si="51"/>
        <v>0</v>
      </c>
      <c r="I1121" s="224"/>
      <c r="J1121" s="473"/>
      <c r="K1121" s="476">
        <f t="shared" si="52"/>
        <v>0</v>
      </c>
      <c r="P1121" s="224"/>
      <c r="Q1121" s="473"/>
      <c r="R1121" s="476">
        <f t="shared" si="53"/>
        <v>0</v>
      </c>
    </row>
    <row r="1122" spans="2:18" ht="15" customHeight="1" x14ac:dyDescent="0.2">
      <c r="B1122" s="224"/>
      <c r="C1122" s="473"/>
      <c r="D1122" s="476">
        <f t="shared" si="51"/>
        <v>0</v>
      </c>
      <c r="I1122" s="224"/>
      <c r="J1122" s="473"/>
      <c r="K1122" s="476">
        <f t="shared" si="52"/>
        <v>0</v>
      </c>
      <c r="P1122" s="224"/>
      <c r="Q1122" s="473"/>
      <c r="R1122" s="476">
        <f t="shared" si="53"/>
        <v>0</v>
      </c>
    </row>
    <row r="1123" spans="2:18" ht="15" customHeight="1" x14ac:dyDescent="0.2">
      <c r="B1123" s="224"/>
      <c r="C1123" s="473"/>
      <c r="D1123" s="476">
        <f t="shared" si="51"/>
        <v>0</v>
      </c>
      <c r="I1123" s="224"/>
      <c r="J1123" s="473"/>
      <c r="K1123" s="476">
        <f t="shared" si="52"/>
        <v>0</v>
      </c>
      <c r="P1123" s="224"/>
      <c r="Q1123" s="473"/>
      <c r="R1123" s="476">
        <f t="shared" si="53"/>
        <v>0</v>
      </c>
    </row>
    <row r="1124" spans="2:18" ht="15" customHeight="1" x14ac:dyDescent="0.2">
      <c r="B1124" s="224"/>
      <c r="C1124" s="473"/>
      <c r="D1124" s="476">
        <f t="shared" si="51"/>
        <v>0</v>
      </c>
      <c r="I1124" s="224"/>
      <c r="J1124" s="473"/>
      <c r="K1124" s="476">
        <f t="shared" si="52"/>
        <v>0</v>
      </c>
      <c r="P1124" s="224"/>
      <c r="Q1124" s="473"/>
      <c r="R1124" s="476">
        <f t="shared" si="53"/>
        <v>0</v>
      </c>
    </row>
    <row r="1125" spans="2:18" ht="15" customHeight="1" x14ac:dyDescent="0.2">
      <c r="B1125" s="224"/>
      <c r="C1125" s="473"/>
      <c r="D1125" s="476">
        <f t="shared" si="51"/>
        <v>0</v>
      </c>
      <c r="I1125" s="224"/>
      <c r="J1125" s="473"/>
      <c r="K1125" s="476">
        <f t="shared" si="52"/>
        <v>0</v>
      </c>
      <c r="P1125" s="224"/>
      <c r="Q1125" s="473"/>
      <c r="R1125" s="476">
        <f t="shared" si="53"/>
        <v>0</v>
      </c>
    </row>
    <row r="1126" spans="2:18" ht="15" customHeight="1" x14ac:dyDescent="0.2">
      <c r="B1126" s="224"/>
      <c r="C1126" s="473"/>
      <c r="D1126" s="476">
        <f t="shared" si="51"/>
        <v>0</v>
      </c>
      <c r="I1126" s="224"/>
      <c r="J1126" s="473"/>
      <c r="K1126" s="476">
        <f t="shared" si="52"/>
        <v>0</v>
      </c>
      <c r="P1126" s="224"/>
      <c r="Q1126" s="473"/>
      <c r="R1126" s="476">
        <f t="shared" si="53"/>
        <v>0</v>
      </c>
    </row>
    <row r="1127" spans="2:18" ht="15" customHeight="1" x14ac:dyDescent="0.2">
      <c r="B1127" s="224"/>
      <c r="C1127" s="473"/>
      <c r="D1127" s="476">
        <f t="shared" si="51"/>
        <v>0</v>
      </c>
      <c r="I1127" s="224"/>
      <c r="J1127" s="473"/>
      <c r="K1127" s="476">
        <f t="shared" si="52"/>
        <v>0</v>
      </c>
      <c r="P1127" s="224"/>
      <c r="Q1127" s="473"/>
      <c r="R1127" s="476">
        <f t="shared" si="53"/>
        <v>0</v>
      </c>
    </row>
    <row r="1128" spans="2:18" ht="15" customHeight="1" x14ac:dyDescent="0.2">
      <c r="B1128" s="224"/>
      <c r="C1128" s="473"/>
      <c r="D1128" s="476">
        <f t="shared" si="51"/>
        <v>0</v>
      </c>
      <c r="I1128" s="224"/>
      <c r="J1128" s="473"/>
      <c r="K1128" s="476">
        <f t="shared" si="52"/>
        <v>0</v>
      </c>
      <c r="P1128" s="224"/>
      <c r="Q1128" s="473"/>
      <c r="R1128" s="476">
        <f t="shared" si="53"/>
        <v>0</v>
      </c>
    </row>
    <row r="1129" spans="2:18" ht="15" customHeight="1" x14ac:dyDescent="0.2">
      <c r="B1129" s="224"/>
      <c r="C1129" s="473"/>
      <c r="D1129" s="476">
        <f t="shared" si="51"/>
        <v>0</v>
      </c>
      <c r="I1129" s="224"/>
      <c r="J1129" s="473"/>
      <c r="K1129" s="476">
        <f t="shared" si="52"/>
        <v>0</v>
      </c>
      <c r="P1129" s="224"/>
      <c r="Q1129" s="473"/>
      <c r="R1129" s="476">
        <f t="shared" si="53"/>
        <v>0</v>
      </c>
    </row>
    <row r="1130" spans="2:18" ht="15" customHeight="1" x14ac:dyDescent="0.2">
      <c r="B1130" s="224"/>
      <c r="C1130" s="473"/>
      <c r="D1130" s="476">
        <f t="shared" si="51"/>
        <v>0</v>
      </c>
      <c r="I1130" s="224"/>
      <c r="J1130" s="473"/>
      <c r="K1130" s="476">
        <f t="shared" si="52"/>
        <v>0</v>
      </c>
      <c r="P1130" s="224"/>
      <c r="Q1130" s="473"/>
      <c r="R1130" s="476">
        <f t="shared" si="53"/>
        <v>0</v>
      </c>
    </row>
    <row r="1131" spans="2:18" ht="15" customHeight="1" x14ac:dyDescent="0.2">
      <c r="B1131" s="224"/>
      <c r="C1131" s="473"/>
      <c r="D1131" s="476">
        <f t="shared" si="51"/>
        <v>0</v>
      </c>
      <c r="I1131" s="224"/>
      <c r="J1131" s="473"/>
      <c r="K1131" s="476">
        <f t="shared" si="52"/>
        <v>0</v>
      </c>
      <c r="P1131" s="224"/>
      <c r="Q1131" s="473"/>
      <c r="R1131" s="476">
        <f t="shared" si="53"/>
        <v>0</v>
      </c>
    </row>
    <row r="1132" spans="2:18" ht="15" customHeight="1" x14ac:dyDescent="0.2">
      <c r="B1132" s="224"/>
      <c r="C1132" s="473"/>
      <c r="D1132" s="476">
        <f t="shared" si="51"/>
        <v>0</v>
      </c>
      <c r="I1132" s="224"/>
      <c r="J1132" s="473"/>
      <c r="K1132" s="476">
        <f t="shared" si="52"/>
        <v>0</v>
      </c>
      <c r="P1132" s="224"/>
      <c r="Q1132" s="473"/>
      <c r="R1132" s="476">
        <f t="shared" si="53"/>
        <v>0</v>
      </c>
    </row>
    <row r="1133" spans="2:18" ht="15" customHeight="1" x14ac:dyDescent="0.2">
      <c r="B1133" s="224"/>
      <c r="C1133" s="473"/>
      <c r="D1133" s="476">
        <f t="shared" si="51"/>
        <v>0</v>
      </c>
      <c r="I1133" s="224"/>
      <c r="J1133" s="473"/>
      <c r="K1133" s="476">
        <f t="shared" si="52"/>
        <v>0</v>
      </c>
      <c r="P1133" s="224"/>
      <c r="Q1133" s="473"/>
      <c r="R1133" s="476">
        <f t="shared" si="53"/>
        <v>0</v>
      </c>
    </row>
    <row r="1134" spans="2:18" ht="15" customHeight="1" x14ac:dyDescent="0.2">
      <c r="B1134" s="224"/>
      <c r="C1134" s="473"/>
      <c r="D1134" s="476">
        <f t="shared" si="51"/>
        <v>0</v>
      </c>
      <c r="I1134" s="224"/>
      <c r="J1134" s="473"/>
      <c r="K1134" s="476">
        <f t="shared" si="52"/>
        <v>0</v>
      </c>
      <c r="P1134" s="224"/>
      <c r="Q1134" s="473"/>
      <c r="R1134" s="476">
        <f t="shared" si="53"/>
        <v>0</v>
      </c>
    </row>
    <row r="1135" spans="2:18" ht="15" customHeight="1" x14ac:dyDescent="0.2">
      <c r="B1135" s="224"/>
      <c r="C1135" s="473"/>
      <c r="D1135" s="476">
        <f t="shared" si="51"/>
        <v>0</v>
      </c>
      <c r="I1135" s="224"/>
      <c r="J1135" s="473"/>
      <c r="K1135" s="476">
        <f t="shared" si="52"/>
        <v>0</v>
      </c>
      <c r="P1135" s="224"/>
      <c r="Q1135" s="473"/>
      <c r="R1135" s="476">
        <f t="shared" si="53"/>
        <v>0</v>
      </c>
    </row>
    <row r="1136" spans="2:18" ht="15" customHeight="1" x14ac:dyDescent="0.2">
      <c r="B1136" s="224"/>
      <c r="C1136" s="473"/>
      <c r="D1136" s="476">
        <f t="shared" si="51"/>
        <v>0</v>
      </c>
      <c r="I1136" s="224"/>
      <c r="J1136" s="473"/>
      <c r="K1136" s="476">
        <f t="shared" si="52"/>
        <v>0</v>
      </c>
      <c r="P1136" s="224"/>
      <c r="Q1136" s="473"/>
      <c r="R1136" s="476">
        <f t="shared" si="53"/>
        <v>0</v>
      </c>
    </row>
    <row r="1137" spans="2:18" ht="15" customHeight="1" x14ac:dyDescent="0.2">
      <c r="B1137" s="224"/>
      <c r="C1137" s="473"/>
      <c r="D1137" s="476">
        <f t="shared" si="51"/>
        <v>0</v>
      </c>
      <c r="I1137" s="224"/>
      <c r="J1137" s="473"/>
      <c r="K1137" s="476">
        <f t="shared" si="52"/>
        <v>0</v>
      </c>
      <c r="P1137" s="224"/>
      <c r="Q1137" s="473"/>
      <c r="R1137" s="476">
        <f t="shared" si="53"/>
        <v>0</v>
      </c>
    </row>
    <row r="1138" spans="2:18" ht="15" customHeight="1" x14ac:dyDescent="0.2">
      <c r="B1138" s="224"/>
      <c r="C1138" s="473"/>
      <c r="D1138" s="476">
        <f t="shared" si="51"/>
        <v>0</v>
      </c>
      <c r="I1138" s="224"/>
      <c r="J1138" s="473"/>
      <c r="K1138" s="476">
        <f t="shared" si="52"/>
        <v>0</v>
      </c>
      <c r="P1138" s="224"/>
      <c r="Q1138" s="473"/>
      <c r="R1138" s="476">
        <f t="shared" si="53"/>
        <v>0</v>
      </c>
    </row>
    <row r="1139" spans="2:18" ht="15" customHeight="1" x14ac:dyDescent="0.2">
      <c r="B1139" s="224"/>
      <c r="C1139" s="473"/>
      <c r="D1139" s="476">
        <f t="shared" si="51"/>
        <v>0</v>
      </c>
      <c r="I1139" s="224"/>
      <c r="J1139" s="473"/>
      <c r="K1139" s="476">
        <f t="shared" si="52"/>
        <v>0</v>
      </c>
      <c r="P1139" s="224"/>
      <c r="Q1139" s="473"/>
      <c r="R1139" s="476">
        <f t="shared" si="53"/>
        <v>0</v>
      </c>
    </row>
    <row r="1140" spans="2:18" ht="15" customHeight="1" x14ac:dyDescent="0.2">
      <c r="B1140" s="224"/>
      <c r="C1140" s="473"/>
      <c r="D1140" s="476">
        <f t="shared" si="51"/>
        <v>0</v>
      </c>
      <c r="I1140" s="224"/>
      <c r="J1140" s="473"/>
      <c r="K1140" s="476">
        <f t="shared" si="52"/>
        <v>0</v>
      </c>
      <c r="P1140" s="224"/>
      <c r="Q1140" s="473"/>
      <c r="R1140" s="476">
        <f t="shared" si="53"/>
        <v>0</v>
      </c>
    </row>
    <row r="1141" spans="2:18" ht="15" customHeight="1" x14ac:dyDescent="0.2">
      <c r="B1141" s="224"/>
      <c r="C1141" s="473"/>
      <c r="D1141" s="476">
        <f t="shared" si="51"/>
        <v>0</v>
      </c>
      <c r="I1141" s="224"/>
      <c r="J1141" s="473"/>
      <c r="K1141" s="476">
        <f t="shared" si="52"/>
        <v>0</v>
      </c>
      <c r="P1141" s="224"/>
      <c r="Q1141" s="473"/>
      <c r="R1141" s="476">
        <f t="shared" si="53"/>
        <v>0</v>
      </c>
    </row>
    <row r="1142" spans="2:18" ht="15" customHeight="1" x14ac:dyDescent="0.2">
      <c r="B1142" s="224"/>
      <c r="C1142" s="473"/>
      <c r="D1142" s="476">
        <f t="shared" si="51"/>
        <v>0</v>
      </c>
      <c r="I1142" s="224"/>
      <c r="J1142" s="473"/>
      <c r="K1142" s="476">
        <f t="shared" si="52"/>
        <v>0</v>
      </c>
      <c r="P1142" s="224"/>
      <c r="Q1142" s="473"/>
      <c r="R1142" s="476">
        <f t="shared" si="53"/>
        <v>0</v>
      </c>
    </row>
    <row r="1143" spans="2:18" ht="15" customHeight="1" x14ac:dyDescent="0.2">
      <c r="B1143" s="224"/>
      <c r="C1143" s="473"/>
      <c r="D1143" s="476">
        <f t="shared" si="51"/>
        <v>0</v>
      </c>
      <c r="I1143" s="224"/>
      <c r="J1143" s="473"/>
      <c r="K1143" s="476">
        <f t="shared" si="52"/>
        <v>0</v>
      </c>
      <c r="P1143" s="224"/>
      <c r="Q1143" s="473"/>
      <c r="R1143" s="476">
        <f t="shared" si="53"/>
        <v>0</v>
      </c>
    </row>
    <row r="1144" spans="2:18" ht="15" customHeight="1" x14ac:dyDescent="0.2">
      <c r="B1144" s="224"/>
      <c r="C1144" s="473"/>
      <c r="D1144" s="476">
        <f t="shared" si="51"/>
        <v>0</v>
      </c>
      <c r="I1144" s="224"/>
      <c r="J1144" s="473"/>
      <c r="K1144" s="476">
        <f t="shared" si="52"/>
        <v>0</v>
      </c>
      <c r="P1144" s="224"/>
      <c r="Q1144" s="473"/>
      <c r="R1144" s="476">
        <f t="shared" si="53"/>
        <v>0</v>
      </c>
    </row>
    <row r="1145" spans="2:18" ht="15" customHeight="1" x14ac:dyDescent="0.2">
      <c r="B1145" s="224"/>
      <c r="C1145" s="473"/>
      <c r="D1145" s="476">
        <f t="shared" si="51"/>
        <v>0</v>
      </c>
      <c r="I1145" s="224"/>
      <c r="J1145" s="473"/>
      <c r="K1145" s="476">
        <f t="shared" si="52"/>
        <v>0</v>
      </c>
      <c r="P1145" s="224"/>
      <c r="Q1145" s="473"/>
      <c r="R1145" s="476">
        <f t="shared" si="53"/>
        <v>0</v>
      </c>
    </row>
    <row r="1146" spans="2:18" ht="15" customHeight="1" x14ac:dyDescent="0.2">
      <c r="B1146" s="224"/>
      <c r="C1146" s="473"/>
      <c r="D1146" s="476">
        <f t="shared" si="51"/>
        <v>0</v>
      </c>
      <c r="I1146" s="224"/>
      <c r="J1146" s="473"/>
      <c r="K1146" s="476">
        <f t="shared" si="52"/>
        <v>0</v>
      </c>
      <c r="P1146" s="224"/>
      <c r="Q1146" s="473"/>
      <c r="R1146" s="476">
        <f t="shared" si="53"/>
        <v>0</v>
      </c>
    </row>
    <row r="1147" spans="2:18" ht="15" customHeight="1" x14ac:dyDescent="0.2">
      <c r="B1147" s="224"/>
      <c r="C1147" s="473"/>
      <c r="D1147" s="476">
        <f t="shared" si="51"/>
        <v>0</v>
      </c>
      <c r="I1147" s="224"/>
      <c r="J1147" s="473"/>
      <c r="K1147" s="476">
        <f t="shared" si="52"/>
        <v>0</v>
      </c>
      <c r="P1147" s="224"/>
      <c r="Q1147" s="473"/>
      <c r="R1147" s="476">
        <f t="shared" si="53"/>
        <v>0</v>
      </c>
    </row>
    <row r="1148" spans="2:18" ht="15" customHeight="1" x14ac:dyDescent="0.2">
      <c r="B1148" s="224"/>
      <c r="C1148" s="473"/>
      <c r="D1148" s="476">
        <f t="shared" si="51"/>
        <v>0</v>
      </c>
      <c r="I1148" s="224"/>
      <c r="J1148" s="473"/>
      <c r="K1148" s="476">
        <f t="shared" si="52"/>
        <v>0</v>
      </c>
      <c r="P1148" s="224"/>
      <c r="Q1148" s="473"/>
      <c r="R1148" s="476">
        <f t="shared" si="53"/>
        <v>0</v>
      </c>
    </row>
    <row r="1149" spans="2:18" ht="15" customHeight="1" x14ac:dyDescent="0.2">
      <c r="B1149" s="224"/>
      <c r="C1149" s="473"/>
      <c r="D1149" s="476">
        <f t="shared" si="51"/>
        <v>0</v>
      </c>
      <c r="I1149" s="224"/>
      <c r="J1149" s="473"/>
      <c r="K1149" s="476">
        <f t="shared" si="52"/>
        <v>0</v>
      </c>
      <c r="P1149" s="224"/>
      <c r="Q1149" s="473"/>
      <c r="R1149" s="476">
        <f t="shared" si="53"/>
        <v>0</v>
      </c>
    </row>
    <row r="1150" spans="2:18" ht="15" customHeight="1" x14ac:dyDescent="0.2">
      <c r="B1150" s="224"/>
      <c r="C1150" s="473"/>
      <c r="D1150" s="476">
        <f t="shared" si="51"/>
        <v>0</v>
      </c>
      <c r="I1150" s="224"/>
      <c r="J1150" s="473"/>
      <c r="K1150" s="476">
        <f t="shared" si="52"/>
        <v>0</v>
      </c>
      <c r="P1150" s="224"/>
      <c r="Q1150" s="473"/>
      <c r="R1150" s="476">
        <f t="shared" si="53"/>
        <v>0</v>
      </c>
    </row>
    <row r="1151" spans="2:18" ht="15" customHeight="1" x14ac:dyDescent="0.2">
      <c r="B1151" s="224"/>
      <c r="C1151" s="473"/>
      <c r="D1151" s="476">
        <f t="shared" si="51"/>
        <v>0</v>
      </c>
      <c r="I1151" s="224"/>
      <c r="J1151" s="473"/>
      <c r="K1151" s="476">
        <f t="shared" si="52"/>
        <v>0</v>
      </c>
      <c r="P1151" s="224"/>
      <c r="Q1151" s="473"/>
      <c r="R1151" s="476">
        <f t="shared" si="53"/>
        <v>0</v>
      </c>
    </row>
    <row r="1152" spans="2:18" ht="15" customHeight="1" x14ac:dyDescent="0.2">
      <c r="B1152" s="224"/>
      <c r="C1152" s="473"/>
      <c r="D1152" s="476">
        <f t="shared" si="51"/>
        <v>0</v>
      </c>
      <c r="I1152" s="224"/>
      <c r="J1152" s="473"/>
      <c r="K1152" s="476">
        <f t="shared" si="52"/>
        <v>0</v>
      </c>
      <c r="P1152" s="224"/>
      <c r="Q1152" s="473"/>
      <c r="R1152" s="476">
        <f t="shared" si="53"/>
        <v>0</v>
      </c>
    </row>
    <row r="1153" spans="2:18" ht="15" customHeight="1" x14ac:dyDescent="0.2">
      <c r="B1153" s="224"/>
      <c r="C1153" s="473"/>
      <c r="D1153" s="476">
        <f t="shared" si="51"/>
        <v>0</v>
      </c>
      <c r="I1153" s="224"/>
      <c r="J1153" s="473"/>
      <c r="K1153" s="476">
        <f t="shared" si="52"/>
        <v>0</v>
      </c>
      <c r="P1153" s="224"/>
      <c r="Q1153" s="473"/>
      <c r="R1153" s="476">
        <f t="shared" si="53"/>
        <v>0</v>
      </c>
    </row>
    <row r="1154" spans="2:18" ht="15" customHeight="1" x14ac:dyDescent="0.2">
      <c r="B1154" s="224"/>
      <c r="C1154" s="473"/>
      <c r="D1154" s="476">
        <f t="shared" si="51"/>
        <v>0</v>
      </c>
      <c r="I1154" s="224"/>
      <c r="J1154" s="473"/>
      <c r="K1154" s="476">
        <f t="shared" si="52"/>
        <v>0</v>
      </c>
      <c r="P1154" s="224"/>
      <c r="Q1154" s="473"/>
      <c r="R1154" s="476">
        <f t="shared" si="53"/>
        <v>0</v>
      </c>
    </row>
    <row r="1155" spans="2:18" ht="15" customHeight="1" x14ac:dyDescent="0.2">
      <c r="B1155" s="224"/>
      <c r="C1155" s="473"/>
      <c r="D1155" s="476">
        <f t="shared" si="51"/>
        <v>0</v>
      </c>
      <c r="I1155" s="224"/>
      <c r="J1155" s="473"/>
      <c r="K1155" s="476">
        <f t="shared" si="52"/>
        <v>0</v>
      </c>
      <c r="P1155" s="224"/>
      <c r="Q1155" s="473"/>
      <c r="R1155" s="476">
        <f t="shared" si="53"/>
        <v>0</v>
      </c>
    </row>
    <row r="1156" spans="2:18" ht="15" customHeight="1" x14ac:dyDescent="0.2">
      <c r="B1156" s="224"/>
      <c r="C1156" s="473"/>
      <c r="D1156" s="476">
        <f t="shared" si="51"/>
        <v>0</v>
      </c>
      <c r="I1156" s="224"/>
      <c r="J1156" s="473"/>
      <c r="K1156" s="476">
        <f t="shared" si="52"/>
        <v>0</v>
      </c>
      <c r="P1156" s="224"/>
      <c r="Q1156" s="473"/>
      <c r="R1156" s="476">
        <f t="shared" si="53"/>
        <v>0</v>
      </c>
    </row>
    <row r="1157" spans="2:18" ht="15" customHeight="1" x14ac:dyDescent="0.2">
      <c r="B1157" s="224"/>
      <c r="C1157" s="473"/>
      <c r="D1157" s="476">
        <f t="shared" si="51"/>
        <v>0</v>
      </c>
      <c r="I1157" s="224"/>
      <c r="J1157" s="473"/>
      <c r="K1157" s="476">
        <f t="shared" si="52"/>
        <v>0</v>
      </c>
      <c r="P1157" s="224"/>
      <c r="Q1157" s="473"/>
      <c r="R1157" s="476">
        <f t="shared" si="53"/>
        <v>0</v>
      </c>
    </row>
    <row r="1158" spans="2:18" ht="15" customHeight="1" x14ac:dyDescent="0.2">
      <c r="B1158" s="224"/>
      <c r="C1158" s="473"/>
      <c r="D1158" s="476">
        <f t="shared" si="51"/>
        <v>0</v>
      </c>
      <c r="I1158" s="224"/>
      <c r="J1158" s="473"/>
      <c r="K1158" s="476">
        <f t="shared" si="52"/>
        <v>0</v>
      </c>
      <c r="P1158" s="224"/>
      <c r="Q1158" s="473"/>
      <c r="R1158" s="476">
        <f t="shared" si="53"/>
        <v>0</v>
      </c>
    </row>
    <row r="1159" spans="2:18" ht="15" customHeight="1" x14ac:dyDescent="0.2">
      <c r="B1159" s="224"/>
      <c r="C1159" s="473"/>
      <c r="D1159" s="476">
        <f t="shared" si="51"/>
        <v>0</v>
      </c>
      <c r="I1159" s="224"/>
      <c r="J1159" s="473"/>
      <c r="K1159" s="476">
        <f t="shared" si="52"/>
        <v>0</v>
      </c>
      <c r="P1159" s="224"/>
      <c r="Q1159" s="473"/>
      <c r="R1159" s="476">
        <f t="shared" si="53"/>
        <v>0</v>
      </c>
    </row>
    <row r="1160" spans="2:18" ht="15" customHeight="1" x14ac:dyDescent="0.2">
      <c r="B1160" s="224"/>
      <c r="C1160" s="473"/>
      <c r="D1160" s="476">
        <f t="shared" si="51"/>
        <v>0</v>
      </c>
      <c r="I1160" s="224"/>
      <c r="J1160" s="473"/>
      <c r="K1160" s="476">
        <f t="shared" si="52"/>
        <v>0</v>
      </c>
      <c r="P1160" s="224"/>
      <c r="Q1160" s="473"/>
      <c r="R1160" s="476">
        <f t="shared" si="53"/>
        <v>0</v>
      </c>
    </row>
    <row r="1161" spans="2:18" ht="15" customHeight="1" x14ac:dyDescent="0.2">
      <c r="B1161" s="224"/>
      <c r="C1161" s="473"/>
      <c r="D1161" s="476">
        <f t="shared" si="51"/>
        <v>0</v>
      </c>
      <c r="I1161" s="224"/>
      <c r="J1161" s="473"/>
      <c r="K1161" s="476">
        <f t="shared" si="52"/>
        <v>0</v>
      </c>
      <c r="P1161" s="224"/>
      <c r="Q1161" s="473"/>
      <c r="R1161" s="476">
        <f t="shared" si="53"/>
        <v>0</v>
      </c>
    </row>
    <row r="1162" spans="2:18" ht="15" customHeight="1" x14ac:dyDescent="0.2">
      <c r="B1162" s="224"/>
      <c r="C1162" s="473"/>
      <c r="D1162" s="476">
        <f t="shared" si="51"/>
        <v>0</v>
      </c>
      <c r="I1162" s="224"/>
      <c r="J1162" s="473"/>
      <c r="K1162" s="476">
        <f t="shared" si="52"/>
        <v>0</v>
      </c>
      <c r="P1162" s="224"/>
      <c r="Q1162" s="473"/>
      <c r="R1162" s="476">
        <f t="shared" si="53"/>
        <v>0</v>
      </c>
    </row>
    <row r="1163" spans="2:18" ht="15" customHeight="1" x14ac:dyDescent="0.2">
      <c r="B1163" s="224"/>
      <c r="C1163" s="473"/>
      <c r="D1163" s="476">
        <f t="shared" si="51"/>
        <v>0</v>
      </c>
      <c r="I1163" s="224"/>
      <c r="J1163" s="473"/>
      <c r="K1163" s="476">
        <f t="shared" si="52"/>
        <v>0</v>
      </c>
      <c r="P1163" s="224"/>
      <c r="Q1163" s="473"/>
      <c r="R1163" s="476">
        <f t="shared" si="53"/>
        <v>0</v>
      </c>
    </row>
    <row r="1164" spans="2:18" ht="15" customHeight="1" x14ac:dyDescent="0.2">
      <c r="B1164" s="224"/>
      <c r="C1164" s="473"/>
      <c r="D1164" s="476">
        <f t="shared" si="51"/>
        <v>0</v>
      </c>
      <c r="I1164" s="224"/>
      <c r="J1164" s="473"/>
      <c r="K1164" s="476">
        <f t="shared" si="52"/>
        <v>0</v>
      </c>
      <c r="P1164" s="224"/>
      <c r="Q1164" s="473"/>
      <c r="R1164" s="476">
        <f t="shared" si="53"/>
        <v>0</v>
      </c>
    </row>
    <row r="1165" spans="2:18" ht="15" customHeight="1" x14ac:dyDescent="0.2">
      <c r="B1165" s="224"/>
      <c r="C1165" s="473"/>
      <c r="D1165" s="476">
        <f t="shared" si="51"/>
        <v>0</v>
      </c>
      <c r="I1165" s="224"/>
      <c r="J1165" s="473"/>
      <c r="K1165" s="476">
        <f t="shared" si="52"/>
        <v>0</v>
      </c>
      <c r="P1165" s="224"/>
      <c r="Q1165" s="473"/>
      <c r="R1165" s="476">
        <f t="shared" si="53"/>
        <v>0</v>
      </c>
    </row>
    <row r="1166" spans="2:18" ht="15" customHeight="1" x14ac:dyDescent="0.2">
      <c r="B1166" s="224"/>
      <c r="C1166" s="473"/>
      <c r="D1166" s="476">
        <f t="shared" si="51"/>
        <v>0</v>
      </c>
      <c r="I1166" s="224"/>
      <c r="J1166" s="473"/>
      <c r="K1166" s="476">
        <f t="shared" si="52"/>
        <v>0</v>
      </c>
      <c r="P1166" s="224"/>
      <c r="Q1166" s="473"/>
      <c r="R1166" s="476">
        <f t="shared" si="53"/>
        <v>0</v>
      </c>
    </row>
    <row r="1167" spans="2:18" ht="15" customHeight="1" x14ac:dyDescent="0.2">
      <c r="B1167" s="224"/>
      <c r="C1167" s="473"/>
      <c r="D1167" s="476">
        <f t="shared" si="51"/>
        <v>0</v>
      </c>
      <c r="I1167" s="224"/>
      <c r="J1167" s="473"/>
      <c r="K1167" s="476">
        <f t="shared" si="52"/>
        <v>0</v>
      </c>
      <c r="P1167" s="224"/>
      <c r="Q1167" s="473"/>
      <c r="R1167" s="476">
        <f t="shared" si="53"/>
        <v>0</v>
      </c>
    </row>
    <row r="1168" spans="2:18" ht="15" customHeight="1" x14ac:dyDescent="0.2">
      <c r="B1168" s="224"/>
      <c r="C1168" s="473"/>
      <c r="D1168" s="476">
        <f t="shared" si="51"/>
        <v>0</v>
      </c>
      <c r="I1168" s="224"/>
      <c r="J1168" s="473"/>
      <c r="K1168" s="476">
        <f t="shared" si="52"/>
        <v>0</v>
      </c>
      <c r="P1168" s="224"/>
      <c r="Q1168" s="473"/>
      <c r="R1168" s="476">
        <f t="shared" si="53"/>
        <v>0</v>
      </c>
    </row>
    <row r="1169" spans="2:18" ht="15" customHeight="1" x14ac:dyDescent="0.2">
      <c r="B1169" s="224"/>
      <c r="C1169" s="473"/>
      <c r="D1169" s="476">
        <f t="shared" si="51"/>
        <v>0</v>
      </c>
      <c r="I1169" s="224"/>
      <c r="J1169" s="473"/>
      <c r="K1169" s="476">
        <f t="shared" si="52"/>
        <v>0</v>
      </c>
      <c r="P1169" s="224"/>
      <c r="Q1169" s="473"/>
      <c r="R1169" s="476">
        <f t="shared" si="53"/>
        <v>0</v>
      </c>
    </row>
    <row r="1170" spans="2:18" ht="15" customHeight="1" x14ac:dyDescent="0.2">
      <c r="B1170" s="224"/>
      <c r="C1170" s="473"/>
      <c r="D1170" s="476">
        <f t="shared" ref="D1170:D1233" si="54">C1170/1000</f>
        <v>0</v>
      </c>
      <c r="I1170" s="224"/>
      <c r="J1170" s="473"/>
      <c r="K1170" s="476">
        <f t="shared" ref="K1170:K1233" si="55">J1170/1000</f>
        <v>0</v>
      </c>
      <c r="P1170" s="224"/>
      <c r="Q1170" s="473"/>
      <c r="R1170" s="476">
        <f t="shared" ref="R1170:R1233" si="56">Q1170/1000</f>
        <v>0</v>
      </c>
    </row>
    <row r="1171" spans="2:18" ht="15" customHeight="1" x14ac:dyDescent="0.2">
      <c r="B1171" s="224"/>
      <c r="C1171" s="473"/>
      <c r="D1171" s="476">
        <f t="shared" si="54"/>
        <v>0</v>
      </c>
      <c r="I1171" s="224"/>
      <c r="J1171" s="473"/>
      <c r="K1171" s="476">
        <f t="shared" si="55"/>
        <v>0</v>
      </c>
      <c r="P1171" s="224"/>
      <c r="Q1171" s="473"/>
      <c r="R1171" s="476">
        <f t="shared" si="56"/>
        <v>0</v>
      </c>
    </row>
    <row r="1172" spans="2:18" ht="15" customHeight="1" x14ac:dyDescent="0.2">
      <c r="B1172" s="224"/>
      <c r="C1172" s="473"/>
      <c r="D1172" s="476">
        <f t="shared" si="54"/>
        <v>0</v>
      </c>
      <c r="I1172" s="224"/>
      <c r="J1172" s="473"/>
      <c r="K1172" s="476">
        <f t="shared" si="55"/>
        <v>0</v>
      </c>
      <c r="P1172" s="224"/>
      <c r="Q1172" s="473"/>
      <c r="R1172" s="476">
        <f t="shared" si="56"/>
        <v>0</v>
      </c>
    </row>
    <row r="1173" spans="2:18" ht="15" customHeight="1" x14ac:dyDescent="0.2">
      <c r="B1173" s="224"/>
      <c r="C1173" s="473"/>
      <c r="D1173" s="476">
        <f t="shared" si="54"/>
        <v>0</v>
      </c>
      <c r="I1173" s="224"/>
      <c r="J1173" s="473"/>
      <c r="K1173" s="476">
        <f t="shared" si="55"/>
        <v>0</v>
      </c>
      <c r="P1173" s="224"/>
      <c r="Q1173" s="473"/>
      <c r="R1173" s="476">
        <f t="shared" si="56"/>
        <v>0</v>
      </c>
    </row>
    <row r="1174" spans="2:18" ht="15" customHeight="1" x14ac:dyDescent="0.2">
      <c r="B1174" s="224"/>
      <c r="C1174" s="473"/>
      <c r="D1174" s="476">
        <f t="shared" si="54"/>
        <v>0</v>
      </c>
      <c r="I1174" s="224"/>
      <c r="J1174" s="473"/>
      <c r="K1174" s="476">
        <f t="shared" si="55"/>
        <v>0</v>
      </c>
      <c r="P1174" s="224"/>
      <c r="Q1174" s="473"/>
      <c r="R1174" s="476">
        <f t="shared" si="56"/>
        <v>0</v>
      </c>
    </row>
    <row r="1175" spans="2:18" ht="15" customHeight="1" x14ac:dyDescent="0.2">
      <c r="B1175" s="224"/>
      <c r="C1175" s="473"/>
      <c r="D1175" s="476">
        <f t="shared" si="54"/>
        <v>0</v>
      </c>
      <c r="I1175" s="224"/>
      <c r="J1175" s="473"/>
      <c r="K1175" s="476">
        <f t="shared" si="55"/>
        <v>0</v>
      </c>
      <c r="P1175" s="224"/>
      <c r="Q1175" s="473"/>
      <c r="R1175" s="476">
        <f t="shared" si="56"/>
        <v>0</v>
      </c>
    </row>
    <row r="1176" spans="2:18" ht="15" customHeight="1" x14ac:dyDescent="0.2">
      <c r="B1176" s="224"/>
      <c r="C1176" s="473"/>
      <c r="D1176" s="476">
        <f t="shared" si="54"/>
        <v>0</v>
      </c>
      <c r="I1176" s="224"/>
      <c r="J1176" s="473"/>
      <c r="K1176" s="476">
        <f t="shared" si="55"/>
        <v>0</v>
      </c>
      <c r="P1176" s="224"/>
      <c r="Q1176" s="473"/>
      <c r="R1176" s="476">
        <f t="shared" si="56"/>
        <v>0</v>
      </c>
    </row>
    <row r="1177" spans="2:18" ht="15" customHeight="1" x14ac:dyDescent="0.2">
      <c r="B1177" s="224"/>
      <c r="C1177" s="473"/>
      <c r="D1177" s="476">
        <f t="shared" si="54"/>
        <v>0</v>
      </c>
      <c r="I1177" s="224"/>
      <c r="J1177" s="473"/>
      <c r="K1177" s="476">
        <f t="shared" si="55"/>
        <v>0</v>
      </c>
      <c r="P1177" s="224"/>
      <c r="Q1177" s="473"/>
      <c r="R1177" s="476">
        <f t="shared" si="56"/>
        <v>0</v>
      </c>
    </row>
    <row r="1178" spans="2:18" ht="15" customHeight="1" x14ac:dyDescent="0.2">
      <c r="B1178" s="224"/>
      <c r="C1178" s="473"/>
      <c r="D1178" s="476">
        <f t="shared" si="54"/>
        <v>0</v>
      </c>
      <c r="I1178" s="224"/>
      <c r="J1178" s="473"/>
      <c r="K1178" s="476">
        <f t="shared" si="55"/>
        <v>0</v>
      </c>
      <c r="P1178" s="224"/>
      <c r="Q1178" s="473"/>
      <c r="R1178" s="476">
        <f t="shared" si="56"/>
        <v>0</v>
      </c>
    </row>
    <row r="1179" spans="2:18" ht="15" customHeight="1" x14ac:dyDescent="0.2">
      <c r="B1179" s="224"/>
      <c r="C1179" s="473"/>
      <c r="D1179" s="476">
        <f t="shared" si="54"/>
        <v>0</v>
      </c>
      <c r="I1179" s="224"/>
      <c r="J1179" s="473"/>
      <c r="K1179" s="476">
        <f t="shared" si="55"/>
        <v>0</v>
      </c>
      <c r="P1179" s="224"/>
      <c r="Q1179" s="473"/>
      <c r="R1179" s="476">
        <f t="shared" si="56"/>
        <v>0</v>
      </c>
    </row>
    <row r="1180" spans="2:18" ht="15" customHeight="1" x14ac:dyDescent="0.2">
      <c r="B1180" s="224"/>
      <c r="C1180" s="473"/>
      <c r="D1180" s="476">
        <f t="shared" si="54"/>
        <v>0</v>
      </c>
      <c r="I1180" s="224"/>
      <c r="J1180" s="473"/>
      <c r="K1180" s="476">
        <f t="shared" si="55"/>
        <v>0</v>
      </c>
      <c r="P1180" s="224"/>
      <c r="Q1180" s="473"/>
      <c r="R1180" s="476">
        <f t="shared" si="56"/>
        <v>0</v>
      </c>
    </row>
    <row r="1181" spans="2:18" ht="15" customHeight="1" x14ac:dyDescent="0.2">
      <c r="B1181" s="224"/>
      <c r="C1181" s="473"/>
      <c r="D1181" s="476">
        <f t="shared" si="54"/>
        <v>0</v>
      </c>
      <c r="I1181" s="224"/>
      <c r="J1181" s="473"/>
      <c r="K1181" s="476">
        <f t="shared" si="55"/>
        <v>0</v>
      </c>
      <c r="P1181" s="224"/>
      <c r="Q1181" s="473"/>
      <c r="R1181" s="476">
        <f t="shared" si="56"/>
        <v>0</v>
      </c>
    </row>
    <row r="1182" spans="2:18" ht="15" customHeight="1" x14ac:dyDescent="0.2">
      <c r="B1182" s="224"/>
      <c r="C1182" s="473"/>
      <c r="D1182" s="476">
        <f t="shared" si="54"/>
        <v>0</v>
      </c>
      <c r="I1182" s="224"/>
      <c r="J1182" s="473"/>
      <c r="K1182" s="476">
        <f t="shared" si="55"/>
        <v>0</v>
      </c>
      <c r="P1182" s="224"/>
      <c r="Q1182" s="473"/>
      <c r="R1182" s="476">
        <f t="shared" si="56"/>
        <v>0</v>
      </c>
    </row>
    <row r="1183" spans="2:18" ht="15" customHeight="1" x14ac:dyDescent="0.2">
      <c r="B1183" s="224"/>
      <c r="C1183" s="473"/>
      <c r="D1183" s="476">
        <f t="shared" si="54"/>
        <v>0</v>
      </c>
      <c r="I1183" s="224"/>
      <c r="J1183" s="473"/>
      <c r="K1183" s="476">
        <f t="shared" si="55"/>
        <v>0</v>
      </c>
      <c r="P1183" s="224"/>
      <c r="Q1183" s="473"/>
      <c r="R1183" s="476">
        <f t="shared" si="56"/>
        <v>0</v>
      </c>
    </row>
    <row r="1184" spans="2:18" ht="15" customHeight="1" x14ac:dyDescent="0.2">
      <c r="B1184" s="224"/>
      <c r="C1184" s="473"/>
      <c r="D1184" s="476">
        <f t="shared" si="54"/>
        <v>0</v>
      </c>
      <c r="I1184" s="224"/>
      <c r="J1184" s="473"/>
      <c r="K1184" s="476">
        <f t="shared" si="55"/>
        <v>0</v>
      </c>
      <c r="P1184" s="224"/>
      <c r="Q1184" s="473"/>
      <c r="R1184" s="476">
        <f t="shared" si="56"/>
        <v>0</v>
      </c>
    </row>
    <row r="1185" spans="2:18" ht="15" customHeight="1" x14ac:dyDescent="0.2">
      <c r="B1185" s="224"/>
      <c r="C1185" s="473"/>
      <c r="D1185" s="476">
        <f t="shared" si="54"/>
        <v>0</v>
      </c>
      <c r="I1185" s="224"/>
      <c r="J1185" s="473"/>
      <c r="K1185" s="476">
        <f t="shared" si="55"/>
        <v>0</v>
      </c>
      <c r="P1185" s="224"/>
      <c r="Q1185" s="473"/>
      <c r="R1185" s="476">
        <f t="shared" si="56"/>
        <v>0</v>
      </c>
    </row>
    <row r="1186" spans="2:18" ht="15" customHeight="1" x14ac:dyDescent="0.2">
      <c r="B1186" s="224"/>
      <c r="C1186" s="473"/>
      <c r="D1186" s="476">
        <f t="shared" si="54"/>
        <v>0</v>
      </c>
      <c r="I1186" s="224"/>
      <c r="J1186" s="473"/>
      <c r="K1186" s="476">
        <f t="shared" si="55"/>
        <v>0</v>
      </c>
      <c r="P1186" s="224"/>
      <c r="Q1186" s="473"/>
      <c r="R1186" s="476">
        <f t="shared" si="56"/>
        <v>0</v>
      </c>
    </row>
    <row r="1187" spans="2:18" ht="15" customHeight="1" x14ac:dyDescent="0.2">
      <c r="B1187" s="224"/>
      <c r="C1187" s="473"/>
      <c r="D1187" s="476">
        <f t="shared" si="54"/>
        <v>0</v>
      </c>
      <c r="I1187" s="224"/>
      <c r="J1187" s="473"/>
      <c r="K1187" s="476">
        <f t="shared" si="55"/>
        <v>0</v>
      </c>
      <c r="P1187" s="224"/>
      <c r="Q1187" s="473"/>
      <c r="R1187" s="476">
        <f t="shared" si="56"/>
        <v>0</v>
      </c>
    </row>
    <row r="1188" spans="2:18" ht="15" customHeight="1" x14ac:dyDescent="0.2">
      <c r="B1188" s="224"/>
      <c r="C1188" s="473"/>
      <c r="D1188" s="476">
        <f t="shared" si="54"/>
        <v>0</v>
      </c>
      <c r="I1188" s="224"/>
      <c r="J1188" s="473"/>
      <c r="K1188" s="476">
        <f t="shared" si="55"/>
        <v>0</v>
      </c>
      <c r="P1188" s="224"/>
      <c r="Q1188" s="473"/>
      <c r="R1188" s="476">
        <f t="shared" si="56"/>
        <v>0</v>
      </c>
    </row>
    <row r="1189" spans="2:18" ht="15" customHeight="1" x14ac:dyDescent="0.2">
      <c r="B1189" s="224"/>
      <c r="C1189" s="473"/>
      <c r="D1189" s="476">
        <f t="shared" si="54"/>
        <v>0</v>
      </c>
      <c r="I1189" s="224"/>
      <c r="J1189" s="473"/>
      <c r="K1189" s="476">
        <f t="shared" si="55"/>
        <v>0</v>
      </c>
      <c r="P1189" s="224"/>
      <c r="Q1189" s="473"/>
      <c r="R1189" s="476">
        <f t="shared" si="56"/>
        <v>0</v>
      </c>
    </row>
    <row r="1190" spans="2:18" ht="15" customHeight="1" x14ac:dyDescent="0.2">
      <c r="B1190" s="224"/>
      <c r="C1190" s="473"/>
      <c r="D1190" s="476">
        <f t="shared" si="54"/>
        <v>0</v>
      </c>
      <c r="I1190" s="224"/>
      <c r="J1190" s="473"/>
      <c r="K1190" s="476">
        <f t="shared" si="55"/>
        <v>0</v>
      </c>
      <c r="P1190" s="224"/>
      <c r="Q1190" s="473"/>
      <c r="R1190" s="476">
        <f t="shared" si="56"/>
        <v>0</v>
      </c>
    </row>
    <row r="1191" spans="2:18" ht="15" customHeight="1" x14ac:dyDescent="0.2">
      <c r="B1191" s="224"/>
      <c r="C1191" s="473"/>
      <c r="D1191" s="476">
        <f t="shared" si="54"/>
        <v>0</v>
      </c>
      <c r="I1191" s="224"/>
      <c r="J1191" s="473"/>
      <c r="K1191" s="476">
        <f t="shared" si="55"/>
        <v>0</v>
      </c>
      <c r="P1191" s="224"/>
      <c r="Q1191" s="473"/>
      <c r="R1191" s="476">
        <f t="shared" si="56"/>
        <v>0</v>
      </c>
    </row>
    <row r="1192" spans="2:18" ht="15" customHeight="1" x14ac:dyDescent="0.2">
      <c r="B1192" s="224"/>
      <c r="C1192" s="473"/>
      <c r="D1192" s="476">
        <f t="shared" si="54"/>
        <v>0</v>
      </c>
      <c r="I1192" s="224"/>
      <c r="J1192" s="473"/>
      <c r="K1192" s="476">
        <f t="shared" si="55"/>
        <v>0</v>
      </c>
      <c r="P1192" s="224"/>
      <c r="Q1192" s="473"/>
      <c r="R1192" s="476">
        <f t="shared" si="56"/>
        <v>0</v>
      </c>
    </row>
    <row r="1193" spans="2:18" ht="15" customHeight="1" x14ac:dyDescent="0.2">
      <c r="B1193" s="224"/>
      <c r="C1193" s="473"/>
      <c r="D1193" s="476">
        <f t="shared" si="54"/>
        <v>0</v>
      </c>
      <c r="I1193" s="224"/>
      <c r="J1193" s="473"/>
      <c r="K1193" s="476">
        <f t="shared" si="55"/>
        <v>0</v>
      </c>
      <c r="P1193" s="224"/>
      <c r="Q1193" s="473"/>
      <c r="R1193" s="476">
        <f t="shared" si="56"/>
        <v>0</v>
      </c>
    </row>
    <row r="1194" spans="2:18" ht="15" customHeight="1" x14ac:dyDescent="0.2">
      <c r="B1194" s="224"/>
      <c r="C1194" s="473"/>
      <c r="D1194" s="476">
        <f t="shared" si="54"/>
        <v>0</v>
      </c>
      <c r="I1194" s="224"/>
      <c r="J1194" s="473"/>
      <c r="K1194" s="476">
        <f t="shared" si="55"/>
        <v>0</v>
      </c>
      <c r="P1194" s="224"/>
      <c r="Q1194" s="473"/>
      <c r="R1194" s="476">
        <f t="shared" si="56"/>
        <v>0</v>
      </c>
    </row>
    <row r="1195" spans="2:18" ht="15" customHeight="1" x14ac:dyDescent="0.2">
      <c r="B1195" s="224"/>
      <c r="C1195" s="473"/>
      <c r="D1195" s="476">
        <f t="shared" si="54"/>
        <v>0</v>
      </c>
      <c r="I1195" s="224"/>
      <c r="J1195" s="473"/>
      <c r="K1195" s="476">
        <f t="shared" si="55"/>
        <v>0</v>
      </c>
      <c r="P1195" s="224"/>
      <c r="Q1195" s="473"/>
      <c r="R1195" s="476">
        <f t="shared" si="56"/>
        <v>0</v>
      </c>
    </row>
    <row r="1196" spans="2:18" ht="15" customHeight="1" x14ac:dyDescent="0.2">
      <c r="B1196" s="224"/>
      <c r="C1196" s="473"/>
      <c r="D1196" s="476">
        <f t="shared" si="54"/>
        <v>0</v>
      </c>
      <c r="I1196" s="224"/>
      <c r="J1196" s="473"/>
      <c r="K1196" s="476">
        <f t="shared" si="55"/>
        <v>0</v>
      </c>
      <c r="P1196" s="224"/>
      <c r="Q1196" s="473"/>
      <c r="R1196" s="476">
        <f t="shared" si="56"/>
        <v>0</v>
      </c>
    </row>
    <row r="1197" spans="2:18" ht="15" customHeight="1" x14ac:dyDescent="0.2">
      <c r="B1197" s="224"/>
      <c r="C1197" s="473"/>
      <c r="D1197" s="476">
        <f t="shared" si="54"/>
        <v>0</v>
      </c>
      <c r="I1197" s="224"/>
      <c r="J1197" s="473"/>
      <c r="K1197" s="476">
        <f t="shared" si="55"/>
        <v>0</v>
      </c>
      <c r="P1197" s="224"/>
      <c r="Q1197" s="473"/>
      <c r="R1197" s="476">
        <f t="shared" si="56"/>
        <v>0</v>
      </c>
    </row>
    <row r="1198" spans="2:18" ht="15" customHeight="1" x14ac:dyDescent="0.2">
      <c r="B1198" s="224"/>
      <c r="C1198" s="473"/>
      <c r="D1198" s="476">
        <f t="shared" si="54"/>
        <v>0</v>
      </c>
      <c r="I1198" s="224"/>
      <c r="J1198" s="473"/>
      <c r="K1198" s="476">
        <f t="shared" si="55"/>
        <v>0</v>
      </c>
      <c r="P1198" s="224"/>
      <c r="Q1198" s="473"/>
      <c r="R1198" s="476">
        <f t="shared" si="56"/>
        <v>0</v>
      </c>
    </row>
    <row r="1199" spans="2:18" ht="15" customHeight="1" x14ac:dyDescent="0.2">
      <c r="B1199" s="224"/>
      <c r="C1199" s="473"/>
      <c r="D1199" s="476">
        <f t="shared" si="54"/>
        <v>0</v>
      </c>
      <c r="I1199" s="224"/>
      <c r="J1199" s="473"/>
      <c r="K1199" s="476">
        <f t="shared" si="55"/>
        <v>0</v>
      </c>
      <c r="P1199" s="224"/>
      <c r="Q1199" s="473"/>
      <c r="R1199" s="476">
        <f t="shared" si="56"/>
        <v>0</v>
      </c>
    </row>
    <row r="1200" spans="2:18" ht="15" customHeight="1" x14ac:dyDescent="0.2">
      <c r="B1200" s="224"/>
      <c r="C1200" s="473"/>
      <c r="D1200" s="476">
        <f t="shared" si="54"/>
        <v>0</v>
      </c>
      <c r="I1200" s="224"/>
      <c r="J1200" s="473"/>
      <c r="K1200" s="476">
        <f t="shared" si="55"/>
        <v>0</v>
      </c>
      <c r="P1200" s="224"/>
      <c r="Q1200" s="473"/>
      <c r="R1200" s="476">
        <f t="shared" si="56"/>
        <v>0</v>
      </c>
    </row>
    <row r="1201" spans="2:18" ht="15" customHeight="1" x14ac:dyDescent="0.2">
      <c r="B1201" s="224"/>
      <c r="C1201" s="473"/>
      <c r="D1201" s="476">
        <f t="shared" si="54"/>
        <v>0</v>
      </c>
      <c r="I1201" s="224"/>
      <c r="J1201" s="473"/>
      <c r="K1201" s="476">
        <f t="shared" si="55"/>
        <v>0</v>
      </c>
      <c r="P1201" s="224"/>
      <c r="Q1201" s="473"/>
      <c r="R1201" s="476">
        <f t="shared" si="56"/>
        <v>0</v>
      </c>
    </row>
    <row r="1202" spans="2:18" ht="15" customHeight="1" x14ac:dyDescent="0.2">
      <c r="B1202" s="224"/>
      <c r="C1202" s="473"/>
      <c r="D1202" s="476">
        <f t="shared" si="54"/>
        <v>0</v>
      </c>
      <c r="I1202" s="224"/>
      <c r="J1202" s="473"/>
      <c r="K1202" s="476">
        <f t="shared" si="55"/>
        <v>0</v>
      </c>
      <c r="P1202" s="224"/>
      <c r="Q1202" s="473"/>
      <c r="R1202" s="476">
        <f t="shared" si="56"/>
        <v>0</v>
      </c>
    </row>
    <row r="1203" spans="2:18" ht="15" customHeight="1" x14ac:dyDescent="0.2">
      <c r="B1203" s="224"/>
      <c r="C1203" s="473"/>
      <c r="D1203" s="476">
        <f t="shared" si="54"/>
        <v>0</v>
      </c>
      <c r="I1203" s="224"/>
      <c r="J1203" s="473"/>
      <c r="K1203" s="476">
        <f t="shared" si="55"/>
        <v>0</v>
      </c>
      <c r="P1203" s="224"/>
      <c r="Q1203" s="473"/>
      <c r="R1203" s="476">
        <f t="shared" si="56"/>
        <v>0</v>
      </c>
    </row>
    <row r="1204" spans="2:18" ht="15" customHeight="1" x14ac:dyDescent="0.2">
      <c r="B1204" s="224"/>
      <c r="C1204" s="473"/>
      <c r="D1204" s="476">
        <f t="shared" si="54"/>
        <v>0</v>
      </c>
      <c r="I1204" s="224"/>
      <c r="J1204" s="473"/>
      <c r="K1204" s="476">
        <f t="shared" si="55"/>
        <v>0</v>
      </c>
      <c r="P1204" s="224"/>
      <c r="Q1204" s="473"/>
      <c r="R1204" s="476">
        <f t="shared" si="56"/>
        <v>0</v>
      </c>
    </row>
    <row r="1205" spans="2:18" ht="15" customHeight="1" x14ac:dyDescent="0.2">
      <c r="B1205" s="224"/>
      <c r="C1205" s="473"/>
      <c r="D1205" s="476">
        <f t="shared" si="54"/>
        <v>0</v>
      </c>
      <c r="I1205" s="224"/>
      <c r="J1205" s="473"/>
      <c r="K1205" s="476">
        <f t="shared" si="55"/>
        <v>0</v>
      </c>
      <c r="P1205" s="224"/>
      <c r="Q1205" s="473"/>
      <c r="R1205" s="476">
        <f t="shared" si="56"/>
        <v>0</v>
      </c>
    </row>
    <row r="1206" spans="2:18" ht="15" customHeight="1" x14ac:dyDescent="0.2">
      <c r="B1206" s="224"/>
      <c r="C1206" s="473"/>
      <c r="D1206" s="476">
        <f t="shared" si="54"/>
        <v>0</v>
      </c>
      <c r="I1206" s="224"/>
      <c r="J1206" s="473"/>
      <c r="K1206" s="476">
        <f t="shared" si="55"/>
        <v>0</v>
      </c>
      <c r="P1206" s="224"/>
      <c r="Q1206" s="473"/>
      <c r="R1206" s="476">
        <f t="shared" si="56"/>
        <v>0</v>
      </c>
    </row>
    <row r="1207" spans="2:18" ht="15" customHeight="1" x14ac:dyDescent="0.2">
      <c r="B1207" s="224"/>
      <c r="C1207" s="473"/>
      <c r="D1207" s="476">
        <f t="shared" si="54"/>
        <v>0</v>
      </c>
      <c r="I1207" s="224"/>
      <c r="J1207" s="473"/>
      <c r="K1207" s="476">
        <f t="shared" si="55"/>
        <v>0</v>
      </c>
      <c r="P1207" s="224"/>
      <c r="Q1207" s="473"/>
      <c r="R1207" s="476">
        <f t="shared" si="56"/>
        <v>0</v>
      </c>
    </row>
    <row r="1208" spans="2:18" ht="15" customHeight="1" x14ac:dyDescent="0.2">
      <c r="B1208" s="224"/>
      <c r="C1208" s="473"/>
      <c r="D1208" s="476">
        <f t="shared" si="54"/>
        <v>0</v>
      </c>
      <c r="I1208" s="224"/>
      <c r="J1208" s="473"/>
      <c r="K1208" s="476">
        <f t="shared" si="55"/>
        <v>0</v>
      </c>
      <c r="P1208" s="224"/>
      <c r="Q1208" s="473"/>
      <c r="R1208" s="476">
        <f t="shared" si="56"/>
        <v>0</v>
      </c>
    </row>
    <row r="1209" spans="2:18" ht="15" customHeight="1" x14ac:dyDescent="0.2">
      <c r="B1209" s="224"/>
      <c r="C1209" s="473"/>
      <c r="D1209" s="476">
        <f t="shared" si="54"/>
        <v>0</v>
      </c>
      <c r="I1209" s="224"/>
      <c r="J1209" s="473"/>
      <c r="K1209" s="476">
        <f t="shared" si="55"/>
        <v>0</v>
      </c>
      <c r="P1209" s="224"/>
      <c r="Q1209" s="473"/>
      <c r="R1209" s="476">
        <f t="shared" si="56"/>
        <v>0</v>
      </c>
    </row>
    <row r="1210" spans="2:18" ht="15" customHeight="1" x14ac:dyDescent="0.2">
      <c r="B1210" s="224"/>
      <c r="C1210" s="473"/>
      <c r="D1210" s="476">
        <f t="shared" si="54"/>
        <v>0</v>
      </c>
      <c r="I1210" s="224"/>
      <c r="J1210" s="473"/>
      <c r="K1210" s="476">
        <f t="shared" si="55"/>
        <v>0</v>
      </c>
      <c r="P1210" s="224"/>
      <c r="Q1210" s="473"/>
      <c r="R1210" s="476">
        <f t="shared" si="56"/>
        <v>0</v>
      </c>
    </row>
    <row r="1211" spans="2:18" ht="15" customHeight="1" x14ac:dyDescent="0.2">
      <c r="B1211" s="224"/>
      <c r="C1211" s="473"/>
      <c r="D1211" s="476">
        <f t="shared" si="54"/>
        <v>0</v>
      </c>
      <c r="I1211" s="224"/>
      <c r="J1211" s="473"/>
      <c r="K1211" s="476">
        <f t="shared" si="55"/>
        <v>0</v>
      </c>
      <c r="P1211" s="224"/>
      <c r="Q1211" s="473"/>
      <c r="R1211" s="476">
        <f t="shared" si="56"/>
        <v>0</v>
      </c>
    </row>
    <row r="1212" spans="2:18" ht="15" customHeight="1" x14ac:dyDescent="0.2">
      <c r="B1212" s="224"/>
      <c r="C1212" s="473"/>
      <c r="D1212" s="476">
        <f t="shared" si="54"/>
        <v>0</v>
      </c>
      <c r="I1212" s="224"/>
      <c r="J1212" s="473"/>
      <c r="K1212" s="476">
        <f t="shared" si="55"/>
        <v>0</v>
      </c>
      <c r="P1212" s="224"/>
      <c r="Q1212" s="473"/>
      <c r="R1212" s="476">
        <f t="shared" si="56"/>
        <v>0</v>
      </c>
    </row>
    <row r="1213" spans="2:18" ht="15" customHeight="1" x14ac:dyDescent="0.2">
      <c r="B1213" s="224"/>
      <c r="C1213" s="473"/>
      <c r="D1213" s="476">
        <f t="shared" si="54"/>
        <v>0</v>
      </c>
      <c r="I1213" s="224"/>
      <c r="J1213" s="473"/>
      <c r="K1213" s="476">
        <f t="shared" si="55"/>
        <v>0</v>
      </c>
      <c r="P1213" s="224"/>
      <c r="Q1213" s="473"/>
      <c r="R1213" s="476">
        <f t="shared" si="56"/>
        <v>0</v>
      </c>
    </row>
    <row r="1214" spans="2:18" ht="15" customHeight="1" x14ac:dyDescent="0.2">
      <c r="B1214" s="224"/>
      <c r="C1214" s="473"/>
      <c r="D1214" s="476">
        <f t="shared" si="54"/>
        <v>0</v>
      </c>
      <c r="I1214" s="224"/>
      <c r="J1214" s="473"/>
      <c r="K1214" s="476">
        <f t="shared" si="55"/>
        <v>0</v>
      </c>
      <c r="P1214" s="224"/>
      <c r="Q1214" s="473"/>
      <c r="R1214" s="476">
        <f t="shared" si="56"/>
        <v>0</v>
      </c>
    </row>
    <row r="1215" spans="2:18" ht="15" customHeight="1" x14ac:dyDescent="0.2">
      <c r="B1215" s="224"/>
      <c r="C1215" s="473"/>
      <c r="D1215" s="476">
        <f t="shared" si="54"/>
        <v>0</v>
      </c>
      <c r="I1215" s="224"/>
      <c r="J1215" s="473"/>
      <c r="K1215" s="476">
        <f t="shared" si="55"/>
        <v>0</v>
      </c>
      <c r="P1215" s="224"/>
      <c r="Q1215" s="473"/>
      <c r="R1215" s="476">
        <f t="shared" si="56"/>
        <v>0</v>
      </c>
    </row>
    <row r="1216" spans="2:18" ht="15" customHeight="1" x14ac:dyDescent="0.2">
      <c r="B1216" s="224"/>
      <c r="C1216" s="473"/>
      <c r="D1216" s="476">
        <f t="shared" si="54"/>
        <v>0</v>
      </c>
      <c r="I1216" s="224"/>
      <c r="J1216" s="473"/>
      <c r="K1216" s="476">
        <f t="shared" si="55"/>
        <v>0</v>
      </c>
      <c r="P1216" s="224"/>
      <c r="Q1216" s="473"/>
      <c r="R1216" s="476">
        <f t="shared" si="56"/>
        <v>0</v>
      </c>
    </row>
    <row r="1217" spans="2:18" ht="15" customHeight="1" x14ac:dyDescent="0.2">
      <c r="B1217" s="224"/>
      <c r="C1217" s="473"/>
      <c r="D1217" s="476">
        <f t="shared" si="54"/>
        <v>0</v>
      </c>
      <c r="I1217" s="224"/>
      <c r="J1217" s="473"/>
      <c r="K1217" s="476">
        <f t="shared" si="55"/>
        <v>0</v>
      </c>
      <c r="P1217" s="224"/>
      <c r="Q1217" s="473"/>
      <c r="R1217" s="476">
        <f t="shared" si="56"/>
        <v>0</v>
      </c>
    </row>
    <row r="1218" spans="2:18" ht="15" customHeight="1" x14ac:dyDescent="0.2">
      <c r="B1218" s="224"/>
      <c r="C1218" s="473"/>
      <c r="D1218" s="476">
        <f t="shared" si="54"/>
        <v>0</v>
      </c>
      <c r="I1218" s="224"/>
      <c r="J1218" s="473"/>
      <c r="K1218" s="476">
        <f t="shared" si="55"/>
        <v>0</v>
      </c>
      <c r="P1218" s="224"/>
      <c r="Q1218" s="473"/>
      <c r="R1218" s="476">
        <f t="shared" si="56"/>
        <v>0</v>
      </c>
    </row>
    <row r="1219" spans="2:18" ht="15" customHeight="1" x14ac:dyDescent="0.2">
      <c r="B1219" s="224"/>
      <c r="C1219" s="473"/>
      <c r="D1219" s="476">
        <f t="shared" si="54"/>
        <v>0</v>
      </c>
      <c r="I1219" s="224"/>
      <c r="J1219" s="473"/>
      <c r="K1219" s="476">
        <f t="shared" si="55"/>
        <v>0</v>
      </c>
      <c r="P1219" s="224"/>
      <c r="Q1219" s="473"/>
      <c r="R1219" s="476">
        <f t="shared" si="56"/>
        <v>0</v>
      </c>
    </row>
    <row r="1220" spans="2:18" ht="15" customHeight="1" x14ac:dyDescent="0.2">
      <c r="B1220" s="224"/>
      <c r="C1220" s="473"/>
      <c r="D1220" s="476">
        <f t="shared" si="54"/>
        <v>0</v>
      </c>
      <c r="I1220" s="224"/>
      <c r="J1220" s="473"/>
      <c r="K1220" s="476">
        <f t="shared" si="55"/>
        <v>0</v>
      </c>
      <c r="P1220" s="224"/>
      <c r="Q1220" s="473"/>
      <c r="R1220" s="476">
        <f t="shared" si="56"/>
        <v>0</v>
      </c>
    </row>
    <row r="1221" spans="2:18" ht="15" customHeight="1" x14ac:dyDescent="0.2">
      <c r="B1221" s="224"/>
      <c r="C1221" s="473"/>
      <c r="D1221" s="476">
        <f t="shared" si="54"/>
        <v>0</v>
      </c>
      <c r="I1221" s="224"/>
      <c r="J1221" s="473"/>
      <c r="K1221" s="476">
        <f t="shared" si="55"/>
        <v>0</v>
      </c>
      <c r="P1221" s="224"/>
      <c r="Q1221" s="473"/>
      <c r="R1221" s="476">
        <f t="shared" si="56"/>
        <v>0</v>
      </c>
    </row>
    <row r="1222" spans="2:18" ht="15" customHeight="1" x14ac:dyDescent="0.2">
      <c r="B1222" s="224"/>
      <c r="C1222" s="473"/>
      <c r="D1222" s="476">
        <f t="shared" si="54"/>
        <v>0</v>
      </c>
      <c r="I1222" s="224"/>
      <c r="J1222" s="473"/>
      <c r="K1222" s="476">
        <f t="shared" si="55"/>
        <v>0</v>
      </c>
      <c r="P1222" s="224"/>
      <c r="Q1222" s="473"/>
      <c r="R1222" s="476">
        <f t="shared" si="56"/>
        <v>0</v>
      </c>
    </row>
    <row r="1223" spans="2:18" ht="15" customHeight="1" x14ac:dyDescent="0.2">
      <c r="B1223" s="224"/>
      <c r="C1223" s="473"/>
      <c r="D1223" s="476">
        <f t="shared" si="54"/>
        <v>0</v>
      </c>
      <c r="I1223" s="224"/>
      <c r="J1223" s="473"/>
      <c r="K1223" s="476">
        <f t="shared" si="55"/>
        <v>0</v>
      </c>
      <c r="P1223" s="224"/>
      <c r="Q1223" s="473"/>
      <c r="R1223" s="476">
        <f t="shared" si="56"/>
        <v>0</v>
      </c>
    </row>
    <row r="1224" spans="2:18" ht="15" customHeight="1" x14ac:dyDescent="0.2">
      <c r="B1224" s="224"/>
      <c r="C1224" s="473"/>
      <c r="D1224" s="476">
        <f t="shared" si="54"/>
        <v>0</v>
      </c>
      <c r="I1224" s="224"/>
      <c r="J1224" s="473"/>
      <c r="K1224" s="476">
        <f t="shared" si="55"/>
        <v>0</v>
      </c>
      <c r="P1224" s="224"/>
      <c r="Q1224" s="473"/>
      <c r="R1224" s="476">
        <f t="shared" si="56"/>
        <v>0</v>
      </c>
    </row>
    <row r="1225" spans="2:18" ht="15" customHeight="1" x14ac:dyDescent="0.2">
      <c r="B1225" s="224"/>
      <c r="C1225" s="473"/>
      <c r="D1225" s="476">
        <f t="shared" si="54"/>
        <v>0</v>
      </c>
      <c r="I1225" s="224"/>
      <c r="J1225" s="473"/>
      <c r="K1225" s="476">
        <f t="shared" si="55"/>
        <v>0</v>
      </c>
      <c r="P1225" s="224"/>
      <c r="Q1225" s="473"/>
      <c r="R1225" s="476">
        <f t="shared" si="56"/>
        <v>0</v>
      </c>
    </row>
    <row r="1226" spans="2:18" ht="15" customHeight="1" x14ac:dyDescent="0.2">
      <c r="B1226" s="224"/>
      <c r="C1226" s="473"/>
      <c r="D1226" s="476">
        <f t="shared" si="54"/>
        <v>0</v>
      </c>
      <c r="I1226" s="224"/>
      <c r="J1226" s="473"/>
      <c r="K1226" s="476">
        <f t="shared" si="55"/>
        <v>0</v>
      </c>
      <c r="P1226" s="224"/>
      <c r="Q1226" s="473"/>
      <c r="R1226" s="476">
        <f t="shared" si="56"/>
        <v>0</v>
      </c>
    </row>
    <row r="1227" spans="2:18" ht="15" customHeight="1" x14ac:dyDescent="0.2">
      <c r="B1227" s="224"/>
      <c r="C1227" s="473"/>
      <c r="D1227" s="476">
        <f t="shared" si="54"/>
        <v>0</v>
      </c>
      <c r="I1227" s="224"/>
      <c r="J1227" s="473"/>
      <c r="K1227" s="476">
        <f t="shared" si="55"/>
        <v>0</v>
      </c>
      <c r="P1227" s="224"/>
      <c r="Q1227" s="473"/>
      <c r="R1227" s="476">
        <f t="shared" si="56"/>
        <v>0</v>
      </c>
    </row>
    <row r="1228" spans="2:18" ht="15" customHeight="1" x14ac:dyDescent="0.2">
      <c r="B1228" s="224"/>
      <c r="C1228" s="473"/>
      <c r="D1228" s="476">
        <f t="shared" si="54"/>
        <v>0</v>
      </c>
      <c r="I1228" s="224"/>
      <c r="J1228" s="473"/>
      <c r="K1228" s="476">
        <f t="shared" si="55"/>
        <v>0</v>
      </c>
      <c r="P1228" s="224"/>
      <c r="Q1228" s="473"/>
      <c r="R1228" s="476">
        <f t="shared" si="56"/>
        <v>0</v>
      </c>
    </row>
    <row r="1229" spans="2:18" ht="15" customHeight="1" x14ac:dyDescent="0.2">
      <c r="B1229" s="224"/>
      <c r="C1229" s="473"/>
      <c r="D1229" s="476">
        <f t="shared" si="54"/>
        <v>0</v>
      </c>
      <c r="I1229" s="224"/>
      <c r="J1229" s="473"/>
      <c r="K1229" s="476">
        <f t="shared" si="55"/>
        <v>0</v>
      </c>
      <c r="P1229" s="224"/>
      <c r="Q1229" s="473"/>
      <c r="R1229" s="476">
        <f t="shared" si="56"/>
        <v>0</v>
      </c>
    </row>
    <row r="1230" spans="2:18" ht="15" customHeight="1" x14ac:dyDescent="0.2">
      <c r="B1230" s="224"/>
      <c r="C1230" s="473"/>
      <c r="D1230" s="476">
        <f t="shared" si="54"/>
        <v>0</v>
      </c>
      <c r="I1230" s="224"/>
      <c r="J1230" s="473"/>
      <c r="K1230" s="476">
        <f t="shared" si="55"/>
        <v>0</v>
      </c>
      <c r="P1230" s="224"/>
      <c r="Q1230" s="473"/>
      <c r="R1230" s="476">
        <f t="shared" si="56"/>
        <v>0</v>
      </c>
    </row>
    <row r="1231" spans="2:18" ht="15" customHeight="1" x14ac:dyDescent="0.2">
      <c r="B1231" s="224"/>
      <c r="C1231" s="473"/>
      <c r="D1231" s="476">
        <f t="shared" si="54"/>
        <v>0</v>
      </c>
      <c r="I1231" s="224"/>
      <c r="J1231" s="473"/>
      <c r="K1231" s="476">
        <f t="shared" si="55"/>
        <v>0</v>
      </c>
      <c r="P1231" s="224"/>
      <c r="Q1231" s="473"/>
      <c r="R1231" s="476">
        <f t="shared" si="56"/>
        <v>0</v>
      </c>
    </row>
    <row r="1232" spans="2:18" ht="15" customHeight="1" x14ac:dyDescent="0.2">
      <c r="B1232" s="224"/>
      <c r="C1232" s="473"/>
      <c r="D1232" s="476">
        <f t="shared" si="54"/>
        <v>0</v>
      </c>
      <c r="I1232" s="224"/>
      <c r="J1232" s="473"/>
      <c r="K1232" s="476">
        <f t="shared" si="55"/>
        <v>0</v>
      </c>
      <c r="P1232" s="224"/>
      <c r="Q1232" s="473"/>
      <c r="R1232" s="476">
        <f t="shared" si="56"/>
        <v>0</v>
      </c>
    </row>
    <row r="1233" spans="2:18" ht="15" customHeight="1" x14ac:dyDescent="0.2">
      <c r="B1233" s="224"/>
      <c r="C1233" s="473"/>
      <c r="D1233" s="476">
        <f t="shared" si="54"/>
        <v>0</v>
      </c>
      <c r="I1233" s="224"/>
      <c r="J1233" s="473"/>
      <c r="K1233" s="476">
        <f t="shared" si="55"/>
        <v>0</v>
      </c>
      <c r="P1233" s="224"/>
      <c r="Q1233" s="473"/>
      <c r="R1233" s="476">
        <f t="shared" si="56"/>
        <v>0</v>
      </c>
    </row>
    <row r="1234" spans="2:18" ht="15" customHeight="1" x14ac:dyDescent="0.2">
      <c r="B1234" s="224"/>
      <c r="C1234" s="473"/>
      <c r="D1234" s="476">
        <f t="shared" ref="D1234:D1267" si="57">C1234/1000</f>
        <v>0</v>
      </c>
      <c r="I1234" s="224"/>
      <c r="J1234" s="473"/>
      <c r="K1234" s="476">
        <f t="shared" ref="K1234:K1267" si="58">J1234/1000</f>
        <v>0</v>
      </c>
      <c r="P1234" s="224"/>
      <c r="Q1234" s="473"/>
      <c r="R1234" s="476">
        <f t="shared" ref="R1234:R1267" si="59">Q1234/1000</f>
        <v>0</v>
      </c>
    </row>
    <row r="1235" spans="2:18" ht="15" customHeight="1" x14ac:dyDescent="0.2">
      <c r="B1235" s="224"/>
      <c r="C1235" s="473"/>
      <c r="D1235" s="476">
        <f t="shared" si="57"/>
        <v>0</v>
      </c>
      <c r="I1235" s="224"/>
      <c r="J1235" s="473"/>
      <c r="K1235" s="476">
        <f t="shared" si="58"/>
        <v>0</v>
      </c>
      <c r="P1235" s="224"/>
      <c r="Q1235" s="473"/>
      <c r="R1235" s="476">
        <f t="shared" si="59"/>
        <v>0</v>
      </c>
    </row>
    <row r="1236" spans="2:18" ht="15" customHeight="1" x14ac:dyDescent="0.2">
      <c r="B1236" s="224"/>
      <c r="C1236" s="473"/>
      <c r="D1236" s="476">
        <f t="shared" si="57"/>
        <v>0</v>
      </c>
      <c r="I1236" s="224"/>
      <c r="J1236" s="473"/>
      <c r="K1236" s="476">
        <f t="shared" si="58"/>
        <v>0</v>
      </c>
      <c r="P1236" s="224"/>
      <c r="Q1236" s="473"/>
      <c r="R1236" s="476">
        <f t="shared" si="59"/>
        <v>0</v>
      </c>
    </row>
    <row r="1237" spans="2:18" ht="15" customHeight="1" x14ac:dyDescent="0.2">
      <c r="B1237" s="224"/>
      <c r="C1237" s="473"/>
      <c r="D1237" s="476">
        <f t="shared" si="57"/>
        <v>0</v>
      </c>
      <c r="I1237" s="224"/>
      <c r="J1237" s="473"/>
      <c r="K1237" s="476">
        <f t="shared" si="58"/>
        <v>0</v>
      </c>
      <c r="P1237" s="224"/>
      <c r="Q1237" s="473"/>
      <c r="R1237" s="476">
        <f t="shared" si="59"/>
        <v>0</v>
      </c>
    </row>
    <row r="1238" spans="2:18" ht="15" customHeight="1" x14ac:dyDescent="0.2">
      <c r="B1238" s="224"/>
      <c r="C1238" s="473"/>
      <c r="D1238" s="476">
        <f t="shared" si="57"/>
        <v>0</v>
      </c>
      <c r="I1238" s="224"/>
      <c r="J1238" s="473"/>
      <c r="K1238" s="476">
        <f t="shared" si="58"/>
        <v>0</v>
      </c>
      <c r="P1238" s="224"/>
      <c r="Q1238" s="473"/>
      <c r="R1238" s="476">
        <f t="shared" si="59"/>
        <v>0</v>
      </c>
    </row>
    <row r="1239" spans="2:18" ht="15" customHeight="1" x14ac:dyDescent="0.2">
      <c r="B1239" s="224"/>
      <c r="C1239" s="473"/>
      <c r="D1239" s="476">
        <f t="shared" si="57"/>
        <v>0</v>
      </c>
      <c r="I1239" s="224"/>
      <c r="J1239" s="473"/>
      <c r="K1239" s="476">
        <f t="shared" si="58"/>
        <v>0</v>
      </c>
      <c r="P1239" s="224"/>
      <c r="Q1239" s="473"/>
      <c r="R1239" s="476">
        <f t="shared" si="59"/>
        <v>0</v>
      </c>
    </row>
    <row r="1240" spans="2:18" ht="15" customHeight="1" x14ac:dyDescent="0.2">
      <c r="B1240" s="224"/>
      <c r="C1240" s="473"/>
      <c r="D1240" s="476">
        <f t="shared" si="57"/>
        <v>0</v>
      </c>
      <c r="I1240" s="224"/>
      <c r="J1240" s="473"/>
      <c r="K1240" s="476">
        <f t="shared" si="58"/>
        <v>0</v>
      </c>
      <c r="P1240" s="224"/>
      <c r="Q1240" s="473"/>
      <c r="R1240" s="476">
        <f t="shared" si="59"/>
        <v>0</v>
      </c>
    </row>
    <row r="1241" spans="2:18" ht="15" customHeight="1" x14ac:dyDescent="0.2">
      <c r="B1241" s="224"/>
      <c r="C1241" s="473"/>
      <c r="D1241" s="476">
        <f t="shared" si="57"/>
        <v>0</v>
      </c>
      <c r="I1241" s="224"/>
      <c r="J1241" s="473"/>
      <c r="K1241" s="476">
        <f t="shared" si="58"/>
        <v>0</v>
      </c>
      <c r="P1241" s="224"/>
      <c r="Q1241" s="473"/>
      <c r="R1241" s="476">
        <f t="shared" si="59"/>
        <v>0</v>
      </c>
    </row>
    <row r="1242" spans="2:18" ht="15" customHeight="1" x14ac:dyDescent="0.2">
      <c r="B1242" s="224"/>
      <c r="C1242" s="473"/>
      <c r="D1242" s="476">
        <f t="shared" si="57"/>
        <v>0</v>
      </c>
      <c r="I1242" s="224"/>
      <c r="J1242" s="473"/>
      <c r="K1242" s="476">
        <f t="shared" si="58"/>
        <v>0</v>
      </c>
      <c r="P1242" s="224"/>
      <c r="Q1242" s="473"/>
      <c r="R1242" s="476">
        <f t="shared" si="59"/>
        <v>0</v>
      </c>
    </row>
    <row r="1243" spans="2:18" ht="15" customHeight="1" x14ac:dyDescent="0.2">
      <c r="B1243" s="224"/>
      <c r="C1243" s="473"/>
      <c r="D1243" s="476">
        <f t="shared" si="57"/>
        <v>0</v>
      </c>
      <c r="I1243" s="224"/>
      <c r="J1243" s="473"/>
      <c r="K1243" s="476">
        <f t="shared" si="58"/>
        <v>0</v>
      </c>
      <c r="P1243" s="224"/>
      <c r="Q1243" s="473"/>
      <c r="R1243" s="476">
        <f t="shared" si="59"/>
        <v>0</v>
      </c>
    </row>
    <row r="1244" spans="2:18" ht="15" customHeight="1" x14ac:dyDescent="0.2">
      <c r="B1244" s="224"/>
      <c r="C1244" s="473"/>
      <c r="D1244" s="476">
        <f t="shared" si="57"/>
        <v>0</v>
      </c>
      <c r="I1244" s="224"/>
      <c r="J1244" s="473"/>
      <c r="K1244" s="476">
        <f t="shared" si="58"/>
        <v>0</v>
      </c>
      <c r="P1244" s="224"/>
      <c r="Q1244" s="473"/>
      <c r="R1244" s="476">
        <f t="shared" si="59"/>
        <v>0</v>
      </c>
    </row>
    <row r="1245" spans="2:18" ht="15" customHeight="1" x14ac:dyDescent="0.2">
      <c r="B1245" s="224"/>
      <c r="C1245" s="473"/>
      <c r="D1245" s="476">
        <f t="shared" si="57"/>
        <v>0</v>
      </c>
      <c r="I1245" s="224"/>
      <c r="J1245" s="473"/>
      <c r="K1245" s="476">
        <f t="shared" si="58"/>
        <v>0</v>
      </c>
      <c r="P1245" s="224"/>
      <c r="Q1245" s="473"/>
      <c r="R1245" s="476">
        <f t="shared" si="59"/>
        <v>0</v>
      </c>
    </row>
    <row r="1246" spans="2:18" ht="15" customHeight="1" x14ac:dyDescent="0.2">
      <c r="B1246" s="224"/>
      <c r="C1246" s="473"/>
      <c r="D1246" s="476">
        <f t="shared" si="57"/>
        <v>0</v>
      </c>
      <c r="I1246" s="224"/>
      <c r="J1246" s="473"/>
      <c r="K1246" s="476">
        <f t="shared" si="58"/>
        <v>0</v>
      </c>
      <c r="P1246" s="224"/>
      <c r="Q1246" s="473"/>
      <c r="R1246" s="476">
        <f t="shared" si="59"/>
        <v>0</v>
      </c>
    </row>
    <row r="1247" spans="2:18" ht="15" customHeight="1" x14ac:dyDescent="0.2">
      <c r="B1247" s="224"/>
      <c r="C1247" s="473"/>
      <c r="D1247" s="476">
        <f t="shared" si="57"/>
        <v>0</v>
      </c>
      <c r="I1247" s="224"/>
      <c r="J1247" s="473"/>
      <c r="K1247" s="476">
        <f t="shared" si="58"/>
        <v>0</v>
      </c>
      <c r="P1247" s="224"/>
      <c r="Q1247" s="473"/>
      <c r="R1247" s="476">
        <f t="shared" si="59"/>
        <v>0</v>
      </c>
    </row>
    <row r="1248" spans="2:18" ht="15" customHeight="1" x14ac:dyDescent="0.2">
      <c r="B1248" s="224"/>
      <c r="C1248" s="473"/>
      <c r="D1248" s="476">
        <f t="shared" si="57"/>
        <v>0</v>
      </c>
      <c r="I1248" s="224"/>
      <c r="J1248" s="473"/>
      <c r="K1248" s="476">
        <f t="shared" si="58"/>
        <v>0</v>
      </c>
      <c r="P1248" s="224"/>
      <c r="Q1248" s="473"/>
      <c r="R1248" s="476">
        <f t="shared" si="59"/>
        <v>0</v>
      </c>
    </row>
    <row r="1249" spans="2:18" ht="15" customHeight="1" x14ac:dyDescent="0.2">
      <c r="B1249" s="224"/>
      <c r="C1249" s="473"/>
      <c r="D1249" s="476">
        <f t="shared" si="57"/>
        <v>0</v>
      </c>
      <c r="I1249" s="224"/>
      <c r="J1249" s="473"/>
      <c r="K1249" s="476">
        <f t="shared" si="58"/>
        <v>0</v>
      </c>
      <c r="P1249" s="224"/>
      <c r="Q1249" s="473"/>
      <c r="R1249" s="476">
        <f t="shared" si="59"/>
        <v>0</v>
      </c>
    </row>
    <row r="1250" spans="2:18" ht="15" customHeight="1" x14ac:dyDescent="0.2">
      <c r="B1250" s="224"/>
      <c r="C1250" s="473"/>
      <c r="D1250" s="476">
        <f t="shared" si="57"/>
        <v>0</v>
      </c>
      <c r="I1250" s="224"/>
      <c r="J1250" s="473"/>
      <c r="K1250" s="476">
        <f t="shared" si="58"/>
        <v>0</v>
      </c>
      <c r="P1250" s="224"/>
      <c r="Q1250" s="473"/>
      <c r="R1250" s="476">
        <f t="shared" si="59"/>
        <v>0</v>
      </c>
    </row>
    <row r="1251" spans="2:18" ht="15" customHeight="1" x14ac:dyDescent="0.2">
      <c r="B1251" s="224"/>
      <c r="C1251" s="473"/>
      <c r="D1251" s="476">
        <f t="shared" si="57"/>
        <v>0</v>
      </c>
      <c r="I1251" s="224"/>
      <c r="J1251" s="473"/>
      <c r="K1251" s="476">
        <f t="shared" si="58"/>
        <v>0</v>
      </c>
      <c r="P1251" s="224"/>
      <c r="Q1251" s="473"/>
      <c r="R1251" s="476">
        <f t="shared" si="59"/>
        <v>0</v>
      </c>
    </row>
    <row r="1252" spans="2:18" ht="15" customHeight="1" x14ac:dyDescent="0.2">
      <c r="B1252" s="224"/>
      <c r="C1252" s="473"/>
      <c r="D1252" s="476">
        <f t="shared" si="57"/>
        <v>0</v>
      </c>
      <c r="I1252" s="224"/>
      <c r="J1252" s="473"/>
      <c r="K1252" s="476">
        <f t="shared" si="58"/>
        <v>0</v>
      </c>
      <c r="P1252" s="224"/>
      <c r="Q1252" s="473"/>
      <c r="R1252" s="476">
        <f t="shared" si="59"/>
        <v>0</v>
      </c>
    </row>
    <row r="1253" spans="2:18" ht="15" customHeight="1" x14ac:dyDescent="0.2">
      <c r="B1253" s="224"/>
      <c r="C1253" s="473"/>
      <c r="D1253" s="476">
        <f t="shared" si="57"/>
        <v>0</v>
      </c>
      <c r="I1253" s="224"/>
      <c r="J1253" s="473"/>
      <c r="K1253" s="476">
        <f t="shared" si="58"/>
        <v>0</v>
      </c>
      <c r="P1253" s="224"/>
      <c r="Q1253" s="473"/>
      <c r="R1253" s="476">
        <f t="shared" si="59"/>
        <v>0</v>
      </c>
    </row>
    <row r="1254" spans="2:18" ht="15" customHeight="1" x14ac:dyDescent="0.2">
      <c r="B1254" s="224"/>
      <c r="C1254" s="473"/>
      <c r="D1254" s="476">
        <f t="shared" si="57"/>
        <v>0</v>
      </c>
      <c r="I1254" s="224"/>
      <c r="J1254" s="473"/>
      <c r="K1254" s="476">
        <f t="shared" si="58"/>
        <v>0</v>
      </c>
      <c r="P1254" s="224"/>
      <c r="Q1254" s="473"/>
      <c r="R1254" s="476">
        <f t="shared" si="59"/>
        <v>0</v>
      </c>
    </row>
    <row r="1255" spans="2:18" ht="15" customHeight="1" x14ac:dyDescent="0.2">
      <c r="B1255" s="224"/>
      <c r="C1255" s="473"/>
      <c r="D1255" s="476">
        <f t="shared" si="57"/>
        <v>0</v>
      </c>
      <c r="I1255" s="224"/>
      <c r="J1255" s="473"/>
      <c r="K1255" s="476">
        <f t="shared" si="58"/>
        <v>0</v>
      </c>
      <c r="P1255" s="224"/>
      <c r="Q1255" s="473"/>
      <c r="R1255" s="476">
        <f t="shared" si="59"/>
        <v>0</v>
      </c>
    </row>
    <row r="1256" spans="2:18" ht="15" customHeight="1" x14ac:dyDescent="0.2">
      <c r="B1256" s="224"/>
      <c r="C1256" s="473"/>
      <c r="D1256" s="476">
        <f t="shared" si="57"/>
        <v>0</v>
      </c>
      <c r="I1256" s="224"/>
      <c r="J1256" s="473"/>
      <c r="K1256" s="476">
        <f t="shared" si="58"/>
        <v>0</v>
      </c>
      <c r="P1256" s="224"/>
      <c r="Q1256" s="473"/>
      <c r="R1256" s="476">
        <f t="shared" si="59"/>
        <v>0</v>
      </c>
    </row>
    <row r="1257" spans="2:18" ht="15" customHeight="1" x14ac:dyDescent="0.2">
      <c r="B1257" s="224"/>
      <c r="C1257" s="473"/>
      <c r="D1257" s="476">
        <f t="shared" si="57"/>
        <v>0</v>
      </c>
      <c r="I1257" s="224"/>
      <c r="J1257" s="473"/>
      <c r="K1257" s="476">
        <f t="shared" si="58"/>
        <v>0</v>
      </c>
      <c r="P1257" s="224"/>
      <c r="Q1257" s="473"/>
      <c r="R1257" s="476">
        <f t="shared" si="59"/>
        <v>0</v>
      </c>
    </row>
    <row r="1258" spans="2:18" ht="15" customHeight="1" x14ac:dyDescent="0.2">
      <c r="B1258" s="224"/>
      <c r="C1258" s="473"/>
      <c r="D1258" s="476">
        <f t="shared" si="57"/>
        <v>0</v>
      </c>
      <c r="I1258" s="224"/>
      <c r="J1258" s="473"/>
      <c r="K1258" s="476">
        <f t="shared" si="58"/>
        <v>0</v>
      </c>
      <c r="P1258" s="224"/>
      <c r="Q1258" s="473"/>
      <c r="R1258" s="476">
        <f t="shared" si="59"/>
        <v>0</v>
      </c>
    </row>
    <row r="1259" spans="2:18" ht="15" customHeight="1" x14ac:dyDescent="0.2">
      <c r="B1259" s="224"/>
      <c r="C1259" s="473"/>
      <c r="D1259" s="476">
        <f t="shared" si="57"/>
        <v>0</v>
      </c>
      <c r="I1259" s="224"/>
      <c r="J1259" s="473"/>
      <c r="K1259" s="476">
        <f t="shared" si="58"/>
        <v>0</v>
      </c>
      <c r="P1259" s="224"/>
      <c r="Q1259" s="473"/>
      <c r="R1259" s="476">
        <f t="shared" si="59"/>
        <v>0</v>
      </c>
    </row>
    <row r="1260" spans="2:18" ht="15" customHeight="1" x14ac:dyDescent="0.2">
      <c r="B1260" s="224"/>
      <c r="C1260" s="473"/>
      <c r="D1260" s="476">
        <f t="shared" si="57"/>
        <v>0</v>
      </c>
      <c r="I1260" s="224"/>
      <c r="J1260" s="473"/>
      <c r="K1260" s="476">
        <f t="shared" si="58"/>
        <v>0</v>
      </c>
      <c r="P1260" s="224"/>
      <c r="Q1260" s="473"/>
      <c r="R1260" s="476">
        <f t="shared" si="59"/>
        <v>0</v>
      </c>
    </row>
    <row r="1261" spans="2:18" ht="15" customHeight="1" x14ac:dyDescent="0.2">
      <c r="B1261" s="224"/>
      <c r="C1261" s="473"/>
      <c r="D1261" s="476">
        <f t="shared" si="57"/>
        <v>0</v>
      </c>
      <c r="I1261" s="224"/>
      <c r="J1261" s="473"/>
      <c r="K1261" s="476">
        <f t="shared" si="58"/>
        <v>0</v>
      </c>
      <c r="P1261" s="224"/>
      <c r="Q1261" s="473"/>
      <c r="R1261" s="476">
        <f t="shared" si="59"/>
        <v>0</v>
      </c>
    </row>
    <row r="1262" spans="2:18" ht="15" customHeight="1" x14ac:dyDescent="0.2">
      <c r="B1262" s="224"/>
      <c r="C1262" s="473"/>
      <c r="D1262" s="476">
        <f t="shared" si="57"/>
        <v>0</v>
      </c>
      <c r="I1262" s="224"/>
      <c r="J1262" s="473"/>
      <c r="K1262" s="476">
        <f t="shared" si="58"/>
        <v>0</v>
      </c>
      <c r="P1262" s="224"/>
      <c r="Q1262" s="473"/>
      <c r="R1262" s="476">
        <f t="shared" si="59"/>
        <v>0</v>
      </c>
    </row>
    <row r="1263" spans="2:18" ht="15" customHeight="1" x14ac:dyDescent="0.2">
      <c r="B1263" s="224"/>
      <c r="C1263" s="473"/>
      <c r="D1263" s="476">
        <f t="shared" si="57"/>
        <v>0</v>
      </c>
      <c r="I1263" s="224"/>
      <c r="J1263" s="473"/>
      <c r="K1263" s="476">
        <f t="shared" si="58"/>
        <v>0</v>
      </c>
      <c r="P1263" s="224"/>
      <c r="Q1263" s="473"/>
      <c r="R1263" s="476">
        <f t="shared" si="59"/>
        <v>0</v>
      </c>
    </row>
    <row r="1264" spans="2:18" ht="15" customHeight="1" x14ac:dyDescent="0.2">
      <c r="B1264" s="224"/>
      <c r="C1264" s="473"/>
      <c r="D1264" s="476">
        <f t="shared" si="57"/>
        <v>0</v>
      </c>
      <c r="I1264" s="224"/>
      <c r="J1264" s="473"/>
      <c r="K1264" s="476">
        <f t="shared" si="58"/>
        <v>0</v>
      </c>
      <c r="P1264" s="224"/>
      <c r="Q1264" s="473"/>
      <c r="R1264" s="476">
        <f t="shared" si="59"/>
        <v>0</v>
      </c>
    </row>
    <row r="1265" spans="2:18" ht="15" customHeight="1" x14ac:dyDescent="0.2">
      <c r="B1265" s="224"/>
      <c r="C1265" s="473"/>
      <c r="D1265" s="476">
        <f t="shared" si="57"/>
        <v>0</v>
      </c>
      <c r="I1265" s="224"/>
      <c r="J1265" s="473"/>
      <c r="K1265" s="476">
        <f t="shared" si="58"/>
        <v>0</v>
      </c>
      <c r="P1265" s="224"/>
      <c r="Q1265" s="473"/>
      <c r="R1265" s="476">
        <f t="shared" si="59"/>
        <v>0</v>
      </c>
    </row>
    <row r="1266" spans="2:18" ht="15" customHeight="1" x14ac:dyDescent="0.2">
      <c r="B1266" s="224"/>
      <c r="C1266" s="473"/>
      <c r="D1266" s="476">
        <f t="shared" si="57"/>
        <v>0</v>
      </c>
      <c r="I1266" s="224"/>
      <c r="J1266" s="473"/>
      <c r="K1266" s="476">
        <f t="shared" si="58"/>
        <v>0</v>
      </c>
      <c r="P1266" s="224"/>
      <c r="Q1266" s="473"/>
      <c r="R1266" s="476">
        <f t="shared" si="59"/>
        <v>0</v>
      </c>
    </row>
    <row r="1267" spans="2:18" ht="15" customHeight="1" x14ac:dyDescent="0.2">
      <c r="B1267" s="224"/>
      <c r="C1267" s="473"/>
      <c r="D1267" s="476">
        <f t="shared" si="57"/>
        <v>0</v>
      </c>
      <c r="I1267" s="224"/>
      <c r="J1267" s="473"/>
      <c r="K1267" s="476">
        <f t="shared" si="58"/>
        <v>0</v>
      </c>
      <c r="P1267" s="224"/>
      <c r="Q1267" s="473"/>
      <c r="R1267" s="476">
        <f t="shared" si="59"/>
        <v>0</v>
      </c>
    </row>
  </sheetData>
  <mergeCells count="41">
    <mergeCell ref="F102:G102"/>
    <mergeCell ref="I16:K16"/>
    <mergeCell ref="M102:N102"/>
    <mergeCell ref="T102:U102"/>
    <mergeCell ref="B1:G1"/>
    <mergeCell ref="F16:G16"/>
    <mergeCell ref="C13:D13"/>
    <mergeCell ref="P4:Q4"/>
    <mergeCell ref="B4:C4"/>
    <mergeCell ref="B5:C5"/>
    <mergeCell ref="B6:C6"/>
    <mergeCell ref="B3:D3"/>
    <mergeCell ref="I3:K3"/>
    <mergeCell ref="I4:J4"/>
    <mergeCell ref="I5:J5"/>
    <mergeCell ref="B9:C9"/>
    <mergeCell ref="I7:J7"/>
    <mergeCell ref="B7:C7"/>
    <mergeCell ref="C14:D14"/>
    <mergeCell ref="W1:X1"/>
    <mergeCell ref="J14:K14"/>
    <mergeCell ref="P1:U1"/>
    <mergeCell ref="P3:R3"/>
    <mergeCell ref="P5:Q5"/>
    <mergeCell ref="I1:N1"/>
    <mergeCell ref="I6:J6"/>
    <mergeCell ref="P7:Q7"/>
    <mergeCell ref="P6:Q6"/>
    <mergeCell ref="W16:X16"/>
    <mergeCell ref="B16:D16"/>
    <mergeCell ref="I8:J8"/>
    <mergeCell ref="J13:K13"/>
    <mergeCell ref="M16:N16"/>
    <mergeCell ref="Q14:R14"/>
    <mergeCell ref="P16:R16"/>
    <mergeCell ref="T16:U16"/>
    <mergeCell ref="I9:J9"/>
    <mergeCell ref="P8:Q8"/>
    <mergeCell ref="Q13:R13"/>
    <mergeCell ref="P9:Q9"/>
    <mergeCell ref="B8:C8"/>
  </mergeCells>
  <conditionalFormatting sqref="I14 P14 W14 B14">
    <cfRule type="cellIs" dxfId="214" priority="5" operator="equal">
      <formula>"not ok"</formula>
    </cfRule>
    <cfRule type="cellIs" dxfId="213" priority="6" operator="equal">
      <formula>"ok"</formula>
    </cfRule>
  </conditionalFormatting>
  <conditionalFormatting sqref="B18 I43:I1267 P43:P1267 B43:B1267">
    <cfRule type="containsText" dxfId="212" priority="4" operator="containsText" text=".">
      <formula>NOT(ISERROR(SEARCH(".",B18)))</formula>
    </cfRule>
  </conditionalFormatting>
  <conditionalFormatting sqref="B18:C18 I43:J1267 P43:Q1267 B43:C1267">
    <cfRule type="containsText" dxfId="211" priority="3" operator="containsText" text=".">
      <formula>NOT(ISERROR(SEARCH(".",B18)))</formula>
    </cfRule>
  </conditionalFormatting>
  <conditionalFormatting sqref="J18:J42">
    <cfRule type="containsText" dxfId="210" priority="2" operator="containsText" text=".">
      <formula>NOT(ISERROR(SEARCH(".",J18)))</formula>
    </cfRule>
  </conditionalFormatting>
  <conditionalFormatting sqref="Q18:Q42">
    <cfRule type="containsText" dxfId="209" priority="1" operator="containsText" text=".">
      <formula>NOT(ISERROR(SEARCH(".",Q18)))</formula>
    </cfRule>
  </conditionalFormatting>
  <dataValidations count="11">
    <dataValidation allowBlank="1" showErrorMessage="1" prompt="O conteúdo desta célula não deve ser alterado." sqref="G18:G58 N18:N58 U18:U58 W18:X20 I14 B14" xr:uid="{00000000-0002-0000-0400-000000000000}"/>
    <dataValidation type="list" showInputMessage="1" showErrorMessage="1" sqref="K5 D5 R5" xr:uid="{88474867-5521-428A-BF97-7632D8183D59}">
      <formula1>"Sim, Não"</formula1>
    </dataValidation>
    <dataValidation type="whole" allowBlank="1" showInputMessage="1" showErrorMessage="1" errorTitle="Valor Inválido" error="O número de pontos deve estar entre 3 e 40." sqref="D4 K4 R4" xr:uid="{0165071E-5DAD-42C8-928A-5E2755DE019E}">
      <formula1>3</formula1>
      <formula2>40</formula2>
    </dataValidation>
    <dataValidation type="whole" operator="greaterThan" allowBlank="1" showInputMessage="1" showErrorMessage="1" sqref="K6 D6 R6" xr:uid="{C76C17E5-F74E-4D6E-B148-0424B6C8EE87}">
      <formula1>1</formula1>
    </dataValidation>
    <dataValidation type="list" allowBlank="1" showErrorMessage="1" prompt="O conteúdo desta célula não deve ser alterado." sqref="W14 P14" xr:uid="{5C2374D3-5426-4E48-BAFB-A87145F6862D}">
      <mc:AlternateContent xmlns:x12ac="http://schemas.microsoft.com/office/spreadsheetml/2011/1/ac" xmlns:mc="http://schemas.openxmlformats.org/markup-compatibility/2006">
        <mc:Choice Requires="x12ac">
          <x12ac:list>"ok, not ok"</x12ac:list>
        </mc:Choice>
        <mc:Fallback>
          <formula1>"ok, not ok"</formula1>
        </mc:Fallback>
      </mc:AlternateContent>
    </dataValidation>
    <dataValidation showInputMessage="1" showErrorMessage="1" sqref="K6 D6 R6" xr:uid="{F17943BE-B66E-44C0-A474-DA0B592E2D4E}"/>
    <dataValidation type="list" allowBlank="1" showInputMessage="1" showErrorMessage="1" sqref="D9" xr:uid="{48A213BF-FFF3-4664-A156-1EBEC9D21372}">
      <formula1>"Alagado, Seco"</formula1>
    </dataValidation>
    <dataValidation type="list" operator="greaterThan" allowBlank="1" showInputMessage="1" showErrorMessage="1" sqref="D7 K7 R7" xr:uid="{D472203E-B993-46C4-99B5-FA0A873A434B}">
      <formula1>"Cheia, Vazia"</formula1>
    </dataValidation>
    <dataValidation type="list" showInputMessage="1" showErrorMessage="1" sqref="D7 K7 R7" xr:uid="{21593ACE-757E-4D98-9AA4-111FF8CDFA33}">
      <formula1>"Cheia, Vazia"</formula1>
    </dataValidation>
    <dataValidation operator="greaterThan" allowBlank="1" showInputMessage="1" showErrorMessage="1" sqref="D8 K8 R8" xr:uid="{C288FD70-4930-4177-B4A7-EA211A4640E0}"/>
    <dataValidation type="decimal" operator="greaterThan" showInputMessage="1" showErrorMessage="1" sqref="D8 K8 R8" xr:uid="{B507D71B-9617-4BE2-AC56-5650718A15E1}">
      <formula1>0</formula1>
    </dataValidation>
  </dataValidations>
  <pageMargins left="0.7" right="0.7" top="0.75" bottom="0.75" header="0.3" footer="0.3"/>
  <pageSetup orientation="portrait" r:id="rId1"/>
  <ignoredErrors>
    <ignoredError sqref="W19:W20 X20" evalError="1"/>
  </ignoredErrors>
  <drawing r:id="rId2"/>
  <legacyDrawing r:id="rId3"/>
  <tableParts count="7">
    <tablePart r:id="rId4"/>
    <tablePart r:id="rId5"/>
    <tablePart r:id="rId6"/>
    <tablePart r:id="rId7"/>
    <tablePart r:id="rId8"/>
    <tablePart r:id="rId9"/>
    <tablePart r:id="rId10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AF808-D24F-4FD8-85BD-EAE5727D63CD}">
  <sheetPr codeName="Sheet22">
    <tabColor rgb="FF00A3E0"/>
  </sheetPr>
  <dimension ref="A1:O400"/>
  <sheetViews>
    <sheetView tabSelected="1" workbookViewId="0">
      <selection activeCell="A2" sqref="A2"/>
    </sheetView>
  </sheetViews>
  <sheetFormatPr defaultColWidth="0" defaultRowHeight="15" customHeight="1" x14ac:dyDescent="0.2"/>
  <cols>
    <col min="1" max="1" width="17.5703125" style="76" customWidth="1"/>
    <col min="2" max="2" width="10.28515625" style="76" bestFit="1" customWidth="1"/>
    <col min="3" max="3" width="24.7109375" style="77" bestFit="1" customWidth="1"/>
    <col min="4" max="4" width="39.42578125" style="77" bestFit="1" customWidth="1"/>
    <col min="5" max="5" width="40.7109375" style="278" customWidth="1"/>
    <col min="6" max="6" width="2.7109375" style="267" customWidth="1"/>
    <col min="7" max="7" width="2.7109375" style="208" customWidth="1"/>
    <col min="8" max="8" width="38.7109375" style="411" customWidth="1"/>
    <col min="9" max="9" width="5.7109375" style="411" customWidth="1"/>
    <col min="10" max="10" width="2.7109375" style="233" customWidth="1"/>
    <col min="11" max="15" width="9.140625" style="62" customWidth="1"/>
    <col min="16" max="16384" width="9.140625" style="62" hidden="1"/>
  </cols>
  <sheetData>
    <row r="1" spans="1:10" ht="15" customHeight="1" thickBot="1" x14ac:dyDescent="0.25">
      <c r="D1" s="418" t="s">
        <v>1755</v>
      </c>
      <c r="E1" s="78"/>
      <c r="F1" s="78"/>
    </row>
    <row r="2" spans="1:10" ht="15" customHeight="1" thickBot="1" x14ac:dyDescent="0.25">
      <c r="A2" s="234" t="s">
        <v>337</v>
      </c>
      <c r="B2" s="235" t="s">
        <v>338</v>
      </c>
      <c r="C2" s="236"/>
      <c r="D2" s="237"/>
      <c r="E2" s="77"/>
      <c r="F2" s="77"/>
    </row>
    <row r="3" spans="1:10" ht="15" customHeight="1" x14ac:dyDescent="0.2">
      <c r="A3" s="238" t="s">
        <v>339</v>
      </c>
      <c r="B3" s="239"/>
      <c r="C3" s="240" t="s">
        <v>340</v>
      </c>
      <c r="D3" s="239"/>
      <c r="E3" s="241"/>
      <c r="F3" s="242"/>
      <c r="H3" s="208"/>
      <c r="I3" s="208"/>
      <c r="J3" s="243"/>
    </row>
    <row r="4" spans="1:10" ht="15" customHeight="1" x14ac:dyDescent="0.2">
      <c r="A4" s="244" t="s">
        <v>341</v>
      </c>
      <c r="B4" s="412" t="s">
        <v>342</v>
      </c>
      <c r="C4" s="245" t="s">
        <v>343</v>
      </c>
      <c r="D4" s="246"/>
      <c r="E4" s="247"/>
      <c r="F4" s="242"/>
      <c r="J4" s="243"/>
    </row>
    <row r="5" spans="1:10" ht="15" customHeight="1" thickBot="1" x14ac:dyDescent="0.25">
      <c r="A5" s="244"/>
      <c r="B5" s="248"/>
      <c r="C5" s="248"/>
      <c r="D5" s="248"/>
      <c r="E5" s="249"/>
      <c r="F5" s="242"/>
      <c r="J5" s="243"/>
    </row>
    <row r="6" spans="1:10" ht="15" customHeight="1" thickBot="1" x14ac:dyDescent="0.25">
      <c r="A6" s="250"/>
      <c r="B6" s="251"/>
      <c r="C6" s="252"/>
      <c r="D6" s="253" t="s">
        <v>345</v>
      </c>
      <c r="E6" s="254">
        <v>1</v>
      </c>
      <c r="F6" s="242"/>
      <c r="H6" s="230" t="s">
        <v>1621</v>
      </c>
      <c r="I6" s="230" t="s">
        <v>2</v>
      </c>
      <c r="J6" s="281"/>
    </row>
    <row r="7" spans="1:10" ht="15" customHeight="1" thickTop="1" x14ac:dyDescent="0.2">
      <c r="A7" s="255"/>
      <c r="B7" s="256"/>
      <c r="C7" s="257"/>
      <c r="D7" s="258" t="s">
        <v>346</v>
      </c>
      <c r="E7" s="56" t="s">
        <v>1815</v>
      </c>
      <c r="F7" s="242"/>
      <c r="H7" s="280" t="s">
        <v>1783</v>
      </c>
      <c r="I7" s="232">
        <f>COUNTA(tab_new_bs_curve_lan[IndependentValue])</f>
        <v>25</v>
      </c>
      <c r="J7" s="208"/>
    </row>
    <row r="8" spans="1:10" ht="15" customHeight="1" x14ac:dyDescent="0.2">
      <c r="A8" s="149"/>
      <c r="B8" s="150" t="s">
        <v>347</v>
      </c>
      <c r="C8" s="256" t="s">
        <v>348</v>
      </c>
      <c r="D8" s="258" t="s">
        <v>349</v>
      </c>
      <c r="E8" s="259">
        <f>Values!C8</f>
        <v>0.29076297180076899</v>
      </c>
      <c r="F8" s="242"/>
      <c r="H8" s="279" t="s">
        <v>1784</v>
      </c>
      <c r="I8" s="228">
        <f>MATCH("NumberOfRows =", D:D, 0) + 1</f>
        <v>97</v>
      </c>
    </row>
    <row r="9" spans="1:10" ht="15" customHeight="1" x14ac:dyDescent="0.2">
      <c r="A9" s="149"/>
      <c r="B9" s="150" t="s">
        <v>347</v>
      </c>
      <c r="C9" s="256" t="s">
        <v>348</v>
      </c>
      <c r="D9" s="258" t="s">
        <v>350</v>
      </c>
      <c r="E9" s="259">
        <f>Values!C9</f>
        <v>0.15996565064685772</v>
      </c>
      <c r="F9" s="242"/>
      <c r="H9" s="279" t="s">
        <v>1785</v>
      </c>
      <c r="I9" s="228">
        <f>COUNTA(tab_new_bs_curve_hid[IndependentValue])</f>
        <v>25</v>
      </c>
    </row>
    <row r="10" spans="1:10" ht="15" customHeight="1" x14ac:dyDescent="0.2">
      <c r="A10" s="149"/>
      <c r="B10" s="150" t="s">
        <v>347</v>
      </c>
      <c r="C10" s="256" t="s">
        <v>348</v>
      </c>
      <c r="D10" s="151" t="s">
        <v>351</v>
      </c>
      <c r="E10" s="259">
        <f>Values!C4/1000</f>
        <v>0.16619999999999999</v>
      </c>
      <c r="F10" s="260"/>
      <c r="H10" s="279" t="s">
        <v>1786</v>
      </c>
      <c r="I10" s="228">
        <f>script_table_1st_lan_start_row + 2*I7 - 1</f>
        <v>146</v>
      </c>
    </row>
    <row r="11" spans="1:10" ht="15" customHeight="1" x14ac:dyDescent="0.2">
      <c r="A11" s="149"/>
      <c r="B11" s="150" t="s">
        <v>347</v>
      </c>
      <c r="C11" s="256" t="s">
        <v>348</v>
      </c>
      <c r="D11" s="153" t="s">
        <v>352</v>
      </c>
      <c r="E11" s="259">
        <f>Values!C17</f>
        <v>563380</v>
      </c>
      <c r="F11" s="260"/>
      <c r="H11" s="279" t="s">
        <v>1787</v>
      </c>
      <c r="I11" s="228">
        <f>COUNTA(tab_new_bs_curve_ope[IndependentValue])</f>
        <v>25</v>
      </c>
    </row>
    <row r="12" spans="1:10" ht="15" customHeight="1" x14ac:dyDescent="0.2">
      <c r="A12" s="149"/>
      <c r="B12" s="150" t="s">
        <v>347</v>
      </c>
      <c r="C12" s="256" t="s">
        <v>348</v>
      </c>
      <c r="D12" s="153" t="s">
        <v>354</v>
      </c>
      <c r="E12" s="154">
        <f>Values!C13</f>
        <v>2.4</v>
      </c>
      <c r="F12" s="260"/>
      <c r="H12" s="279" t="s">
        <v>1788</v>
      </c>
      <c r="I12" s="228">
        <f>script_table_1st_hid_start_row + 2*I9 - 1</f>
        <v>195</v>
      </c>
    </row>
    <row r="13" spans="1:10" ht="15" customHeight="1" x14ac:dyDescent="0.2">
      <c r="A13" s="149"/>
      <c r="B13" s="150" t="s">
        <v>347</v>
      </c>
      <c r="C13" s="256" t="s">
        <v>348</v>
      </c>
      <c r="D13" s="153" t="s">
        <v>355</v>
      </c>
      <c r="E13" s="259">
        <f>Values!C10/1000</f>
        <v>0.29133999999999999</v>
      </c>
      <c r="F13" s="260"/>
      <c r="H13" s="279" t="s">
        <v>1789</v>
      </c>
      <c r="I13" s="228">
        <f>COUNTA(tab_bs_bend_restrictor[IndependentValue])</f>
        <v>3</v>
      </c>
    </row>
    <row r="14" spans="1:10" ht="15" customHeight="1" x14ac:dyDescent="0.2">
      <c r="A14" s="149"/>
      <c r="B14" s="150" t="s">
        <v>347</v>
      </c>
      <c r="C14" s="256" t="s">
        <v>348</v>
      </c>
      <c r="D14" s="153" t="s">
        <v>356</v>
      </c>
      <c r="E14" s="259">
        <f>Values!C10/1000</f>
        <v>0.29133999999999999</v>
      </c>
      <c r="F14" s="260"/>
      <c r="H14" s="208"/>
      <c r="I14" s="208"/>
    </row>
    <row r="15" spans="1:10" ht="15" customHeight="1" thickBot="1" x14ac:dyDescent="0.25">
      <c r="A15" s="149"/>
      <c r="B15" s="150" t="s">
        <v>347</v>
      </c>
      <c r="C15" s="256" t="s">
        <v>348</v>
      </c>
      <c r="D15" s="153" t="s">
        <v>357</v>
      </c>
      <c r="E15" s="259">
        <f>Values!C10/1000</f>
        <v>0.29133999999999999</v>
      </c>
      <c r="F15" s="260"/>
      <c r="H15" s="230" t="s">
        <v>1620</v>
      </c>
      <c r="I15" s="417"/>
    </row>
    <row r="16" spans="1:10" ht="15" customHeight="1" thickTop="1" x14ac:dyDescent="0.2">
      <c r="A16" s="149"/>
      <c r="B16" s="150" t="s">
        <v>347</v>
      </c>
      <c r="C16" s="256" t="s">
        <v>348</v>
      </c>
      <c r="D16" s="153" t="s">
        <v>358</v>
      </c>
      <c r="E16" s="259">
        <f>Values!C15</f>
        <v>1685</v>
      </c>
      <c r="F16" s="260"/>
      <c r="H16" s="232" t="s">
        <v>344</v>
      </c>
      <c r="I16" s="208"/>
    </row>
    <row r="17" spans="1:10" s="208" customFormat="1" ht="15" customHeight="1" x14ac:dyDescent="0.2">
      <c r="A17" s="149"/>
      <c r="B17" s="150" t="s">
        <v>347</v>
      </c>
      <c r="C17" s="256" t="s">
        <v>359</v>
      </c>
      <c r="D17" s="258" t="s">
        <v>349</v>
      </c>
      <c r="E17" s="259">
        <f>Values!C23</f>
        <v>0.37592807806225836</v>
      </c>
      <c r="F17" s="260"/>
      <c r="H17" s="228" t="s">
        <v>342</v>
      </c>
      <c r="J17" s="233"/>
    </row>
    <row r="18" spans="1:10" s="208" customFormat="1" ht="15" customHeight="1" x14ac:dyDescent="0.2">
      <c r="A18" s="149"/>
      <c r="B18" s="150" t="s">
        <v>347</v>
      </c>
      <c r="C18" s="256" t="s">
        <v>359</v>
      </c>
      <c r="D18" s="258" t="s">
        <v>350</v>
      </c>
      <c r="E18" s="414">
        <f>Values!C25/1000</f>
        <v>0.313</v>
      </c>
      <c r="F18" s="260"/>
      <c r="J18" s="233"/>
    </row>
    <row r="19" spans="1:10" s="208" customFormat="1" ht="15" customHeight="1" thickBot="1" x14ac:dyDescent="0.25">
      <c r="A19" s="149"/>
      <c r="B19" s="150" t="s">
        <v>347</v>
      </c>
      <c r="C19" s="256" t="s">
        <v>359</v>
      </c>
      <c r="D19" s="151" t="s">
        <v>351</v>
      </c>
      <c r="E19" s="259">
        <f>Values!C21</f>
        <v>0.26846566338003808</v>
      </c>
      <c r="F19" s="260"/>
      <c r="H19" s="230" t="s">
        <v>1619</v>
      </c>
      <c r="I19" s="417"/>
      <c r="J19" s="233"/>
    </row>
    <row r="20" spans="1:10" s="208" customFormat="1" ht="15" customHeight="1" thickTop="1" x14ac:dyDescent="0.2">
      <c r="A20" s="149"/>
      <c r="B20" s="150" t="s">
        <v>347</v>
      </c>
      <c r="C20" s="256" t="s">
        <v>359</v>
      </c>
      <c r="D20" s="153" t="s">
        <v>352</v>
      </c>
      <c r="E20" s="261">
        <f>Values!C32</f>
        <v>10</v>
      </c>
      <c r="F20" s="260"/>
      <c r="H20" s="229" t="str">
        <f xml:space="preserve"> TEXT(9 - IF(Values!$A$66 = "", 1, 0) - IF(Values!$A$53 = "", 1, 0),0)</f>
        <v>7</v>
      </c>
      <c r="I20" s="413"/>
      <c r="J20" s="233"/>
    </row>
    <row r="21" spans="1:10" s="208" customFormat="1" ht="15" customHeight="1" x14ac:dyDescent="0.2">
      <c r="A21" s="149"/>
      <c r="B21" s="150" t="s">
        <v>347</v>
      </c>
      <c r="C21" s="256" t="s">
        <v>359</v>
      </c>
      <c r="D21" s="153" t="s">
        <v>354</v>
      </c>
      <c r="E21" s="154">
        <f>Values!C27</f>
        <v>4.1399999999999997</v>
      </c>
      <c r="F21" s="260"/>
      <c r="H21" s="411"/>
      <c r="I21" s="411"/>
      <c r="J21" s="233"/>
    </row>
    <row r="22" spans="1:10" s="208" customFormat="1" ht="15" customHeight="1" thickBot="1" x14ac:dyDescent="0.25">
      <c r="A22" s="149"/>
      <c r="B22" s="150" t="s">
        <v>347</v>
      </c>
      <c r="C22" s="256" t="s">
        <v>359</v>
      </c>
      <c r="D22" s="153" t="s">
        <v>355</v>
      </c>
      <c r="E22" s="154">
        <f>Values!C26/1000</f>
        <v>0.33800000000000002</v>
      </c>
      <c r="F22" s="260"/>
      <c r="H22" s="411" t="s">
        <v>1905</v>
      </c>
      <c r="I22" s="411"/>
      <c r="J22" s="233"/>
    </row>
    <row r="23" spans="1:10" s="208" customFormat="1" ht="15" customHeight="1" thickBot="1" x14ac:dyDescent="0.25">
      <c r="A23" s="149"/>
      <c r="B23" s="150" t="s">
        <v>347</v>
      </c>
      <c r="C23" s="256" t="s">
        <v>359</v>
      </c>
      <c r="D23" s="153" t="s">
        <v>356</v>
      </c>
      <c r="E23" s="154">
        <f>Values!C26/1000</f>
        <v>0.33800000000000002</v>
      </c>
      <c r="F23" s="260"/>
      <c r="H23" s="231" t="str" cm="1">
        <f t="array" ref="H23">IF(B4="Umbilical", "A curva de rigidez não é necessária para linhas UEH!", IF(ISBLANK((INDEX(D:D,SUM(105, I7),1))), "A curva de Lançamento NÃO foi inserida!", "A curva de Lançamento foi inserida!"))</f>
        <v>A curva de Lançamento foi inserida!</v>
      </c>
      <c r="I23" s="411"/>
      <c r="J23" s="233"/>
    </row>
    <row r="24" spans="1:10" s="208" customFormat="1" ht="15" customHeight="1" x14ac:dyDescent="0.2">
      <c r="A24" s="149"/>
      <c r="B24" s="150" t="s">
        <v>347</v>
      </c>
      <c r="C24" s="256" t="s">
        <v>359</v>
      </c>
      <c r="D24" s="153" t="s">
        <v>357</v>
      </c>
      <c r="E24" s="154">
        <f>Values!C26/1000</f>
        <v>0.33800000000000002</v>
      </c>
      <c r="F24" s="260"/>
      <c r="I24" s="411"/>
      <c r="J24" s="233"/>
    </row>
    <row r="25" spans="1:10" s="208" customFormat="1" ht="15" customHeight="1" thickBot="1" x14ac:dyDescent="0.25">
      <c r="A25" s="149"/>
      <c r="B25" s="150" t="s">
        <v>347</v>
      </c>
      <c r="C25" s="256" t="s">
        <v>359</v>
      </c>
      <c r="D25" s="153" t="s">
        <v>358</v>
      </c>
      <c r="E25" s="154">
        <f>Values!C33</f>
        <v>10</v>
      </c>
      <c r="F25" s="260"/>
      <c r="H25" s="411" t="s">
        <v>1906</v>
      </c>
      <c r="I25" s="411"/>
      <c r="J25" s="233"/>
    </row>
    <row r="26" spans="1:10" s="208" customFormat="1" ht="15" customHeight="1" thickBot="1" x14ac:dyDescent="0.25">
      <c r="A26" s="149"/>
      <c r="B26" s="150" t="s">
        <v>347</v>
      </c>
      <c r="C26" s="256" t="s">
        <v>360</v>
      </c>
      <c r="D26" s="258" t="s">
        <v>349</v>
      </c>
      <c r="E26" s="259">
        <f>Values!C43</f>
        <v>0.46090827946403307</v>
      </c>
      <c r="F26" s="260"/>
      <c r="H26" s="231" t="str" cm="1">
        <f t="array" ref="H26">IF(B4="Umbilical", "A curva de rigidez não é necessária para linhas UEH!", IF(ISBLANK((INDEX(D:D,SUM(105, I7, I9),1))), "A curva de Teste NÃO foi inserida!", "A curva de Teste foi inserida!"))</f>
        <v>A curva de Teste foi inserida!</v>
      </c>
      <c r="I26" s="411"/>
      <c r="J26" s="233"/>
    </row>
    <row r="27" spans="1:10" s="208" customFormat="1" ht="15" customHeight="1" x14ac:dyDescent="0.2">
      <c r="A27" s="149"/>
      <c r="B27" s="150" t="s">
        <v>347</v>
      </c>
      <c r="C27" s="256" t="s">
        <v>360</v>
      </c>
      <c r="D27" s="258" t="s">
        <v>350</v>
      </c>
      <c r="E27" s="259">
        <f>Values!C45/1000</f>
        <v>0.15240000000000001</v>
      </c>
      <c r="F27" s="260"/>
      <c r="I27" s="411"/>
      <c r="J27" s="233"/>
    </row>
    <row r="28" spans="1:10" s="208" customFormat="1" ht="15" customHeight="1" thickBot="1" x14ac:dyDescent="0.25">
      <c r="A28" s="149"/>
      <c r="B28" s="150" t="s">
        <v>347</v>
      </c>
      <c r="C28" s="256" t="s">
        <v>360</v>
      </c>
      <c r="D28" s="151" t="s">
        <v>351</v>
      </c>
      <c r="E28" s="259">
        <f>Values!C41</f>
        <v>1.1716989634970709</v>
      </c>
      <c r="F28" s="260"/>
      <c r="H28" s="411" t="s">
        <v>1907</v>
      </c>
      <c r="J28" s="233"/>
    </row>
    <row r="29" spans="1:10" s="208" customFormat="1" ht="15" customHeight="1" thickBot="1" x14ac:dyDescent="0.25">
      <c r="A29" s="149"/>
      <c r="B29" s="150" t="s">
        <v>347</v>
      </c>
      <c r="C29" s="256" t="s">
        <v>360</v>
      </c>
      <c r="D29" s="153" t="s">
        <v>361</v>
      </c>
      <c r="E29" s="261">
        <f>Values!C48</f>
        <v>78816.727166176031</v>
      </c>
      <c r="F29" s="260"/>
      <c r="H29" s="231" t="str" cm="1">
        <f t="array" ref="H29">IF(B4="Umbilical", "A curva de rigidez não é necessária para linhas UEH!", IF(ISBLANK((INDEX(D:D,SUM(105, I7, I9, I11),1))), "A curva de Operação NÃO foi inserida!", "A curva de Operação foi inserida!"))</f>
        <v>A curva de Operação foi inserida!</v>
      </c>
      <c r="J29" s="233"/>
    </row>
    <row r="30" spans="1:10" s="208" customFormat="1" ht="15" customHeight="1" x14ac:dyDescent="0.2">
      <c r="A30" s="149"/>
      <c r="B30" s="150" t="s">
        <v>347</v>
      </c>
      <c r="C30" s="256" t="s">
        <v>360</v>
      </c>
      <c r="D30" s="153" t="s">
        <v>352</v>
      </c>
      <c r="E30" s="259">
        <f>Values!C49</f>
        <v>11032094.014109271</v>
      </c>
      <c r="F30" s="260"/>
      <c r="H30" s="411"/>
      <c r="I30" s="411"/>
      <c r="J30" s="233"/>
    </row>
    <row r="31" spans="1:10" s="208" customFormat="1" ht="15" customHeight="1" x14ac:dyDescent="0.2">
      <c r="A31" s="149"/>
      <c r="B31" s="150" t="s">
        <v>347</v>
      </c>
      <c r="C31" s="256" t="s">
        <v>360</v>
      </c>
      <c r="D31" s="153" t="s">
        <v>354</v>
      </c>
      <c r="E31" s="154">
        <f>Values!C27</f>
        <v>4.1399999999999997</v>
      </c>
      <c r="F31" s="260"/>
      <c r="H31" s="411"/>
      <c r="I31" s="411"/>
      <c r="J31" s="233"/>
    </row>
    <row r="32" spans="1:10" s="208" customFormat="1" ht="15" customHeight="1" x14ac:dyDescent="0.2">
      <c r="A32" s="149"/>
      <c r="B32" s="150" t="s">
        <v>347</v>
      </c>
      <c r="C32" s="256" t="s">
        <v>360</v>
      </c>
      <c r="D32" s="153" t="s">
        <v>355</v>
      </c>
      <c r="E32" s="154">
        <f>Values!C46/1000</f>
        <v>0.59</v>
      </c>
      <c r="F32" s="260"/>
      <c r="H32" s="411"/>
      <c r="I32" s="411"/>
      <c r="J32" s="233"/>
    </row>
    <row r="33" spans="1:10" s="208" customFormat="1" ht="15" customHeight="1" x14ac:dyDescent="0.2">
      <c r="A33" s="149"/>
      <c r="B33" s="150" t="s">
        <v>347</v>
      </c>
      <c r="C33" s="256" t="s">
        <v>360</v>
      </c>
      <c r="D33" s="153" t="s">
        <v>356</v>
      </c>
      <c r="E33" s="154">
        <f>Values!C46/1000</f>
        <v>0.59</v>
      </c>
      <c r="F33" s="260"/>
      <c r="H33" s="411"/>
      <c r="I33" s="411"/>
      <c r="J33" s="233"/>
    </row>
    <row r="34" spans="1:10" s="208" customFormat="1" ht="15" customHeight="1" x14ac:dyDescent="0.2">
      <c r="A34" s="149"/>
      <c r="B34" s="150" t="s">
        <v>347</v>
      </c>
      <c r="C34" s="256" t="s">
        <v>360</v>
      </c>
      <c r="D34" s="153" t="s">
        <v>357</v>
      </c>
      <c r="E34" s="154">
        <f>Values!C46/1000</f>
        <v>0.59</v>
      </c>
      <c r="F34" s="260"/>
      <c r="H34" s="411"/>
      <c r="I34" s="411"/>
      <c r="J34" s="233"/>
    </row>
    <row r="35" spans="1:10" s="208" customFormat="1" ht="15" customHeight="1" x14ac:dyDescent="0.2">
      <c r="A35" s="149"/>
      <c r="B35" s="150" t="s">
        <v>347</v>
      </c>
      <c r="C35" s="256" t="s">
        <v>360</v>
      </c>
      <c r="D35" s="153" t="s">
        <v>358</v>
      </c>
      <c r="E35" s="259">
        <f>Values!C50</f>
        <v>60628.251666289252</v>
      </c>
      <c r="F35" s="260"/>
      <c r="H35" s="411"/>
      <c r="I35" s="411"/>
      <c r="J35" s="233"/>
    </row>
    <row r="36" spans="1:10" s="208" customFormat="1" ht="15" customHeight="1" x14ac:dyDescent="0.2">
      <c r="A36" s="149"/>
      <c r="B36" s="150" t="s">
        <v>347</v>
      </c>
      <c r="C36" s="256" t="str">
        <f>IF(Values!$A$66="","Select Line","Select ZR_Vértebraebra")</f>
        <v>Select Line</v>
      </c>
      <c r="D36" s="258" t="str">
        <f>IF(Values!$A$66="","NumberOfSections =","OD =")</f>
        <v>NumberOfSections =</v>
      </c>
      <c r="E36" s="154" t="str">
        <f>IF(Values!$A$66="",H$20,Values!C69)</f>
        <v>7</v>
      </c>
      <c r="F36" s="260"/>
      <c r="H36" s="411"/>
      <c r="I36" s="411"/>
      <c r="J36" s="233"/>
    </row>
    <row r="37" spans="1:10" s="208" customFormat="1" ht="15" customHeight="1" x14ac:dyDescent="0.2">
      <c r="A37" s="149"/>
      <c r="B37" s="150" t="s">
        <v>347</v>
      </c>
      <c r="C37" s="256" t="str">
        <f>IF(Values!$A$66="","Select Line","Select ZR_Vértebraebra")</f>
        <v>Select Line</v>
      </c>
      <c r="D37" s="258" t="str">
        <f>IF(Values!$A$66="","NumberOfSections =","ID =")</f>
        <v>NumberOfSections =</v>
      </c>
      <c r="E37" s="154" t="str">
        <f>IF(Values!$A$66="",H$20,Values!C71/1000)</f>
        <v>7</v>
      </c>
      <c r="F37" s="260"/>
      <c r="H37" s="411"/>
      <c r="I37" s="411"/>
      <c r="J37" s="233"/>
    </row>
    <row r="38" spans="1:10" s="208" customFormat="1" ht="15" customHeight="1" x14ac:dyDescent="0.2">
      <c r="A38" s="149"/>
      <c r="B38" s="150" t="s">
        <v>347</v>
      </c>
      <c r="C38" s="256" t="str">
        <f>IF(Values!$A$66="","Select Line","Select ZR_Vértebraebra")</f>
        <v>Select Line</v>
      </c>
      <c r="D38" s="151" t="str">
        <f>IF(Values!$A$66="","NumberOfSections =","MassPerUnitLength =")</f>
        <v>NumberOfSections =</v>
      </c>
      <c r="E38" s="154" t="str">
        <f>IF(Values!$A$66="",H$20,Values!C67)</f>
        <v>7</v>
      </c>
      <c r="F38" s="260"/>
      <c r="H38" s="411"/>
      <c r="I38" s="411"/>
      <c r="J38" s="233"/>
    </row>
    <row r="39" spans="1:10" s="208" customFormat="1" ht="15" customHeight="1" x14ac:dyDescent="0.2">
      <c r="A39" s="149"/>
      <c r="B39" s="150" t="s">
        <v>347</v>
      </c>
      <c r="C39" s="256" t="str">
        <f>IF(Values!$A$66="","Select Line","Select ZR_Vértebraebra")</f>
        <v>Select Line</v>
      </c>
      <c r="D39" s="153" t="str">
        <f>IF(Values!$A$66="","NumberOfSections =","EIx =")</f>
        <v>NumberOfSections =</v>
      </c>
      <c r="E39" s="154" t="str">
        <f>IF(Values!$A$66="",H$20,Values!C74)</f>
        <v>7</v>
      </c>
      <c r="F39" s="260"/>
      <c r="H39" s="411"/>
      <c r="I39" s="411"/>
      <c r="J39" s="233"/>
    </row>
    <row r="40" spans="1:10" s="208" customFormat="1" ht="15" customHeight="1" x14ac:dyDescent="0.2">
      <c r="A40" s="149"/>
      <c r="B40" s="150" t="s">
        <v>347</v>
      </c>
      <c r="C40" s="256" t="str">
        <f>IF(Values!$A$66="","Select Line","Select ZR_Vértebraebra")</f>
        <v>Select Line</v>
      </c>
      <c r="D40" s="153" t="str">
        <f>IF(Values!$A$66="","NumberOfSections =","EA =")</f>
        <v>NumberOfSections =</v>
      </c>
      <c r="E40" s="154" t="str">
        <f>IF(Values!$A$66="",H$20,Values!C75)</f>
        <v>7</v>
      </c>
      <c r="F40" s="260"/>
      <c r="H40" s="411"/>
      <c r="I40" s="411"/>
      <c r="J40" s="233"/>
    </row>
    <row r="41" spans="1:10" s="208" customFormat="1" ht="15" customHeight="1" x14ac:dyDescent="0.2">
      <c r="A41" s="149"/>
      <c r="B41" s="150" t="s">
        <v>347</v>
      </c>
      <c r="C41" s="256" t="str">
        <f>IF(Values!$A$66="","Select Line","Select ZR_Vértebraebra")</f>
        <v>Select Line</v>
      </c>
      <c r="D41" s="153" t="str">
        <f>IF(Values!$A$66="","NumberOfSections =","xMinRadius =")</f>
        <v>NumberOfSections =</v>
      </c>
      <c r="E41" s="154" t="str">
        <f>IF(Values!$A$66="",H$20,Values!C27)</f>
        <v>7</v>
      </c>
      <c r="F41" s="260"/>
      <c r="H41" s="411"/>
      <c r="I41" s="411"/>
      <c r="J41" s="233"/>
    </row>
    <row r="42" spans="1:10" s="208" customFormat="1" ht="15" customHeight="1" x14ac:dyDescent="0.2">
      <c r="A42" s="149"/>
      <c r="B42" s="150" t="s">
        <v>347</v>
      </c>
      <c r="C42" s="256" t="str">
        <f>IF(Values!$A$66="","Select Line","Select ZR_Vértebraebra")</f>
        <v>Select Line</v>
      </c>
      <c r="D42" s="153" t="str">
        <f>IF(Values!$A$66="","NumberOfSections =","NormalDragLiftDiameter =")</f>
        <v>NumberOfSections =</v>
      </c>
      <c r="E42" s="154" t="str">
        <f>IF(Values!$A$66="",H$20,Values!C72/1000)</f>
        <v>7</v>
      </c>
      <c r="F42" s="260"/>
      <c r="H42" s="411"/>
      <c r="I42" s="411"/>
      <c r="J42" s="233"/>
    </row>
    <row r="43" spans="1:10" s="208" customFormat="1" ht="15" customHeight="1" x14ac:dyDescent="0.2">
      <c r="A43" s="149"/>
      <c r="B43" s="150" t="s">
        <v>347</v>
      </c>
      <c r="C43" s="256" t="str">
        <f>IF(Values!$A$66="","Select Line","Select ZR_Vértebraebra")</f>
        <v>Select Line</v>
      </c>
      <c r="D43" s="153" t="str">
        <f>IF(Values!$A$66="","NumberOfSections =","AxialDragLiftDiameter =")</f>
        <v>NumberOfSections =</v>
      </c>
      <c r="E43" s="154" t="str">
        <f>IF(Values!$A$66="",H$20,Values!C72/1000)</f>
        <v>7</v>
      </c>
      <c r="F43" s="260"/>
      <c r="H43" s="411"/>
      <c r="I43" s="411"/>
      <c r="J43" s="233"/>
    </row>
    <row r="44" spans="1:10" s="208" customFormat="1" ht="15" customHeight="1" x14ac:dyDescent="0.2">
      <c r="A44" s="149"/>
      <c r="B44" s="150" t="s">
        <v>347</v>
      </c>
      <c r="C44" s="256" t="str">
        <f>IF(Values!$A$66="","Select Line","Select ZR_Vértebraebra")</f>
        <v>Select Line</v>
      </c>
      <c r="D44" s="153" t="str">
        <f>IF(Values!$A$66="","NumberOfSections =","ContactDiameter =")</f>
        <v>NumberOfSections =</v>
      </c>
      <c r="E44" s="154" t="str">
        <f>IF(Values!$A$66="",H$20,Values!C72/1000)</f>
        <v>7</v>
      </c>
      <c r="F44" s="260"/>
      <c r="H44" s="411"/>
      <c r="I44" s="411"/>
      <c r="J44" s="233"/>
    </row>
    <row r="45" spans="1:10" s="208" customFormat="1" ht="15" customHeight="1" x14ac:dyDescent="0.2">
      <c r="A45" s="149"/>
      <c r="B45" s="150" t="s">
        <v>347</v>
      </c>
      <c r="C45" s="256" t="str">
        <f>IF(Values!$A$66="","Select Line","Select ZR_Vértebraebra")</f>
        <v>Select Line</v>
      </c>
      <c r="D45" s="153" t="str">
        <f>IF(Values!$A$66="","NumberOfSections =","GJ =")</f>
        <v>NumberOfSections =</v>
      </c>
      <c r="E45" s="154" t="str">
        <f>IF(Values!$A$66="",H$20,Values!C76)</f>
        <v>7</v>
      </c>
      <c r="F45" s="260"/>
      <c r="H45" s="411"/>
      <c r="I45" s="411"/>
      <c r="J45" s="233"/>
    </row>
    <row r="46" spans="1:10" s="208" customFormat="1" ht="15" customHeight="1" x14ac:dyDescent="0.2">
      <c r="A46" s="149"/>
      <c r="B46" s="150" t="str">
        <f>IF(Values!$A$53="","","Select Line")</f>
        <v/>
      </c>
      <c r="C46" s="256" t="str">
        <f>IF(Values!$A$53="","Select Line","Select Adaptador")</f>
        <v>Select Line</v>
      </c>
      <c r="D46" s="258" t="str">
        <f>IF(Values!$A$53="","NumberOfSections =","OD =")</f>
        <v>NumberOfSections =</v>
      </c>
      <c r="E46" s="154" t="str">
        <f>IF(Values!$A$53="",H$20,Values!C56)</f>
        <v>7</v>
      </c>
      <c r="F46" s="260"/>
      <c r="H46" s="411"/>
      <c r="I46" s="411"/>
      <c r="J46" s="233"/>
    </row>
    <row r="47" spans="1:10" s="208" customFormat="1" ht="15" customHeight="1" x14ac:dyDescent="0.2">
      <c r="A47" s="149"/>
      <c r="B47" s="150" t="str">
        <f>IF(Values!$A$53="","","Select Line")</f>
        <v/>
      </c>
      <c r="C47" s="256" t="str">
        <f>IF(Values!$A$53="","Select Line","Select Adaptador")</f>
        <v>Select Line</v>
      </c>
      <c r="D47" s="258" t="str">
        <f>IF(Values!$A$53="","NumberOfSections =","ID =")</f>
        <v>NumberOfSections =</v>
      </c>
      <c r="E47" s="154" t="str">
        <f>IF(Values!$A$53="",H$20,Values!C58/1000)</f>
        <v>7</v>
      </c>
      <c r="F47" s="260"/>
      <c r="H47" s="411"/>
      <c r="I47" s="411"/>
      <c r="J47" s="233"/>
    </row>
    <row r="48" spans="1:10" s="208" customFormat="1" ht="15" customHeight="1" x14ac:dyDescent="0.2">
      <c r="A48" s="149"/>
      <c r="B48" s="150" t="str">
        <f>IF(Values!$A$53="","","Select Line")</f>
        <v/>
      </c>
      <c r="C48" s="256" t="str">
        <f>IF(Values!$A$53="","Select Line","Select Adaptador")</f>
        <v>Select Line</v>
      </c>
      <c r="D48" s="151" t="str">
        <f>IF(Values!$A$53="","NumberOfSections =","MassPerUnitLength =")</f>
        <v>NumberOfSections =</v>
      </c>
      <c r="E48" s="154" t="str">
        <f>IF(Values!$A$53="",H$20,Values!C54)</f>
        <v>7</v>
      </c>
      <c r="F48" s="260"/>
      <c r="H48" s="411"/>
      <c r="I48" s="411"/>
      <c r="J48" s="233"/>
    </row>
    <row r="49" spans="1:10" s="208" customFormat="1" ht="15" customHeight="1" x14ac:dyDescent="0.2">
      <c r="A49" s="149"/>
      <c r="B49" s="150" t="str">
        <f>IF(Values!$A$53="","","Select Line")</f>
        <v/>
      </c>
      <c r="C49" s="256" t="str">
        <f>IF(Values!$A$53="","Select Line","Select Adaptador")</f>
        <v>Select Line</v>
      </c>
      <c r="D49" s="153" t="str">
        <f>IF(Values!$A$53="","NumberOfSections =","EIx =")</f>
        <v>NumberOfSections =</v>
      </c>
      <c r="E49" s="154" t="str">
        <f>IF(Values!$A$53="",H$20,Values!C61)</f>
        <v>7</v>
      </c>
      <c r="F49" s="260"/>
      <c r="H49" s="411"/>
      <c r="I49" s="411"/>
      <c r="J49" s="233"/>
    </row>
    <row r="50" spans="1:10" s="208" customFormat="1" ht="15" customHeight="1" x14ac:dyDescent="0.2">
      <c r="A50" s="149"/>
      <c r="B50" s="150" t="str">
        <f>IF(Values!$A$53="","","Select Line")</f>
        <v/>
      </c>
      <c r="C50" s="256" t="str">
        <f>IF(Values!$A$53="","Select Line","Select Adaptador")</f>
        <v>Select Line</v>
      </c>
      <c r="D50" s="153" t="str">
        <f>IF(Values!$A$53="","NumberOfSections =","EA =")</f>
        <v>NumberOfSections =</v>
      </c>
      <c r="E50" s="154" t="str">
        <f>IF(Values!$A$53="",H$20,Values!C62)</f>
        <v>7</v>
      </c>
      <c r="F50" s="260"/>
      <c r="H50" s="411"/>
      <c r="I50" s="411"/>
      <c r="J50" s="233"/>
    </row>
    <row r="51" spans="1:10" s="208" customFormat="1" ht="15" customHeight="1" x14ac:dyDescent="0.2">
      <c r="A51" s="149"/>
      <c r="B51" s="150" t="str">
        <f>IF(Values!$A$53="","","Select Line")</f>
        <v/>
      </c>
      <c r="C51" s="256" t="str">
        <f>IF(Values!$A$53="","Select Line","Select Adaptador")</f>
        <v>Select Line</v>
      </c>
      <c r="D51" s="153" t="str">
        <f>IF(Values!$A$53="","NumberOfSections =","xMinRadius =")</f>
        <v>NumberOfSections =</v>
      </c>
      <c r="E51" s="154" t="str">
        <f>IF(Values!$A$53="",H$20,Values!C27)</f>
        <v>7</v>
      </c>
      <c r="F51" s="260"/>
      <c r="H51" s="411"/>
      <c r="I51" s="411"/>
      <c r="J51" s="233"/>
    </row>
    <row r="52" spans="1:10" s="208" customFormat="1" ht="15" customHeight="1" x14ac:dyDescent="0.2">
      <c r="A52" s="149"/>
      <c r="B52" s="150" t="str">
        <f>IF(Values!$A$53="","","Select Line")</f>
        <v/>
      </c>
      <c r="C52" s="256" t="str">
        <f>IF(Values!$A$53="","Select Line","Select Adaptador")</f>
        <v>Select Line</v>
      </c>
      <c r="D52" s="153" t="str">
        <f>IF(Values!$A$53="","NumberOfSections =","NormalDragLiftDiameter =")</f>
        <v>NumberOfSections =</v>
      </c>
      <c r="E52" s="154" t="str">
        <f>IF(Values!$A$53="",H$20,Values!C59/1000)</f>
        <v>7</v>
      </c>
      <c r="F52" s="260"/>
      <c r="H52" s="411"/>
      <c r="I52" s="411"/>
      <c r="J52" s="233"/>
    </row>
    <row r="53" spans="1:10" s="208" customFormat="1" ht="15" customHeight="1" x14ac:dyDescent="0.2">
      <c r="A53" s="149"/>
      <c r="B53" s="150" t="str">
        <f>IF(Values!$A$53="","","Select Line")</f>
        <v/>
      </c>
      <c r="C53" s="256" t="str">
        <f>IF(Values!$A$53="","Select Line","Select Adaptador")</f>
        <v>Select Line</v>
      </c>
      <c r="D53" s="153" t="str">
        <f>IF(Values!$A$53="","NumberOfSections =","AxialDragLiftDiameter =")</f>
        <v>NumberOfSections =</v>
      </c>
      <c r="E53" s="154" t="str">
        <f>IF(Values!$A$53="",H$20,Values!C59/1000)</f>
        <v>7</v>
      </c>
      <c r="F53" s="260"/>
      <c r="H53" s="411"/>
      <c r="I53" s="411"/>
      <c r="J53" s="233"/>
    </row>
    <row r="54" spans="1:10" s="208" customFormat="1" ht="15" customHeight="1" x14ac:dyDescent="0.2">
      <c r="A54" s="149"/>
      <c r="B54" s="150" t="str">
        <f>IF(Values!$A$53="","","Select Line")</f>
        <v/>
      </c>
      <c r="C54" s="256" t="str">
        <f>IF(Values!$A$53="","Select Line","Select Adaptador")</f>
        <v>Select Line</v>
      </c>
      <c r="D54" s="153" t="str">
        <f>IF(Values!$A$53="","NumberOfSections =","ContactDiameter =")</f>
        <v>NumberOfSections =</v>
      </c>
      <c r="E54" s="154" t="str">
        <f>IF(Values!$A$53="",H$20,Values!C59/1000)</f>
        <v>7</v>
      </c>
      <c r="F54" s="260"/>
      <c r="H54" s="411"/>
      <c r="I54" s="411"/>
      <c r="J54" s="233"/>
    </row>
    <row r="55" spans="1:10" s="208" customFormat="1" ht="15" customHeight="1" x14ac:dyDescent="0.2">
      <c r="A55" s="149"/>
      <c r="B55" s="150" t="str">
        <f>IF(Values!$A$53="","","Select Line")</f>
        <v/>
      </c>
      <c r="C55" s="256" t="str">
        <f>IF(Values!$A$53="","Select Line","Select Adaptador")</f>
        <v>Select Line</v>
      </c>
      <c r="D55" s="153" t="str">
        <f>IF(Values!$A$53="","NumberOfSections =","GJ =")</f>
        <v>NumberOfSections =</v>
      </c>
      <c r="E55" s="154" t="str">
        <f>IF(Values!$A$53="",H$20,Values!C63)</f>
        <v>7</v>
      </c>
      <c r="F55" s="260"/>
      <c r="H55" s="411"/>
      <c r="I55" s="411"/>
      <c r="J55" s="233"/>
    </row>
    <row r="56" spans="1:10" s="208" customFormat="1" ht="15" customHeight="1" x14ac:dyDescent="0.2">
      <c r="A56" s="149"/>
      <c r="B56" s="155"/>
      <c r="C56" s="155" t="s">
        <v>362</v>
      </c>
      <c r="D56" s="153" t="s">
        <v>363</v>
      </c>
      <c r="E56" s="262">
        <f>'MCV e Guindaste'!C18/1000</f>
        <v>5.0430000000000001</v>
      </c>
      <c r="F56" s="260"/>
      <c r="H56" s="411"/>
      <c r="I56" s="411"/>
      <c r="J56" s="233"/>
    </row>
    <row r="57" spans="1:10" s="208" customFormat="1" ht="15" customHeight="1" x14ac:dyDescent="0.2">
      <c r="A57" s="149"/>
      <c r="B57" s="155"/>
      <c r="C57" s="155" t="s">
        <v>362</v>
      </c>
      <c r="D57" s="153" t="s">
        <v>364</v>
      </c>
      <c r="E57" s="262">
        <f>('MCV e Guindaste'!B13/1000)+('MCV e Guindaste'!B9/1000)</f>
        <v>2.5389999999999997</v>
      </c>
      <c r="F57" s="260"/>
      <c r="H57" s="411"/>
      <c r="I57" s="411"/>
      <c r="J57" s="233"/>
    </row>
    <row r="58" spans="1:10" s="208" customFormat="1" ht="15" customHeight="1" x14ac:dyDescent="0.2">
      <c r="A58" s="263"/>
      <c r="B58" s="155"/>
      <c r="C58" s="155" t="s">
        <v>362</v>
      </c>
      <c r="D58" s="153" t="s">
        <v>365</v>
      </c>
      <c r="E58" s="264">
        <f>('MCV e Guindaste'!C30*(-1))</f>
        <v>-2238.2269999999999</v>
      </c>
      <c r="F58" s="260"/>
      <c r="H58" s="411"/>
      <c r="I58" s="411"/>
      <c r="J58" s="233"/>
    </row>
    <row r="59" spans="1:10" s="208" customFormat="1" ht="15" customHeight="1" x14ac:dyDescent="0.2">
      <c r="A59" s="265"/>
      <c r="B59" s="155"/>
      <c r="C59" s="155" t="s">
        <v>362</v>
      </c>
      <c r="D59" s="153" t="s">
        <v>366</v>
      </c>
      <c r="E59" s="266">
        <f>'MCV e Guindaste'!C23</f>
        <v>-2.5000000000000022E-2</v>
      </c>
      <c r="F59" s="267"/>
      <c r="H59" s="411"/>
      <c r="I59" s="411"/>
      <c r="J59" s="233"/>
    </row>
    <row r="60" spans="1:10" s="208" customFormat="1" ht="15" customHeight="1" x14ac:dyDescent="0.2">
      <c r="A60" s="265"/>
      <c r="B60" s="155"/>
      <c r="C60" s="155" t="s">
        <v>362</v>
      </c>
      <c r="D60" s="153" t="s">
        <v>2175</v>
      </c>
      <c r="E60" s="266">
        <f>'MCV e Guindaste'!C22</f>
        <v>0</v>
      </c>
      <c r="F60" s="267"/>
      <c r="H60" s="411"/>
      <c r="I60" s="411"/>
      <c r="J60" s="233"/>
    </row>
    <row r="61" spans="1:10" s="208" customFormat="1" ht="15" customHeight="1" x14ac:dyDescent="0.2">
      <c r="A61" s="265"/>
      <c r="B61" s="155"/>
      <c r="C61" s="155" t="s">
        <v>362</v>
      </c>
      <c r="D61" s="153" t="s">
        <v>367</v>
      </c>
      <c r="E61" s="266">
        <f>'MCV e Guindaste'!C21</f>
        <v>1.3559999999999999</v>
      </c>
      <c r="F61" s="267"/>
      <c r="H61" s="411"/>
      <c r="I61" s="411"/>
      <c r="J61" s="233"/>
    </row>
    <row r="62" spans="1:10" s="208" customFormat="1" ht="15" customHeight="1" x14ac:dyDescent="0.2">
      <c r="A62" s="265"/>
      <c r="B62" s="155"/>
      <c r="C62" s="155" t="s">
        <v>362</v>
      </c>
      <c r="D62" s="153" t="s">
        <v>368</v>
      </c>
      <c r="E62" s="266">
        <f>'MCV e Guindaste'!C23</f>
        <v>-2.5000000000000022E-2</v>
      </c>
      <c r="F62" s="267"/>
      <c r="H62" s="411"/>
      <c r="I62" s="411"/>
      <c r="J62" s="233"/>
    </row>
    <row r="63" spans="1:10" s="208" customFormat="1" ht="15" customHeight="1" x14ac:dyDescent="0.2">
      <c r="A63" s="265"/>
      <c r="B63" s="155"/>
      <c r="C63" s="155" t="s">
        <v>362</v>
      </c>
      <c r="D63" s="153" t="s">
        <v>2176</v>
      </c>
      <c r="E63" s="266">
        <f>'MCV e Guindaste'!C22</f>
        <v>0</v>
      </c>
      <c r="F63" s="267"/>
      <c r="H63" s="411"/>
      <c r="I63" s="411"/>
      <c r="J63" s="233"/>
    </row>
    <row r="64" spans="1:10" s="208" customFormat="1" ht="15" customHeight="1" x14ac:dyDescent="0.2">
      <c r="A64" s="265"/>
      <c r="B64" s="155"/>
      <c r="C64" s="155" t="s">
        <v>362</v>
      </c>
      <c r="D64" s="153" t="s">
        <v>369</v>
      </c>
      <c r="E64" s="266">
        <f>'MCV e Guindaste'!C21</f>
        <v>1.3559999999999999</v>
      </c>
      <c r="F64" s="267"/>
      <c r="H64" s="411"/>
      <c r="I64" s="411"/>
      <c r="J64" s="233"/>
    </row>
    <row r="65" spans="1:10" s="208" customFormat="1" ht="15" customHeight="1" x14ac:dyDescent="0.2">
      <c r="A65" s="263"/>
      <c r="B65" s="155"/>
      <c r="C65" s="155" t="s">
        <v>370</v>
      </c>
      <c r="D65" s="153" t="s">
        <v>371</v>
      </c>
      <c r="E65" s="268">
        <f>Values!C18/1000</f>
        <v>5.7809999999999997</v>
      </c>
      <c r="F65" s="260"/>
      <c r="H65" s="411"/>
      <c r="I65" s="411"/>
      <c r="J65" s="233"/>
    </row>
    <row r="66" spans="1:10" s="208" customFormat="1" ht="15" customHeight="1" x14ac:dyDescent="0.2">
      <c r="A66" s="149"/>
      <c r="B66" s="150"/>
      <c r="C66" s="150" t="s">
        <v>347</v>
      </c>
      <c r="D66" s="151" t="s">
        <v>1754</v>
      </c>
      <c r="E66" s="415">
        <f>('MCV e Guindaste'!H18)-160-100-40-10-(Values!C18/1000)-(Values!C51/1000)-(Values!C38/1000)</f>
        <v>1922</v>
      </c>
      <c r="F66" s="260"/>
      <c r="H66" s="411"/>
      <c r="I66" s="411"/>
      <c r="J66" s="233"/>
    </row>
    <row r="67" spans="1:10" s="208" customFormat="1" ht="15" customHeight="1" x14ac:dyDescent="0.2">
      <c r="A67" s="149"/>
      <c r="B67" s="150"/>
      <c r="C67" s="150" t="s">
        <v>347</v>
      </c>
      <c r="D67" s="151" t="s">
        <v>372</v>
      </c>
      <c r="E67" s="152">
        <f>Values!C18/1000</f>
        <v>5.7809999999999997</v>
      </c>
      <c r="F67" s="260"/>
      <c r="H67" s="411"/>
      <c r="I67" s="411"/>
      <c r="J67" s="233"/>
    </row>
    <row r="68" spans="1:10" s="208" customFormat="1" ht="15" customHeight="1" x14ac:dyDescent="0.2">
      <c r="A68" s="149"/>
      <c r="B68" s="150"/>
      <c r="C68" s="150" t="s">
        <v>347</v>
      </c>
      <c r="D68" s="153" t="str">
        <f>IF(Values!$A$66="", "LineType[7] =", "Attachmentz[1] =")</f>
        <v>LineType[7] =</v>
      </c>
      <c r="E68" s="154" t="str">
        <f>IF(Values!$A$66="", "Conector", 0)</f>
        <v>Conector</v>
      </c>
      <c r="F68" s="260"/>
      <c r="H68" s="411"/>
      <c r="I68" s="411"/>
      <c r="J68" s="233"/>
    </row>
    <row r="69" spans="1:10" s="208" customFormat="1" ht="15" customHeight="1" x14ac:dyDescent="0.2">
      <c r="A69" s="149"/>
      <c r="B69" s="150"/>
      <c r="C69" s="150" t="s">
        <v>347</v>
      </c>
      <c r="D69" s="153" t="str">
        <f>IF(AND(Values!$A$66="",NOT(Values!$A$53="")), "LineType[8] =", "Attachmentz[1] =")</f>
        <v>Attachmentz[1] =</v>
      </c>
      <c r="E69" s="154">
        <f>IF(AND(Values!$A$66="",NOT(Values!$A$53="")), "Adaptador", 0)</f>
        <v>0</v>
      </c>
      <c r="F69" s="260"/>
      <c r="H69" s="411"/>
      <c r="I69" s="411"/>
      <c r="J69" s="233"/>
    </row>
    <row r="70" spans="1:10" s="208" customFormat="1" ht="15" customHeight="1" x14ac:dyDescent="0.2">
      <c r="A70" s="149"/>
      <c r="B70" s="150"/>
      <c r="C70" s="150" t="s">
        <v>347</v>
      </c>
      <c r="D70" s="153" t="str">
        <f>IF(Values!$A$66="","Attachmentz[1] =","Length[7] =")</f>
        <v>Attachmentz[1] =</v>
      </c>
      <c r="E70" s="154">
        <f>IF(Values!$A$66="",0, Values!C64/1000)</f>
        <v>0</v>
      </c>
      <c r="F70" s="260"/>
      <c r="H70" s="411"/>
      <c r="I70" s="411"/>
      <c r="J70" s="233"/>
    </row>
    <row r="71" spans="1:10" s="208" customFormat="1" ht="15" customHeight="1" x14ac:dyDescent="0.2">
      <c r="A71" s="149"/>
      <c r="B71" s="150"/>
      <c r="C71" s="150" t="s">
        <v>347</v>
      </c>
      <c r="D71" s="153" t="str">
        <f>IF(Values!$A$66="", "Length[7] =", "Length[8] =")</f>
        <v>Length[7] =</v>
      </c>
      <c r="E71" s="154">
        <f xml:space="preserve"> Values!C38/1000</f>
        <v>2.2189999999999999</v>
      </c>
      <c r="F71" s="260"/>
      <c r="H71" s="411"/>
      <c r="I71" s="411"/>
      <c r="J71" s="233"/>
    </row>
    <row r="72" spans="1:10" s="208" customFormat="1" ht="15" customHeight="1" x14ac:dyDescent="0.2">
      <c r="A72" s="149"/>
      <c r="B72" s="150"/>
      <c r="C72" s="150" t="s">
        <v>347</v>
      </c>
      <c r="D72" s="153" t="str" cm="1">
        <f t="array" ref="D72">_xlfn.IFS(AND(Values!$A$66="",NOT(Values!$A$53="")), "Length[8] =", AND(NOT(Values!$A$66=""),NOT(Values!$A$53="")),"Length[9] =",TRUE, "Attachmentz[1] =")</f>
        <v>Attachmentz[1] =</v>
      </c>
      <c r="E72" s="154" cm="1">
        <f t="array" ref="E72">_xlfn.IFS(AND(Values!$A$66="",NOT(Values!$A$53="")), Values!C51/1000, AND(NOT(Values!$A$66=""),NOT(Values!$A$53="")),Values!C51/1000,TRUE,0)</f>
        <v>0</v>
      </c>
      <c r="F72" s="260"/>
      <c r="H72" s="411"/>
      <c r="I72" s="411"/>
      <c r="J72" s="233"/>
    </row>
    <row r="73" spans="1:10" s="208" customFormat="1" ht="15" customHeight="1" x14ac:dyDescent="0.2">
      <c r="A73" s="149"/>
      <c r="B73" s="155"/>
      <c r="C73" s="150" t="s">
        <v>347</v>
      </c>
      <c r="D73" s="151" t="s">
        <v>373</v>
      </c>
      <c r="E73" s="154">
        <f>E70+E71+E72</f>
        <v>2.2189999999999999</v>
      </c>
      <c r="F73" s="260"/>
      <c r="H73" s="411"/>
      <c r="I73" s="411"/>
      <c r="J73" s="233"/>
    </row>
    <row r="74" spans="1:10" s="208" customFormat="1" ht="15" customHeight="1" x14ac:dyDescent="0.2">
      <c r="A74" s="263"/>
      <c r="B74" s="155"/>
      <c r="C74" s="155" t="s">
        <v>347</v>
      </c>
      <c r="D74" s="153" t="s">
        <v>374</v>
      </c>
      <c r="E74" s="268">
        <f>'MCV e Guindaste'!C29</f>
        <v>0.83899999999999997</v>
      </c>
      <c r="F74" s="260"/>
      <c r="H74" s="411"/>
      <c r="I74" s="411"/>
      <c r="J74" s="233"/>
    </row>
    <row r="75" spans="1:10" s="208" customFormat="1" ht="15" customHeight="1" x14ac:dyDescent="0.2">
      <c r="A75" s="263"/>
      <c r="B75" s="155"/>
      <c r="C75" s="155" t="s">
        <v>347</v>
      </c>
      <c r="D75" s="153" t="s">
        <v>375</v>
      </c>
      <c r="E75" s="268">
        <f>'MCV e Guindaste'!C27</f>
        <v>2.0369999999999999</v>
      </c>
      <c r="F75" s="260"/>
      <c r="H75" s="411"/>
      <c r="I75" s="411"/>
      <c r="J75" s="233"/>
    </row>
    <row r="76" spans="1:10" s="208" customFormat="1" ht="15" customHeight="1" x14ac:dyDescent="0.2">
      <c r="A76" s="263"/>
      <c r="B76" s="155"/>
      <c r="C76" s="155" t="s">
        <v>347</v>
      </c>
      <c r="D76" s="153" t="s">
        <v>376</v>
      </c>
      <c r="E76" s="268">
        <f>'MCV e Guindaste'!C31</f>
        <v>60</v>
      </c>
      <c r="F76" s="260"/>
      <c r="H76" s="411"/>
      <c r="I76" s="411"/>
      <c r="J76" s="233"/>
    </row>
    <row r="77" spans="1:10" s="208" customFormat="1" ht="15" customHeight="1" x14ac:dyDescent="0.2">
      <c r="A77" s="263"/>
      <c r="B77" s="155"/>
      <c r="C77" s="155" t="s">
        <v>377</v>
      </c>
      <c r="D77" s="155" t="s">
        <v>378</v>
      </c>
      <c r="E77" s="268">
        <f>'MCV e Guindaste'!C26</f>
        <v>-6.800000000000006E-2</v>
      </c>
      <c r="F77" s="260"/>
      <c r="H77" s="411"/>
      <c r="I77" s="411"/>
      <c r="J77" s="233"/>
    </row>
    <row r="78" spans="1:10" s="208" customFormat="1" ht="15" customHeight="1" x14ac:dyDescent="0.2">
      <c r="A78" s="263"/>
      <c r="B78" s="155"/>
      <c r="C78" s="155" t="s">
        <v>377</v>
      </c>
      <c r="D78" s="155" t="s">
        <v>379</v>
      </c>
      <c r="E78" s="268">
        <f>'MCV e Guindaste'!C24</f>
        <v>2.5389999999999997</v>
      </c>
      <c r="F78" s="260"/>
      <c r="H78" s="411"/>
      <c r="I78" s="411"/>
      <c r="J78" s="233"/>
    </row>
    <row r="79" spans="1:10" s="208" customFormat="1" ht="15" customHeight="1" x14ac:dyDescent="0.2">
      <c r="A79" s="263"/>
      <c r="B79" s="155"/>
      <c r="C79" s="155" t="s">
        <v>377</v>
      </c>
      <c r="D79" s="155" t="s">
        <v>380</v>
      </c>
      <c r="E79" s="269">
        <f>'MCV e Guindaste'!H19</f>
        <v>2235.6880000000001</v>
      </c>
      <c r="F79" s="260"/>
      <c r="H79" s="411"/>
      <c r="I79" s="411"/>
      <c r="J79" s="233"/>
    </row>
    <row r="80" spans="1:10" s="208" customFormat="1" ht="15" customHeight="1" x14ac:dyDescent="0.2">
      <c r="A80" s="263"/>
      <c r="B80" s="155"/>
      <c r="C80" s="155" t="s">
        <v>362</v>
      </c>
      <c r="D80" s="153" t="s">
        <v>381</v>
      </c>
      <c r="E80" s="269" t="str">
        <f>IF(TRIM('MCV e Guindaste'!B6)="","MCV",SUBSTITUTE(TRIM('MCV e Guindaste'!B6)," ","_"))</f>
        <v>P7000048060</v>
      </c>
      <c r="F80" s="260"/>
      <c r="H80" s="411"/>
      <c r="I80" s="411"/>
      <c r="J80" s="233"/>
    </row>
    <row r="81" spans="1:13" s="208" customFormat="1" ht="15" customHeight="1" x14ac:dyDescent="0.2">
      <c r="A81" s="149"/>
      <c r="B81" s="150"/>
      <c r="C81" s="256" t="str">
        <f>IF(Values!$A$53="","Select Line","Select Adaptador")</f>
        <v>Select Line</v>
      </c>
      <c r="D81" s="153" t="str">
        <f>IF(Values!$A$53="","NumberOfSections =","Name =")</f>
        <v>NumberOfSections =</v>
      </c>
      <c r="E81" s="154" t="str">
        <f>IF(TRIM(Values!$A$53)="",H$20,SUBSTITUTE(TRIM(Values!$A$53)," ","_"))</f>
        <v>7</v>
      </c>
      <c r="F81" s="260"/>
      <c r="H81" s="411"/>
      <c r="I81" s="411"/>
      <c r="J81" s="233"/>
    </row>
    <row r="82" spans="1:13" s="208" customFormat="1" ht="15" customHeight="1" x14ac:dyDescent="0.2">
      <c r="A82" s="263"/>
      <c r="B82" s="155"/>
      <c r="C82" s="155" t="s">
        <v>360</v>
      </c>
      <c r="D82" s="153" t="s">
        <v>381</v>
      </c>
      <c r="E82" s="269" t="str">
        <f>IF(TRIM(Values!$A$40)="","Conector",SUBSTITUTE(TRIM(Values!$A$40)," ","_"))</f>
        <v>CB-EF1522540-00-05</v>
      </c>
      <c r="F82" s="260"/>
      <c r="H82" s="411"/>
      <c r="I82" s="411"/>
      <c r="J82" s="233"/>
    </row>
    <row r="83" spans="1:13" s="208" customFormat="1" ht="15" customHeight="1" x14ac:dyDescent="0.2">
      <c r="A83" s="149"/>
      <c r="B83" s="150"/>
      <c r="C83" s="256" t="str">
        <f>IF(Values!$A$66="","Select Line","Select ZR_Vértebraebra")</f>
        <v>Select Line</v>
      </c>
      <c r="D83" s="153" t="str">
        <f>IF(Values!$A$66="","NumberOfSections =","Name =")</f>
        <v>NumberOfSections =</v>
      </c>
      <c r="E83" s="154" t="str">
        <f>IF(TRIM(Values!$A$66)="",H$20,SUBSTITUTE(TRIM(Values!$A$66)," ","_"))</f>
        <v>7</v>
      </c>
      <c r="F83" s="260"/>
      <c r="H83" s="411"/>
      <c r="I83" s="411"/>
      <c r="J83" s="233"/>
    </row>
    <row r="84" spans="1:13" s="208" customFormat="1" ht="15" customHeight="1" x14ac:dyDescent="0.2">
      <c r="A84" s="263"/>
      <c r="B84" s="155"/>
      <c r="C84" s="155" t="s">
        <v>359</v>
      </c>
      <c r="D84" s="153" t="s">
        <v>381</v>
      </c>
      <c r="E84" s="269" t="str">
        <f>IF(TRIM(Values!$A$20)="","Vértebra",SUBSTITUTE(TRIM(Values!$A$20)," ","_"))</f>
        <v>CB-BR1522553-00-01</v>
      </c>
      <c r="F84" s="260"/>
      <c r="H84" s="411"/>
      <c r="I84" s="411"/>
      <c r="J84" s="233"/>
    </row>
    <row r="85" spans="1:13" s="208" customFormat="1" ht="15" customHeight="1" x14ac:dyDescent="0.2">
      <c r="A85" s="263"/>
      <c r="B85" s="155"/>
      <c r="C85" s="155" t="s">
        <v>348</v>
      </c>
      <c r="D85" s="153" t="s">
        <v>381</v>
      </c>
      <c r="E85" s="269" t="str">
        <f>IF(TRIM(Values!$A$5)="","Linha",SUBSTITUTE(TRIM(Values!$A$5)," ","_"))</f>
        <v>WSI_152.2553-RD-4042-6</v>
      </c>
      <c r="F85" s="260"/>
      <c r="H85" s="411"/>
      <c r="I85" s="411"/>
      <c r="J85" s="233"/>
    </row>
    <row r="86" spans="1:13" s="208" customFormat="1" ht="15" customHeight="1" x14ac:dyDescent="0.2">
      <c r="A86" s="263"/>
      <c r="B86" s="155"/>
      <c r="C86" s="155" t="s">
        <v>382</v>
      </c>
      <c r="D86" s="153" t="s">
        <v>383</v>
      </c>
      <c r="E86" s="268" t="s">
        <v>384</v>
      </c>
      <c r="F86" s="260"/>
      <c r="H86" s="411"/>
      <c r="I86" s="411"/>
      <c r="J86" s="233"/>
    </row>
    <row r="87" spans="1:13" s="208" customFormat="1" ht="15" customHeight="1" x14ac:dyDescent="0.2">
      <c r="A87" s="263"/>
      <c r="B87" s="155"/>
      <c r="C87" s="155" t="s">
        <v>382</v>
      </c>
      <c r="D87" s="153" t="s">
        <v>385</v>
      </c>
      <c r="E87" s="270">
        <v>4</v>
      </c>
      <c r="F87" s="260"/>
      <c r="H87" s="411"/>
      <c r="I87" s="411"/>
      <c r="J87" s="233"/>
    </row>
    <row r="88" spans="1:13" s="76" customFormat="1" ht="15" customHeight="1" x14ac:dyDescent="0.2">
      <c r="A88" s="263"/>
      <c r="B88" s="155"/>
      <c r="C88" s="155" t="s">
        <v>382</v>
      </c>
      <c r="D88" s="153" t="s">
        <v>386</v>
      </c>
      <c r="E88" s="268">
        <v>0</v>
      </c>
      <c r="F88" s="260"/>
      <c r="G88" s="208"/>
      <c r="H88" s="208"/>
      <c r="I88" s="208"/>
      <c r="J88" s="233"/>
      <c r="K88" s="233"/>
      <c r="L88" s="233"/>
      <c r="M88" s="233"/>
    </row>
    <row r="89" spans="1:13" s="208" customFormat="1" ht="15" customHeight="1" x14ac:dyDescent="0.2">
      <c r="A89" s="263"/>
      <c r="B89" s="155"/>
      <c r="C89" s="155" t="s">
        <v>382</v>
      </c>
      <c r="D89" s="153" t="s">
        <v>387</v>
      </c>
      <c r="E89" s="268">
        <f>'MCV e Guindaste'!H18</f>
        <v>2240</v>
      </c>
      <c r="F89" s="260"/>
      <c r="H89" s="411"/>
      <c r="I89" s="411"/>
      <c r="J89" s="233"/>
    </row>
    <row r="90" spans="1:13" s="208" customFormat="1" ht="15" customHeight="1" x14ac:dyDescent="0.2">
      <c r="A90" s="263"/>
      <c r="B90" s="155"/>
      <c r="C90" s="155" t="s">
        <v>382</v>
      </c>
      <c r="D90" s="153" t="s">
        <v>388</v>
      </c>
      <c r="E90" s="264">
        <f>IF('MCV e Guindaste'!G23="",E89,'MCV e Guindaste'!G23)</f>
        <v>5</v>
      </c>
      <c r="F90" s="260"/>
      <c r="H90" s="411"/>
      <c r="I90" s="411"/>
      <c r="J90" s="233"/>
    </row>
    <row r="91" spans="1:13" s="208" customFormat="1" ht="15" customHeight="1" x14ac:dyDescent="0.2">
      <c r="A91" s="263"/>
      <c r="B91" s="155"/>
      <c r="C91" s="155" t="s">
        <v>382</v>
      </c>
      <c r="D91" s="153" t="s">
        <v>389</v>
      </c>
      <c r="E91" s="264">
        <f>'MCV e Guindaste'!I23</f>
        <v>2240</v>
      </c>
      <c r="F91" s="260"/>
      <c r="H91" s="411"/>
      <c r="I91" s="411"/>
      <c r="J91" s="233"/>
    </row>
    <row r="92" spans="1:13" s="208" customFormat="1" ht="15" customHeight="1" x14ac:dyDescent="0.2">
      <c r="A92" s="263"/>
      <c r="B92" s="155"/>
      <c r="C92" s="155" t="s">
        <v>382</v>
      </c>
      <c r="D92" s="153" t="s">
        <v>390</v>
      </c>
      <c r="E92" s="264">
        <f>IF('MCV e Guindaste'!G24="",E90,'MCV e Guindaste'!G24)</f>
        <v>10</v>
      </c>
      <c r="F92" s="260"/>
      <c r="H92" s="411"/>
      <c r="I92" s="411"/>
      <c r="J92" s="233"/>
    </row>
    <row r="93" spans="1:13" s="208" customFormat="1" ht="15" customHeight="1" x14ac:dyDescent="0.2">
      <c r="A93" s="263"/>
      <c r="B93" s="155"/>
      <c r="C93" s="155" t="s">
        <v>382</v>
      </c>
      <c r="D93" s="153" t="s">
        <v>391</v>
      </c>
      <c r="E93" s="264">
        <f>'MCV e Guindaste'!I24</f>
        <v>2240</v>
      </c>
      <c r="F93" s="260"/>
      <c r="H93" s="411"/>
      <c r="I93" s="411"/>
      <c r="J93" s="233"/>
    </row>
    <row r="94" spans="1:13" s="208" customFormat="1" ht="15" customHeight="1" x14ac:dyDescent="0.2">
      <c r="A94" s="263"/>
      <c r="B94" s="155"/>
      <c r="C94" s="155" t="s">
        <v>382</v>
      </c>
      <c r="D94" s="153" t="s">
        <v>392</v>
      </c>
      <c r="E94" s="264">
        <f>IF('MCV e Guindaste'!G25="",E92,'MCV e Guindaste'!G25)</f>
        <v>15</v>
      </c>
      <c r="F94" s="260"/>
      <c r="H94" s="411"/>
      <c r="I94" s="411"/>
      <c r="J94" s="233"/>
    </row>
    <row r="95" spans="1:13" s="208" customFormat="1" ht="15" customHeight="1" x14ac:dyDescent="0.2">
      <c r="A95" s="263"/>
      <c r="B95" s="155"/>
      <c r="C95" s="155" t="s">
        <v>382</v>
      </c>
      <c r="D95" s="153" t="s">
        <v>393</v>
      </c>
      <c r="E95" s="264">
        <f>'MCV e Guindaste'!I25</f>
        <v>2240</v>
      </c>
      <c r="F95" s="260"/>
      <c r="H95" s="411"/>
      <c r="I95" s="411"/>
      <c r="J95" s="233"/>
    </row>
    <row r="96" spans="1:13" s="208" customFormat="1" ht="15" customHeight="1" x14ac:dyDescent="0.2">
      <c r="A96" s="263"/>
      <c r="B96" s="155" t="str">
        <f>IF($B$4="Umbilical","Select Line","")</f>
        <v/>
      </c>
      <c r="C96" s="155" t="str">
        <f>IF($B$4="Umbilical",_xlfn.CONCAT("Select ",E85),"Select Stiffness_Lançamento")</f>
        <v>Select Stiffness_Lançamento</v>
      </c>
      <c r="D96" s="153" t="str">
        <f>IF($B$4="Umbilical","EIx=","NumberOfRows =")</f>
        <v>NumberOfRows =</v>
      </c>
      <c r="E96" s="270">
        <f>IF($B$4="Umbilical", Values!C14, I7)</f>
        <v>25</v>
      </c>
      <c r="F96" s="260"/>
      <c r="H96" s="411"/>
      <c r="I96" s="411"/>
      <c r="J96" s="233"/>
    </row>
    <row r="97" spans="1:10" s="208" customFormat="1" ht="15" customHeight="1" x14ac:dyDescent="0.2">
      <c r="A97" s="263"/>
      <c r="B97" s="155"/>
      <c r="C97" s="155" t="s">
        <v>2223</v>
      </c>
      <c r="D97" s="153" t="s">
        <v>395</v>
      </c>
      <c r="E97" s="1359">
        <v>3.0000000000000001E-3</v>
      </c>
      <c r="F97" s="260"/>
      <c r="H97" s="411"/>
      <c r="I97" s="411"/>
      <c r="J97" s="233"/>
    </row>
    <row r="98" spans="1:10" s="208" customFormat="1" ht="15" customHeight="1" x14ac:dyDescent="0.2">
      <c r="A98" s="263"/>
      <c r="B98" s="155"/>
      <c r="C98" s="155" t="s">
        <v>2223</v>
      </c>
      <c r="D98" s="153" t="s">
        <v>396</v>
      </c>
      <c r="E98" s="1359">
        <v>6.0000000000000001E-3</v>
      </c>
      <c r="F98" s="260"/>
      <c r="H98" s="411"/>
      <c r="I98" s="411"/>
      <c r="J98" s="233"/>
    </row>
    <row r="99" spans="1:10" s="208" customFormat="1" ht="15" customHeight="1" x14ac:dyDescent="0.2">
      <c r="A99" s="263"/>
      <c r="B99" s="155"/>
      <c r="C99" s="155" t="s">
        <v>2223</v>
      </c>
      <c r="D99" s="153" t="s">
        <v>2224</v>
      </c>
      <c r="E99" s="1359">
        <v>8.9999999999999993E-3</v>
      </c>
      <c r="F99" s="260"/>
      <c r="H99" s="411"/>
      <c r="I99" s="411"/>
      <c r="J99" s="233"/>
    </row>
    <row r="100" spans="1:10" s="208" customFormat="1" ht="15" customHeight="1" x14ac:dyDescent="0.2">
      <c r="A100" s="263"/>
      <c r="B100" s="155"/>
      <c r="C100" s="155" t="s">
        <v>2223</v>
      </c>
      <c r="D100" s="153" t="s">
        <v>2225</v>
      </c>
      <c r="E100" s="1359">
        <v>1.4E-2</v>
      </c>
      <c r="F100" s="260"/>
      <c r="H100" s="411"/>
      <c r="I100" s="411"/>
      <c r="J100" s="233"/>
    </row>
    <row r="101" spans="1:10" s="208" customFormat="1" ht="15" customHeight="1" x14ac:dyDescent="0.2">
      <c r="A101" s="263"/>
      <c r="B101" s="155"/>
      <c r="C101" s="155" t="s">
        <v>2223</v>
      </c>
      <c r="D101" s="153" t="s">
        <v>2226</v>
      </c>
      <c r="E101" s="1359">
        <v>1.9E-2</v>
      </c>
      <c r="F101" s="260"/>
      <c r="H101" s="411"/>
      <c r="I101" s="411"/>
      <c r="J101" s="233"/>
    </row>
    <row r="102" spans="1:10" s="208" customFormat="1" ht="15" customHeight="1" x14ac:dyDescent="0.2">
      <c r="A102" s="263"/>
      <c r="B102" s="155"/>
      <c r="C102" s="155" t="s">
        <v>2223</v>
      </c>
      <c r="D102" s="153" t="s">
        <v>2227</v>
      </c>
      <c r="E102" s="1359">
        <v>2.4E-2</v>
      </c>
      <c r="F102" s="260"/>
      <c r="H102" s="411"/>
      <c r="I102" s="411"/>
      <c r="J102" s="233"/>
    </row>
    <row r="103" spans="1:10" s="208" customFormat="1" ht="15" customHeight="1" x14ac:dyDescent="0.2">
      <c r="A103" s="263"/>
      <c r="B103" s="155"/>
      <c r="C103" s="155" t="s">
        <v>2223</v>
      </c>
      <c r="D103" s="153" t="s">
        <v>2228</v>
      </c>
      <c r="E103" s="1359">
        <v>0.03</v>
      </c>
      <c r="F103" s="260"/>
      <c r="H103" s="411"/>
      <c r="I103" s="411"/>
      <c r="J103" s="233"/>
    </row>
    <row r="104" spans="1:10" s="208" customFormat="1" ht="15" customHeight="1" x14ac:dyDescent="0.2">
      <c r="A104" s="263"/>
      <c r="B104" s="155"/>
      <c r="C104" s="155" t="s">
        <v>2223</v>
      </c>
      <c r="D104" s="153" t="s">
        <v>2229</v>
      </c>
      <c r="E104" s="1359">
        <v>3.5999999999999997E-2</v>
      </c>
      <c r="F104" s="260"/>
      <c r="H104" s="411"/>
      <c r="I104" s="411"/>
      <c r="J104" s="233"/>
    </row>
    <row r="105" spans="1:10" s="208" customFormat="1" ht="15" customHeight="1" x14ac:dyDescent="0.2">
      <c r="A105" s="263"/>
      <c r="B105" s="155"/>
      <c r="C105" s="155" t="s">
        <v>2223</v>
      </c>
      <c r="D105" s="153" t="s">
        <v>2230</v>
      </c>
      <c r="E105" s="1359">
        <v>4.3999999999999997E-2</v>
      </c>
      <c r="F105" s="260"/>
      <c r="H105" s="411"/>
      <c r="I105" s="411"/>
      <c r="J105" s="233"/>
    </row>
    <row r="106" spans="1:10" s="208" customFormat="1" ht="15" customHeight="1" x14ac:dyDescent="0.2">
      <c r="A106" s="263"/>
      <c r="B106" s="155"/>
      <c r="C106" s="155" t="s">
        <v>2223</v>
      </c>
      <c r="D106" s="153" t="s">
        <v>2231</v>
      </c>
      <c r="E106" s="1359">
        <v>5.0999999999999997E-2</v>
      </c>
      <c r="F106" s="260"/>
      <c r="H106" s="411"/>
      <c r="I106" s="411"/>
      <c r="J106" s="233"/>
    </row>
    <row r="107" spans="1:10" s="208" customFormat="1" ht="15" customHeight="1" x14ac:dyDescent="0.2">
      <c r="A107" s="263"/>
      <c r="B107" s="155"/>
      <c r="C107" s="155" t="s">
        <v>2223</v>
      </c>
      <c r="D107" s="153" t="s">
        <v>2232</v>
      </c>
      <c r="E107" s="1359">
        <v>5.8999999999999997E-2</v>
      </c>
      <c r="F107" s="260"/>
      <c r="H107" s="411"/>
      <c r="I107" s="411"/>
      <c r="J107" s="233"/>
    </row>
    <row r="108" spans="1:10" s="208" customFormat="1" ht="15" customHeight="1" x14ac:dyDescent="0.2">
      <c r="A108" s="263"/>
      <c r="B108" s="155"/>
      <c r="C108" s="155" t="s">
        <v>2223</v>
      </c>
      <c r="D108" s="153" t="s">
        <v>2233</v>
      </c>
      <c r="E108" s="1359">
        <v>6.8000000000000005E-2</v>
      </c>
      <c r="F108" s="260"/>
      <c r="H108" s="411"/>
      <c r="I108" s="411"/>
      <c r="J108" s="233"/>
    </row>
    <row r="109" spans="1:10" s="208" customFormat="1" ht="15" customHeight="1" x14ac:dyDescent="0.2">
      <c r="A109" s="263"/>
      <c r="B109" s="155"/>
      <c r="C109" s="155" t="s">
        <v>2223</v>
      </c>
      <c r="D109" s="153" t="s">
        <v>2234</v>
      </c>
      <c r="E109" s="1359">
        <v>7.8E-2</v>
      </c>
      <c r="F109" s="260"/>
      <c r="H109" s="411"/>
      <c r="I109" s="411"/>
      <c r="J109" s="233"/>
    </row>
    <row r="110" spans="1:10" s="208" customFormat="1" ht="15" customHeight="1" x14ac:dyDescent="0.2">
      <c r="A110" s="263"/>
      <c r="B110" s="155"/>
      <c r="C110" s="155" t="s">
        <v>2223</v>
      </c>
      <c r="D110" s="153" t="s">
        <v>2235</v>
      </c>
      <c r="E110" s="1359">
        <v>8.6999999999999994E-2</v>
      </c>
      <c r="F110" s="260"/>
      <c r="H110" s="411"/>
      <c r="I110" s="411"/>
      <c r="J110" s="233"/>
    </row>
    <row r="111" spans="1:10" s="208" customFormat="1" ht="15" customHeight="1" x14ac:dyDescent="0.2">
      <c r="A111" s="263"/>
      <c r="B111" s="155"/>
      <c r="C111" s="155" t="s">
        <v>2223</v>
      </c>
      <c r="D111" s="153" t="s">
        <v>2236</v>
      </c>
      <c r="E111" s="1359">
        <v>9.8000000000000004E-2</v>
      </c>
      <c r="F111" s="260"/>
      <c r="H111" s="411"/>
      <c r="I111" s="411"/>
      <c r="J111" s="233"/>
    </row>
    <row r="112" spans="1:10" s="208" customFormat="1" ht="15" customHeight="1" x14ac:dyDescent="0.2">
      <c r="A112" s="263"/>
      <c r="B112" s="155"/>
      <c r="C112" s="155" t="s">
        <v>2223</v>
      </c>
      <c r="D112" s="153" t="s">
        <v>2237</v>
      </c>
      <c r="E112" s="1359">
        <v>0.109</v>
      </c>
      <c r="F112" s="260"/>
      <c r="H112" s="411"/>
      <c r="I112" s="411"/>
      <c r="J112" s="233"/>
    </row>
    <row r="113" spans="1:10" s="208" customFormat="1" ht="15" customHeight="1" x14ac:dyDescent="0.2">
      <c r="A113" s="263"/>
      <c r="B113" s="155"/>
      <c r="C113" s="155" t="s">
        <v>2223</v>
      </c>
      <c r="D113" s="153" t="s">
        <v>2238</v>
      </c>
      <c r="E113" s="1359">
        <v>0.121</v>
      </c>
      <c r="F113" s="260"/>
      <c r="H113" s="411"/>
      <c r="I113" s="411"/>
      <c r="J113" s="233"/>
    </row>
    <row r="114" spans="1:10" s="208" customFormat="1" ht="15" customHeight="1" x14ac:dyDescent="0.2">
      <c r="A114" s="263"/>
      <c r="B114" s="155"/>
      <c r="C114" s="155" t="s">
        <v>2223</v>
      </c>
      <c r="D114" s="153" t="s">
        <v>2239</v>
      </c>
      <c r="E114" s="1359">
        <v>0.13300000000000001</v>
      </c>
      <c r="F114" s="260"/>
      <c r="H114" s="411"/>
      <c r="I114" s="411"/>
      <c r="J114" s="233"/>
    </row>
    <row r="115" spans="1:10" s="208" customFormat="1" ht="15" customHeight="1" x14ac:dyDescent="0.2">
      <c r="A115" s="263"/>
      <c r="B115" s="155"/>
      <c r="C115" s="155" t="s">
        <v>2223</v>
      </c>
      <c r="D115" s="153" t="s">
        <v>2240</v>
      </c>
      <c r="E115" s="1359">
        <v>0.14499999999999999</v>
      </c>
      <c r="F115" s="260"/>
      <c r="H115" s="411"/>
      <c r="I115" s="411"/>
      <c r="J115" s="233"/>
    </row>
    <row r="116" spans="1:10" s="208" customFormat="1" ht="15" customHeight="1" x14ac:dyDescent="0.2">
      <c r="A116" s="263"/>
      <c r="B116" s="155"/>
      <c r="C116" s="155" t="s">
        <v>2223</v>
      </c>
      <c r="D116" s="153" t="s">
        <v>2241</v>
      </c>
      <c r="E116" s="1359">
        <v>0.159</v>
      </c>
      <c r="F116" s="260"/>
      <c r="H116" s="411"/>
      <c r="I116" s="411"/>
      <c r="J116" s="233"/>
    </row>
    <row r="117" spans="1:10" s="208" customFormat="1" ht="15" customHeight="1" x14ac:dyDescent="0.2">
      <c r="A117" s="263"/>
      <c r="B117" s="155"/>
      <c r="C117" s="155" t="s">
        <v>2223</v>
      </c>
      <c r="D117" s="153" t="s">
        <v>2242</v>
      </c>
      <c r="E117" s="1359">
        <v>0.17299999999999999</v>
      </c>
      <c r="F117" s="260"/>
      <c r="H117" s="411"/>
      <c r="I117" s="411"/>
      <c r="J117" s="233"/>
    </row>
    <row r="118" spans="1:10" s="208" customFormat="1" ht="15" customHeight="1" x14ac:dyDescent="0.2">
      <c r="A118" s="263"/>
      <c r="B118" s="155"/>
      <c r="C118" s="155" t="s">
        <v>2223</v>
      </c>
      <c r="D118" s="153" t="s">
        <v>2243</v>
      </c>
      <c r="E118" s="1359">
        <v>0.187</v>
      </c>
      <c r="F118" s="260"/>
      <c r="H118" s="411"/>
      <c r="I118" s="411"/>
      <c r="J118" s="233"/>
    </row>
    <row r="119" spans="1:10" s="208" customFormat="1" ht="15" customHeight="1" x14ac:dyDescent="0.2">
      <c r="A119" s="263"/>
      <c r="B119" s="155"/>
      <c r="C119" s="155" t="s">
        <v>2223</v>
      </c>
      <c r="D119" s="153" t="s">
        <v>2244</v>
      </c>
      <c r="E119" s="1359">
        <v>0.20200000000000001</v>
      </c>
      <c r="F119" s="260"/>
      <c r="H119" s="411"/>
      <c r="I119" s="411"/>
      <c r="J119" s="233"/>
    </row>
    <row r="120" spans="1:10" s="208" customFormat="1" ht="15" customHeight="1" x14ac:dyDescent="0.2">
      <c r="A120" s="263"/>
      <c r="B120" s="155"/>
      <c r="C120" s="155" t="s">
        <v>2223</v>
      </c>
      <c r="D120" s="153" t="s">
        <v>2245</v>
      </c>
      <c r="E120" s="1359">
        <v>0.217</v>
      </c>
      <c r="F120" s="260"/>
      <c r="H120" s="411"/>
      <c r="I120" s="411"/>
      <c r="J120" s="233"/>
    </row>
    <row r="121" spans="1:10" s="208" customFormat="1" ht="15" customHeight="1" x14ac:dyDescent="0.2">
      <c r="A121" s="263"/>
      <c r="B121" s="155"/>
      <c r="C121" s="155" t="s">
        <v>2223</v>
      </c>
      <c r="D121" s="153" t="s">
        <v>397</v>
      </c>
      <c r="E121" s="1359">
        <v>1.3220000000000001</v>
      </c>
      <c r="F121" s="260"/>
      <c r="H121" s="411"/>
      <c r="I121" s="411"/>
      <c r="J121" s="233"/>
    </row>
    <row r="122" spans="1:10" s="208" customFormat="1" ht="15" customHeight="1" x14ac:dyDescent="0.2">
      <c r="A122" s="263"/>
      <c r="B122" s="155"/>
      <c r="C122" s="155" t="s">
        <v>2223</v>
      </c>
      <c r="D122" s="153" t="s">
        <v>398</v>
      </c>
      <c r="E122" s="1359">
        <v>1.5309999999999999</v>
      </c>
      <c r="F122" s="260"/>
      <c r="H122" s="411"/>
      <c r="I122" s="411"/>
      <c r="J122" s="233"/>
    </row>
    <row r="123" spans="1:10" s="208" customFormat="1" ht="15" customHeight="1" x14ac:dyDescent="0.2">
      <c r="A123" s="263"/>
      <c r="B123" s="155"/>
      <c r="C123" s="155" t="s">
        <v>2223</v>
      </c>
      <c r="D123" s="153" t="s">
        <v>2246</v>
      </c>
      <c r="E123" s="1359">
        <v>1.7749999999999999</v>
      </c>
      <c r="F123" s="260"/>
      <c r="H123" s="411"/>
      <c r="I123" s="411"/>
      <c r="J123" s="233"/>
    </row>
    <row r="124" spans="1:10" s="208" customFormat="1" ht="15" customHeight="1" x14ac:dyDescent="0.2">
      <c r="A124" s="263"/>
      <c r="B124" s="155"/>
      <c r="C124" s="155" t="s">
        <v>2223</v>
      </c>
      <c r="D124" s="153" t="s">
        <v>2247</v>
      </c>
      <c r="E124" s="1359">
        <v>2.0550000000000002</v>
      </c>
      <c r="F124" s="260"/>
      <c r="H124" s="411"/>
      <c r="I124" s="411"/>
      <c r="J124" s="233"/>
    </row>
    <row r="125" spans="1:10" s="208" customFormat="1" ht="15" customHeight="1" x14ac:dyDescent="0.2">
      <c r="A125" s="263"/>
      <c r="B125" s="155"/>
      <c r="C125" s="155" t="s">
        <v>2223</v>
      </c>
      <c r="D125" s="153" t="s">
        <v>2248</v>
      </c>
      <c r="E125" s="1359">
        <v>2.3820000000000001</v>
      </c>
      <c r="F125" s="260"/>
      <c r="H125" s="411"/>
      <c r="I125" s="411"/>
      <c r="J125" s="233"/>
    </row>
    <row r="126" spans="1:10" s="208" customFormat="1" ht="15" customHeight="1" x14ac:dyDescent="0.2">
      <c r="A126" s="263"/>
      <c r="B126" s="155"/>
      <c r="C126" s="155" t="s">
        <v>2223</v>
      </c>
      <c r="D126" s="153" t="s">
        <v>2249</v>
      </c>
      <c r="E126" s="1359">
        <v>2.726</v>
      </c>
      <c r="F126" s="260"/>
      <c r="H126" s="411"/>
      <c r="I126" s="411"/>
      <c r="J126" s="233"/>
    </row>
    <row r="127" spans="1:10" s="208" customFormat="1" ht="15" customHeight="1" x14ac:dyDescent="0.2">
      <c r="A127" s="263"/>
      <c r="B127" s="155"/>
      <c r="C127" s="155" t="s">
        <v>2223</v>
      </c>
      <c r="D127" s="153" t="s">
        <v>2250</v>
      </c>
      <c r="E127" s="1359">
        <v>3.1160000000000001</v>
      </c>
      <c r="F127" s="260"/>
      <c r="H127" s="411"/>
      <c r="I127" s="411"/>
      <c r="J127" s="233"/>
    </row>
    <row r="128" spans="1:10" s="208" customFormat="1" ht="15" customHeight="1" x14ac:dyDescent="0.2">
      <c r="A128" s="263"/>
      <c r="B128" s="155"/>
      <c r="C128" s="155" t="s">
        <v>2223</v>
      </c>
      <c r="D128" s="153" t="s">
        <v>2251</v>
      </c>
      <c r="E128" s="1359">
        <v>3.5430000000000001</v>
      </c>
      <c r="F128" s="260"/>
      <c r="H128" s="411"/>
      <c r="I128" s="411"/>
      <c r="J128" s="233"/>
    </row>
    <row r="129" spans="1:10" s="208" customFormat="1" ht="15" customHeight="1" x14ac:dyDescent="0.2">
      <c r="A129" s="263"/>
      <c r="B129" s="155"/>
      <c r="C129" s="155" t="s">
        <v>2223</v>
      </c>
      <c r="D129" s="153" t="s">
        <v>2252</v>
      </c>
      <c r="E129" s="1359">
        <v>4.0069999999999997</v>
      </c>
      <c r="F129" s="260"/>
      <c r="H129" s="411"/>
      <c r="I129" s="411"/>
      <c r="J129" s="233"/>
    </row>
    <row r="130" spans="1:10" s="208" customFormat="1" ht="15" customHeight="1" x14ac:dyDescent="0.2">
      <c r="A130" s="263"/>
      <c r="B130" s="155"/>
      <c r="C130" s="155" t="s">
        <v>2223</v>
      </c>
      <c r="D130" s="153" t="s">
        <v>2253</v>
      </c>
      <c r="E130" s="1359">
        <v>4.508</v>
      </c>
      <c r="F130" s="260"/>
      <c r="H130" s="411"/>
      <c r="I130" s="411"/>
      <c r="J130" s="233"/>
    </row>
    <row r="131" spans="1:10" s="208" customFormat="1" ht="15" customHeight="1" x14ac:dyDescent="0.2">
      <c r="A131" s="263"/>
      <c r="B131" s="155"/>
      <c r="C131" s="155" t="s">
        <v>2223</v>
      </c>
      <c r="D131" s="153" t="s">
        <v>2254</v>
      </c>
      <c r="E131" s="1359">
        <v>5.0460000000000003</v>
      </c>
      <c r="F131" s="260"/>
      <c r="H131" s="411"/>
      <c r="I131" s="411"/>
      <c r="J131" s="233"/>
    </row>
    <row r="132" spans="1:10" s="208" customFormat="1" ht="15" customHeight="1" x14ac:dyDescent="0.2">
      <c r="A132" s="263"/>
      <c r="B132" s="155"/>
      <c r="C132" s="155" t="s">
        <v>2223</v>
      </c>
      <c r="D132" s="153" t="s">
        <v>2255</v>
      </c>
      <c r="E132" s="1359">
        <v>5.6210000000000004</v>
      </c>
      <c r="F132" s="260"/>
      <c r="H132" s="411"/>
      <c r="I132" s="411"/>
      <c r="J132" s="233"/>
    </row>
    <row r="133" spans="1:10" s="208" customFormat="1" ht="15" customHeight="1" x14ac:dyDescent="0.2">
      <c r="A133" s="263"/>
      <c r="B133" s="155"/>
      <c r="C133" s="155" t="s">
        <v>2223</v>
      </c>
      <c r="D133" s="153" t="s">
        <v>2256</v>
      </c>
      <c r="E133" s="1359">
        <v>6.2320000000000002</v>
      </c>
      <c r="F133" s="260"/>
      <c r="H133" s="411"/>
      <c r="I133" s="411"/>
      <c r="J133" s="233"/>
    </row>
    <row r="134" spans="1:10" s="208" customFormat="1" ht="15" customHeight="1" x14ac:dyDescent="0.2">
      <c r="A134" s="263"/>
      <c r="B134" s="155"/>
      <c r="C134" s="155" t="s">
        <v>2223</v>
      </c>
      <c r="D134" s="153" t="s">
        <v>2257</v>
      </c>
      <c r="E134" s="1359">
        <v>6.88</v>
      </c>
      <c r="F134" s="260"/>
      <c r="H134" s="411"/>
      <c r="I134" s="411"/>
      <c r="J134" s="233"/>
    </row>
    <row r="135" spans="1:10" s="208" customFormat="1" ht="15" customHeight="1" x14ac:dyDescent="0.2">
      <c r="A135" s="263"/>
      <c r="B135" s="155"/>
      <c r="C135" s="155" t="s">
        <v>2223</v>
      </c>
      <c r="D135" s="153" t="s">
        <v>2258</v>
      </c>
      <c r="E135" s="1359">
        <v>7.5650000000000004</v>
      </c>
      <c r="F135" s="260"/>
      <c r="H135" s="411"/>
      <c r="I135" s="411"/>
      <c r="J135" s="233"/>
    </row>
    <row r="136" spans="1:10" s="208" customFormat="1" ht="15" customHeight="1" x14ac:dyDescent="0.2">
      <c r="A136" s="263"/>
      <c r="B136" s="155"/>
      <c r="C136" s="155" t="s">
        <v>2223</v>
      </c>
      <c r="D136" s="153" t="s">
        <v>2259</v>
      </c>
      <c r="E136" s="1359">
        <v>8.2870000000000008</v>
      </c>
      <c r="F136" s="260"/>
      <c r="H136" s="411"/>
      <c r="I136" s="411"/>
      <c r="J136" s="233"/>
    </row>
    <row r="137" spans="1:10" s="208" customFormat="1" ht="15" customHeight="1" x14ac:dyDescent="0.2">
      <c r="A137" s="263"/>
      <c r="B137" s="155"/>
      <c r="C137" s="155" t="s">
        <v>2223</v>
      </c>
      <c r="D137" s="153" t="s">
        <v>2260</v>
      </c>
      <c r="E137" s="1359">
        <v>9.0459999999999994</v>
      </c>
      <c r="F137" s="260"/>
      <c r="H137" s="411"/>
      <c r="I137" s="411"/>
      <c r="J137" s="233"/>
    </row>
    <row r="138" spans="1:10" s="208" customFormat="1" ht="15" customHeight="1" x14ac:dyDescent="0.2">
      <c r="A138" s="263"/>
      <c r="B138" s="155"/>
      <c r="C138" s="155" t="s">
        <v>2223</v>
      </c>
      <c r="D138" s="153" t="s">
        <v>2261</v>
      </c>
      <c r="E138" s="1359">
        <v>9.8409999999999993</v>
      </c>
      <c r="F138" s="260"/>
      <c r="H138" s="411"/>
      <c r="I138" s="411"/>
      <c r="J138" s="233"/>
    </row>
    <row r="139" spans="1:10" s="208" customFormat="1" ht="15" customHeight="1" x14ac:dyDescent="0.2">
      <c r="A139" s="263"/>
      <c r="B139" s="155"/>
      <c r="C139" s="155" t="s">
        <v>2223</v>
      </c>
      <c r="D139" s="153" t="s">
        <v>2262</v>
      </c>
      <c r="E139" s="1359">
        <v>10.673999999999999</v>
      </c>
      <c r="F139" s="260"/>
      <c r="H139" s="411"/>
      <c r="I139" s="411"/>
      <c r="J139" s="233"/>
    </row>
    <row r="140" spans="1:10" s="208" customFormat="1" ht="15" customHeight="1" x14ac:dyDescent="0.2">
      <c r="A140" s="263"/>
      <c r="B140" s="155"/>
      <c r="C140" s="155" t="s">
        <v>2223</v>
      </c>
      <c r="D140" s="153" t="s">
        <v>2263</v>
      </c>
      <c r="E140" s="1359">
        <v>11.542999999999999</v>
      </c>
      <c r="F140" s="260"/>
      <c r="H140" s="411"/>
      <c r="I140" s="411"/>
      <c r="J140" s="233"/>
    </row>
    <row r="141" spans="1:10" s="208" customFormat="1" ht="15" customHeight="1" x14ac:dyDescent="0.2">
      <c r="A141" s="263"/>
      <c r="B141" s="155"/>
      <c r="C141" s="155" t="s">
        <v>2223</v>
      </c>
      <c r="D141" s="153" t="s">
        <v>2264</v>
      </c>
      <c r="E141" s="1359">
        <v>12.449</v>
      </c>
      <c r="F141" s="260"/>
      <c r="H141" s="411"/>
      <c r="I141" s="411"/>
      <c r="J141" s="233"/>
    </row>
    <row r="142" spans="1:10" s="208" customFormat="1" ht="15" customHeight="1" x14ac:dyDescent="0.2">
      <c r="A142" s="263"/>
      <c r="B142" s="155"/>
      <c r="C142" s="155" t="s">
        <v>2223</v>
      </c>
      <c r="D142" s="153" t="s">
        <v>2265</v>
      </c>
      <c r="E142" s="1359">
        <v>13.391</v>
      </c>
      <c r="F142" s="260"/>
      <c r="H142" s="411"/>
      <c r="I142" s="411"/>
      <c r="J142" s="233"/>
    </row>
    <row r="143" spans="1:10" s="208" customFormat="1" ht="15" customHeight="1" x14ac:dyDescent="0.2">
      <c r="A143" s="263"/>
      <c r="B143" s="155"/>
      <c r="C143" s="155" t="s">
        <v>2223</v>
      </c>
      <c r="D143" s="153" t="s">
        <v>2266</v>
      </c>
      <c r="E143" s="1359">
        <v>14.371</v>
      </c>
      <c r="F143" s="260"/>
      <c r="H143" s="411"/>
      <c r="I143" s="411"/>
      <c r="J143" s="233"/>
    </row>
    <row r="144" spans="1:10" s="208" customFormat="1" ht="15" customHeight="1" x14ac:dyDescent="0.2">
      <c r="A144" s="263"/>
      <c r="B144" s="155"/>
      <c r="C144" s="155" t="s">
        <v>2223</v>
      </c>
      <c r="D144" s="153" t="s">
        <v>2267</v>
      </c>
      <c r="E144" s="1359">
        <v>15.388</v>
      </c>
      <c r="F144" s="260"/>
      <c r="H144" s="411"/>
      <c r="I144" s="411"/>
      <c r="J144" s="233"/>
    </row>
    <row r="145" spans="1:10" s="208" customFormat="1" ht="15" customHeight="1" x14ac:dyDescent="0.2">
      <c r="A145" s="263"/>
      <c r="B145" s="155"/>
      <c r="C145" s="155" t="str">
        <f>IF($B$4="Umbilical",_xlfn.CONCAT("Select ",E86),"Select Stiffness_Teste")</f>
        <v>Select Stiffness_Teste</v>
      </c>
      <c r="D145" s="153" t="str">
        <f t="shared" ref="D145:D194" si="0">IF($B$4="Umbilical","EIx=","NumberOfRows =")</f>
        <v>NumberOfRows =</v>
      </c>
      <c r="E145" s="270">
        <f>IF($B$4="Umbilical", Values!C15, I9)</f>
        <v>25</v>
      </c>
      <c r="F145" s="260"/>
      <c r="H145" s="411"/>
      <c r="I145" s="411"/>
      <c r="J145" s="233"/>
    </row>
    <row r="146" spans="1:10" s="208" customFormat="1" ht="15" customHeight="1" x14ac:dyDescent="0.2">
      <c r="A146" s="263"/>
      <c r="B146" s="155"/>
      <c r="C146" s="155" t="s">
        <v>2268</v>
      </c>
      <c r="D146" s="153" t="s">
        <v>395</v>
      </c>
      <c r="E146" s="1359">
        <v>3.0000000000000001E-3</v>
      </c>
      <c r="F146" s="260"/>
      <c r="H146" s="411"/>
      <c r="I146" s="411"/>
      <c r="J146" s="233"/>
    </row>
    <row r="147" spans="1:10" s="208" customFormat="1" ht="15" customHeight="1" x14ac:dyDescent="0.2">
      <c r="A147" s="263"/>
      <c r="B147" s="155"/>
      <c r="C147" s="155" t="s">
        <v>2268</v>
      </c>
      <c r="D147" s="153" t="s">
        <v>396</v>
      </c>
      <c r="E147" s="1359">
        <v>6.0000000000000001E-3</v>
      </c>
      <c r="F147" s="260"/>
      <c r="H147" s="411"/>
      <c r="I147" s="411"/>
      <c r="J147" s="233"/>
    </row>
    <row r="148" spans="1:10" s="208" customFormat="1" ht="15" customHeight="1" x14ac:dyDescent="0.2">
      <c r="A148" s="263"/>
      <c r="B148" s="155"/>
      <c r="C148" s="155" t="s">
        <v>2268</v>
      </c>
      <c r="D148" s="153" t="s">
        <v>2224</v>
      </c>
      <c r="E148" s="1359">
        <v>8.9999999999999993E-3</v>
      </c>
      <c r="F148" s="260"/>
      <c r="H148" s="411"/>
      <c r="I148" s="411"/>
      <c r="J148" s="233"/>
    </row>
    <row r="149" spans="1:10" s="208" customFormat="1" ht="15" customHeight="1" x14ac:dyDescent="0.2">
      <c r="A149" s="263"/>
      <c r="B149" s="155"/>
      <c r="C149" s="155" t="s">
        <v>2268</v>
      </c>
      <c r="D149" s="153" t="s">
        <v>2225</v>
      </c>
      <c r="E149" s="1359">
        <v>1.4E-2</v>
      </c>
      <c r="F149" s="260"/>
      <c r="H149" s="411"/>
      <c r="I149" s="411"/>
      <c r="J149" s="233"/>
    </row>
    <row r="150" spans="1:10" s="208" customFormat="1" ht="15" customHeight="1" x14ac:dyDescent="0.2">
      <c r="A150" s="263"/>
      <c r="B150" s="155"/>
      <c r="C150" s="155" t="s">
        <v>2268</v>
      </c>
      <c r="D150" s="153" t="s">
        <v>2226</v>
      </c>
      <c r="E150" s="1359">
        <v>1.9E-2</v>
      </c>
      <c r="F150" s="260"/>
      <c r="H150" s="411"/>
      <c r="I150" s="411"/>
      <c r="J150" s="233"/>
    </row>
    <row r="151" spans="1:10" s="208" customFormat="1" ht="15" customHeight="1" x14ac:dyDescent="0.2">
      <c r="A151" s="263"/>
      <c r="B151" s="155"/>
      <c r="C151" s="155" t="s">
        <v>2268</v>
      </c>
      <c r="D151" s="153" t="s">
        <v>2227</v>
      </c>
      <c r="E151" s="1359">
        <v>2.4E-2</v>
      </c>
      <c r="F151" s="260"/>
      <c r="H151" s="411"/>
      <c r="I151" s="411"/>
      <c r="J151" s="233"/>
    </row>
    <row r="152" spans="1:10" s="208" customFormat="1" ht="15" customHeight="1" x14ac:dyDescent="0.2">
      <c r="A152" s="263"/>
      <c r="B152" s="155"/>
      <c r="C152" s="155" t="s">
        <v>2268</v>
      </c>
      <c r="D152" s="153" t="s">
        <v>2228</v>
      </c>
      <c r="E152" s="1359">
        <v>0.03</v>
      </c>
      <c r="F152" s="260"/>
      <c r="H152" s="411"/>
      <c r="I152" s="411"/>
      <c r="J152" s="233"/>
    </row>
    <row r="153" spans="1:10" s="208" customFormat="1" ht="15" customHeight="1" x14ac:dyDescent="0.2">
      <c r="A153" s="263"/>
      <c r="B153" s="155"/>
      <c r="C153" s="155" t="s">
        <v>2268</v>
      </c>
      <c r="D153" s="153" t="s">
        <v>2229</v>
      </c>
      <c r="E153" s="1359">
        <v>3.5999999999999997E-2</v>
      </c>
      <c r="F153" s="260"/>
      <c r="H153" s="411"/>
      <c r="I153" s="411"/>
      <c r="J153" s="233"/>
    </row>
    <row r="154" spans="1:10" s="208" customFormat="1" ht="15" customHeight="1" x14ac:dyDescent="0.2">
      <c r="A154" s="263"/>
      <c r="B154" s="155"/>
      <c r="C154" s="155" t="s">
        <v>2268</v>
      </c>
      <c r="D154" s="153" t="s">
        <v>2230</v>
      </c>
      <c r="E154" s="1359">
        <v>4.3999999999999997E-2</v>
      </c>
      <c r="F154" s="260"/>
      <c r="H154" s="411"/>
      <c r="I154" s="411"/>
      <c r="J154" s="233"/>
    </row>
    <row r="155" spans="1:10" s="208" customFormat="1" ht="15" customHeight="1" x14ac:dyDescent="0.2">
      <c r="A155" s="263"/>
      <c r="B155" s="155"/>
      <c r="C155" s="155" t="s">
        <v>2268</v>
      </c>
      <c r="D155" s="153" t="s">
        <v>2231</v>
      </c>
      <c r="E155" s="1359">
        <v>5.0999999999999997E-2</v>
      </c>
      <c r="F155" s="260"/>
      <c r="H155" s="411"/>
      <c r="I155" s="411"/>
      <c r="J155" s="233"/>
    </row>
    <row r="156" spans="1:10" s="208" customFormat="1" ht="15" customHeight="1" x14ac:dyDescent="0.2">
      <c r="A156" s="263"/>
      <c r="B156" s="155"/>
      <c r="C156" s="155" t="s">
        <v>2268</v>
      </c>
      <c r="D156" s="153" t="s">
        <v>2232</v>
      </c>
      <c r="E156" s="1359">
        <v>5.8999999999999997E-2</v>
      </c>
      <c r="F156" s="260"/>
      <c r="H156" s="411"/>
      <c r="I156" s="411"/>
      <c r="J156" s="233"/>
    </row>
    <row r="157" spans="1:10" s="208" customFormat="1" ht="15" customHeight="1" x14ac:dyDescent="0.2">
      <c r="A157" s="263"/>
      <c r="B157" s="155"/>
      <c r="C157" s="155" t="s">
        <v>2268</v>
      </c>
      <c r="D157" s="153" t="s">
        <v>2233</v>
      </c>
      <c r="E157" s="1359">
        <v>6.8000000000000005E-2</v>
      </c>
      <c r="F157" s="260"/>
      <c r="H157" s="411"/>
      <c r="I157" s="411"/>
      <c r="J157" s="233"/>
    </row>
    <row r="158" spans="1:10" s="208" customFormat="1" ht="15" customHeight="1" x14ac:dyDescent="0.2">
      <c r="A158" s="263"/>
      <c r="B158" s="155"/>
      <c r="C158" s="155" t="s">
        <v>2268</v>
      </c>
      <c r="D158" s="153" t="s">
        <v>2234</v>
      </c>
      <c r="E158" s="1359">
        <v>7.8E-2</v>
      </c>
      <c r="F158" s="260"/>
      <c r="H158" s="411"/>
      <c r="I158" s="411"/>
      <c r="J158" s="233"/>
    </row>
    <row r="159" spans="1:10" s="208" customFormat="1" ht="15" customHeight="1" x14ac:dyDescent="0.2">
      <c r="A159" s="263"/>
      <c r="B159" s="155"/>
      <c r="C159" s="155" t="s">
        <v>2268</v>
      </c>
      <c r="D159" s="153" t="s">
        <v>2235</v>
      </c>
      <c r="E159" s="1359">
        <v>8.6999999999999994E-2</v>
      </c>
      <c r="F159" s="260"/>
      <c r="H159" s="411"/>
      <c r="I159" s="411"/>
      <c r="J159" s="233"/>
    </row>
    <row r="160" spans="1:10" s="208" customFormat="1" ht="15" customHeight="1" x14ac:dyDescent="0.2">
      <c r="A160" s="263"/>
      <c r="B160" s="155"/>
      <c r="C160" s="155" t="s">
        <v>2268</v>
      </c>
      <c r="D160" s="153" t="s">
        <v>2236</v>
      </c>
      <c r="E160" s="1359">
        <v>9.8000000000000004E-2</v>
      </c>
      <c r="F160" s="260"/>
      <c r="H160" s="411"/>
      <c r="I160" s="411"/>
      <c r="J160" s="233"/>
    </row>
    <row r="161" spans="1:10" s="208" customFormat="1" ht="15" customHeight="1" x14ac:dyDescent="0.2">
      <c r="A161" s="263"/>
      <c r="B161" s="155"/>
      <c r="C161" s="155" t="s">
        <v>2268</v>
      </c>
      <c r="D161" s="153" t="s">
        <v>2237</v>
      </c>
      <c r="E161" s="1359">
        <v>0.109</v>
      </c>
      <c r="F161" s="260"/>
      <c r="H161" s="411"/>
      <c r="I161" s="411"/>
      <c r="J161" s="233"/>
    </row>
    <row r="162" spans="1:10" s="208" customFormat="1" ht="15" customHeight="1" x14ac:dyDescent="0.2">
      <c r="A162" s="263"/>
      <c r="B162" s="155"/>
      <c r="C162" s="155" t="s">
        <v>2268</v>
      </c>
      <c r="D162" s="153" t="s">
        <v>2238</v>
      </c>
      <c r="E162" s="1359">
        <v>0.121</v>
      </c>
      <c r="F162" s="260"/>
      <c r="H162" s="411"/>
      <c r="I162" s="411"/>
      <c r="J162" s="233"/>
    </row>
    <row r="163" spans="1:10" s="208" customFormat="1" ht="15" customHeight="1" x14ac:dyDescent="0.2">
      <c r="A163" s="263"/>
      <c r="B163" s="155"/>
      <c r="C163" s="155" t="s">
        <v>2268</v>
      </c>
      <c r="D163" s="153" t="s">
        <v>2239</v>
      </c>
      <c r="E163" s="1359">
        <v>0.13300000000000001</v>
      </c>
      <c r="F163" s="260"/>
      <c r="H163" s="411"/>
      <c r="I163" s="411"/>
      <c r="J163" s="233"/>
    </row>
    <row r="164" spans="1:10" s="208" customFormat="1" ht="15" customHeight="1" x14ac:dyDescent="0.2">
      <c r="A164" s="263"/>
      <c r="B164" s="155"/>
      <c r="C164" s="155" t="s">
        <v>2268</v>
      </c>
      <c r="D164" s="153" t="s">
        <v>2240</v>
      </c>
      <c r="E164" s="1359">
        <v>0.14499999999999999</v>
      </c>
      <c r="F164" s="260"/>
      <c r="H164" s="411"/>
      <c r="I164" s="411"/>
      <c r="J164" s="233"/>
    </row>
    <row r="165" spans="1:10" s="208" customFormat="1" ht="15" customHeight="1" x14ac:dyDescent="0.2">
      <c r="A165" s="263"/>
      <c r="B165" s="155"/>
      <c r="C165" s="155" t="s">
        <v>2268</v>
      </c>
      <c r="D165" s="153" t="s">
        <v>2241</v>
      </c>
      <c r="E165" s="1359">
        <v>0.159</v>
      </c>
      <c r="F165" s="260"/>
      <c r="H165" s="411"/>
      <c r="I165" s="411"/>
      <c r="J165" s="233"/>
    </row>
    <row r="166" spans="1:10" s="208" customFormat="1" ht="15" customHeight="1" x14ac:dyDescent="0.2">
      <c r="A166" s="263"/>
      <c r="B166" s="155"/>
      <c r="C166" s="155" t="s">
        <v>2268</v>
      </c>
      <c r="D166" s="153" t="s">
        <v>2242</v>
      </c>
      <c r="E166" s="1359">
        <v>0.17299999999999999</v>
      </c>
      <c r="F166" s="260"/>
      <c r="H166" s="411"/>
      <c r="I166" s="411"/>
      <c r="J166" s="233"/>
    </row>
    <row r="167" spans="1:10" s="208" customFormat="1" ht="15" customHeight="1" x14ac:dyDescent="0.2">
      <c r="A167" s="263"/>
      <c r="B167" s="155"/>
      <c r="C167" s="155" t="s">
        <v>2268</v>
      </c>
      <c r="D167" s="153" t="s">
        <v>2243</v>
      </c>
      <c r="E167" s="1359">
        <v>0.187</v>
      </c>
      <c r="F167" s="260"/>
      <c r="H167" s="411"/>
      <c r="I167" s="411"/>
      <c r="J167" s="233"/>
    </row>
    <row r="168" spans="1:10" s="208" customFormat="1" ht="15" customHeight="1" x14ac:dyDescent="0.2">
      <c r="A168" s="263"/>
      <c r="B168" s="155"/>
      <c r="C168" s="155" t="s">
        <v>2268</v>
      </c>
      <c r="D168" s="153" t="s">
        <v>2244</v>
      </c>
      <c r="E168" s="1359">
        <v>0.20200000000000001</v>
      </c>
      <c r="F168" s="260"/>
      <c r="H168" s="411"/>
      <c r="I168" s="411"/>
      <c r="J168" s="233"/>
    </row>
    <row r="169" spans="1:10" s="208" customFormat="1" ht="15" customHeight="1" x14ac:dyDescent="0.2">
      <c r="A169" s="263"/>
      <c r="B169" s="155"/>
      <c r="C169" s="155" t="s">
        <v>2268</v>
      </c>
      <c r="D169" s="153" t="s">
        <v>2245</v>
      </c>
      <c r="E169" s="1359">
        <v>0.217</v>
      </c>
      <c r="F169" s="260"/>
      <c r="H169" s="411"/>
      <c r="I169" s="411"/>
      <c r="J169" s="233"/>
    </row>
    <row r="170" spans="1:10" s="208" customFormat="1" ht="15" customHeight="1" x14ac:dyDescent="0.2">
      <c r="A170" s="263"/>
      <c r="B170" s="155"/>
      <c r="C170" s="155" t="s">
        <v>2268</v>
      </c>
      <c r="D170" s="153" t="s">
        <v>397</v>
      </c>
      <c r="E170" s="1359">
        <v>9.5830000000000002</v>
      </c>
      <c r="F170" s="260"/>
      <c r="H170" s="411"/>
      <c r="I170" s="411"/>
      <c r="J170" s="233"/>
    </row>
    <row r="171" spans="1:10" s="208" customFormat="1" ht="15" customHeight="1" x14ac:dyDescent="0.2">
      <c r="A171" s="263"/>
      <c r="B171" s="155"/>
      <c r="C171" s="155" t="s">
        <v>2268</v>
      </c>
      <c r="D171" s="153" t="s">
        <v>398</v>
      </c>
      <c r="E171" s="1359">
        <v>16.079999999999998</v>
      </c>
      <c r="F171" s="260"/>
      <c r="H171" s="411"/>
      <c r="I171" s="411"/>
      <c r="J171" s="233"/>
    </row>
    <row r="172" spans="1:10" s="208" customFormat="1" ht="15" customHeight="1" x14ac:dyDescent="0.2">
      <c r="A172" s="263"/>
      <c r="B172" s="155"/>
      <c r="C172" s="155" t="s">
        <v>2268</v>
      </c>
      <c r="D172" s="153" t="s">
        <v>2246</v>
      </c>
      <c r="E172" s="1359">
        <v>19.158999999999999</v>
      </c>
      <c r="F172" s="260"/>
      <c r="H172" s="411"/>
      <c r="I172" s="411"/>
      <c r="J172" s="233"/>
    </row>
    <row r="173" spans="1:10" s="208" customFormat="1" ht="15" customHeight="1" x14ac:dyDescent="0.2">
      <c r="A173" s="263"/>
      <c r="B173" s="155"/>
      <c r="C173" s="155" t="s">
        <v>2268</v>
      </c>
      <c r="D173" s="153" t="s">
        <v>2247</v>
      </c>
      <c r="E173" s="1359">
        <v>20.068000000000001</v>
      </c>
      <c r="F173" s="260"/>
      <c r="H173" s="411"/>
      <c r="I173" s="411"/>
      <c r="J173" s="233"/>
    </row>
    <row r="174" spans="1:10" s="208" customFormat="1" ht="15" customHeight="1" x14ac:dyDescent="0.2">
      <c r="A174" s="263"/>
      <c r="B174" s="155"/>
      <c r="C174" s="155" t="s">
        <v>2268</v>
      </c>
      <c r="D174" s="153" t="s">
        <v>2248</v>
      </c>
      <c r="E174" s="1359">
        <v>20.622</v>
      </c>
      <c r="F174" s="260"/>
      <c r="H174" s="411"/>
      <c r="I174" s="411"/>
      <c r="J174" s="233"/>
    </row>
    <row r="175" spans="1:10" s="208" customFormat="1" ht="15" customHeight="1" x14ac:dyDescent="0.2">
      <c r="A175" s="263"/>
      <c r="B175" s="155"/>
      <c r="C175" s="155" t="s">
        <v>2268</v>
      </c>
      <c r="D175" s="153" t="s">
        <v>2249</v>
      </c>
      <c r="E175" s="1359">
        <v>21.087</v>
      </c>
      <c r="F175" s="260"/>
      <c r="H175" s="411"/>
      <c r="I175" s="411"/>
      <c r="J175" s="233"/>
    </row>
    <row r="176" spans="1:10" s="208" customFormat="1" ht="15" customHeight="1" x14ac:dyDescent="0.2">
      <c r="A176" s="263"/>
      <c r="B176" s="155"/>
      <c r="C176" s="155" t="s">
        <v>2268</v>
      </c>
      <c r="D176" s="153" t="s">
        <v>2250</v>
      </c>
      <c r="E176" s="1359">
        <v>21.538</v>
      </c>
      <c r="F176" s="260"/>
      <c r="H176" s="411"/>
      <c r="I176" s="411"/>
      <c r="J176" s="233"/>
    </row>
    <row r="177" spans="1:10" s="208" customFormat="1" ht="15" customHeight="1" x14ac:dyDescent="0.2">
      <c r="A177" s="263"/>
      <c r="B177" s="155"/>
      <c r="C177" s="155" t="s">
        <v>2268</v>
      </c>
      <c r="D177" s="153" t="s">
        <v>2251</v>
      </c>
      <c r="E177" s="1359">
        <v>22.001000000000001</v>
      </c>
      <c r="F177" s="260"/>
      <c r="H177" s="411"/>
      <c r="I177" s="411"/>
      <c r="J177" s="233"/>
    </row>
    <row r="178" spans="1:10" s="208" customFormat="1" ht="15" customHeight="1" x14ac:dyDescent="0.2">
      <c r="A178" s="263"/>
      <c r="B178" s="155"/>
      <c r="C178" s="155" t="s">
        <v>2268</v>
      </c>
      <c r="D178" s="153" t="s">
        <v>2252</v>
      </c>
      <c r="E178" s="1359">
        <v>22.486000000000001</v>
      </c>
      <c r="F178" s="260"/>
      <c r="H178" s="411"/>
      <c r="I178" s="411"/>
      <c r="J178" s="233"/>
    </row>
    <row r="179" spans="1:10" s="208" customFormat="1" ht="15" customHeight="1" x14ac:dyDescent="0.2">
      <c r="A179" s="263"/>
      <c r="B179" s="155"/>
      <c r="C179" s="155" t="s">
        <v>2268</v>
      </c>
      <c r="D179" s="153" t="s">
        <v>2253</v>
      </c>
      <c r="E179" s="1359">
        <v>22.998000000000001</v>
      </c>
      <c r="F179" s="260"/>
      <c r="H179" s="411"/>
      <c r="I179" s="411"/>
      <c r="J179" s="233"/>
    </row>
    <row r="180" spans="1:10" s="208" customFormat="1" ht="15" customHeight="1" x14ac:dyDescent="0.2">
      <c r="A180" s="263"/>
      <c r="B180" s="155"/>
      <c r="C180" s="155" t="s">
        <v>2268</v>
      </c>
      <c r="D180" s="153" t="s">
        <v>2254</v>
      </c>
      <c r="E180" s="1359">
        <v>23.544</v>
      </c>
      <c r="F180" s="260"/>
      <c r="H180" s="411"/>
      <c r="I180" s="411"/>
      <c r="J180" s="233"/>
    </row>
    <row r="181" spans="1:10" s="208" customFormat="1" ht="15" customHeight="1" x14ac:dyDescent="0.2">
      <c r="A181" s="263"/>
      <c r="B181" s="155"/>
      <c r="C181" s="155" t="s">
        <v>2268</v>
      </c>
      <c r="D181" s="153" t="s">
        <v>2255</v>
      </c>
      <c r="E181" s="1359">
        <v>24.125</v>
      </c>
      <c r="F181" s="260"/>
      <c r="H181" s="411"/>
      <c r="I181" s="411"/>
      <c r="J181" s="233"/>
    </row>
    <row r="182" spans="1:10" s="208" customFormat="1" ht="15" customHeight="1" x14ac:dyDescent="0.2">
      <c r="A182" s="263"/>
      <c r="B182" s="155"/>
      <c r="C182" s="155" t="s">
        <v>2268</v>
      </c>
      <c r="D182" s="153" t="s">
        <v>2256</v>
      </c>
      <c r="E182" s="1359">
        <v>24.742000000000001</v>
      </c>
      <c r="F182" s="260"/>
      <c r="H182" s="411"/>
      <c r="I182" s="411"/>
      <c r="J182" s="233"/>
    </row>
    <row r="183" spans="1:10" s="208" customFormat="1" ht="15" customHeight="1" x14ac:dyDescent="0.2">
      <c r="A183" s="263"/>
      <c r="B183" s="155"/>
      <c r="C183" s="155" t="s">
        <v>2268</v>
      </c>
      <c r="D183" s="153" t="s">
        <v>2257</v>
      </c>
      <c r="E183" s="1359">
        <v>25.395</v>
      </c>
      <c r="F183" s="260"/>
      <c r="H183" s="411"/>
      <c r="I183" s="411"/>
      <c r="J183" s="233"/>
    </row>
    <row r="184" spans="1:10" s="208" customFormat="1" ht="15" customHeight="1" x14ac:dyDescent="0.2">
      <c r="A184" s="263"/>
      <c r="B184" s="155"/>
      <c r="C184" s="155" t="s">
        <v>2268</v>
      </c>
      <c r="D184" s="153" t="s">
        <v>2258</v>
      </c>
      <c r="E184" s="1359">
        <v>26.084</v>
      </c>
      <c r="F184" s="260"/>
      <c r="H184" s="411"/>
      <c r="I184" s="411"/>
      <c r="J184" s="233"/>
    </row>
    <row r="185" spans="1:10" s="208" customFormat="1" ht="15" customHeight="1" x14ac:dyDescent="0.2">
      <c r="A185" s="263"/>
      <c r="B185" s="155"/>
      <c r="C185" s="155" t="s">
        <v>2268</v>
      </c>
      <c r="D185" s="153" t="s">
        <v>2259</v>
      </c>
      <c r="E185" s="1359">
        <v>26.809000000000001</v>
      </c>
      <c r="F185" s="260"/>
      <c r="H185" s="411"/>
      <c r="I185" s="411"/>
      <c r="J185" s="233"/>
    </row>
    <row r="186" spans="1:10" s="208" customFormat="1" ht="15" customHeight="1" x14ac:dyDescent="0.2">
      <c r="A186" s="263"/>
      <c r="B186" s="155"/>
      <c r="C186" s="155" t="s">
        <v>2268</v>
      </c>
      <c r="D186" s="153" t="s">
        <v>2260</v>
      </c>
      <c r="E186" s="1359">
        <v>27.571000000000002</v>
      </c>
      <c r="F186" s="260"/>
      <c r="H186" s="411"/>
      <c r="I186" s="411"/>
      <c r="J186" s="233"/>
    </row>
    <row r="187" spans="1:10" s="208" customFormat="1" ht="15" customHeight="1" x14ac:dyDescent="0.2">
      <c r="A187" s="263"/>
      <c r="B187" s="155"/>
      <c r="C187" s="155" t="s">
        <v>2268</v>
      </c>
      <c r="D187" s="153" t="s">
        <v>2261</v>
      </c>
      <c r="E187" s="1359">
        <v>28.367999999999999</v>
      </c>
      <c r="F187" s="260"/>
      <c r="H187" s="411"/>
      <c r="I187" s="411"/>
      <c r="J187" s="233"/>
    </row>
    <row r="188" spans="1:10" s="208" customFormat="1" ht="15" customHeight="1" x14ac:dyDescent="0.2">
      <c r="A188" s="263"/>
      <c r="B188" s="155"/>
      <c r="C188" s="155" t="s">
        <v>2268</v>
      </c>
      <c r="D188" s="153" t="s">
        <v>2262</v>
      </c>
      <c r="E188" s="1359">
        <v>29.202999999999999</v>
      </c>
      <c r="F188" s="260"/>
      <c r="H188" s="411"/>
      <c r="I188" s="411"/>
      <c r="J188" s="233"/>
    </row>
    <row r="189" spans="1:10" s="208" customFormat="1" ht="15" customHeight="1" x14ac:dyDescent="0.2">
      <c r="A189" s="263"/>
      <c r="B189" s="155"/>
      <c r="C189" s="155" t="s">
        <v>2268</v>
      </c>
      <c r="D189" s="153" t="s">
        <v>2263</v>
      </c>
      <c r="E189" s="1359">
        <v>30.074000000000002</v>
      </c>
      <c r="F189" s="260"/>
      <c r="H189" s="411"/>
      <c r="I189" s="411"/>
      <c r="J189" s="233"/>
    </row>
    <row r="190" spans="1:10" s="208" customFormat="1" ht="15" customHeight="1" x14ac:dyDescent="0.2">
      <c r="A190" s="263"/>
      <c r="B190" s="155"/>
      <c r="C190" s="155" t="s">
        <v>2268</v>
      </c>
      <c r="D190" s="153" t="s">
        <v>2264</v>
      </c>
      <c r="E190" s="1359">
        <v>30.981000000000002</v>
      </c>
      <c r="F190" s="260"/>
      <c r="H190" s="411"/>
      <c r="I190" s="411"/>
      <c r="J190" s="233"/>
    </row>
    <row r="191" spans="1:10" s="208" customFormat="1" ht="15" customHeight="1" x14ac:dyDescent="0.2">
      <c r="A191" s="263"/>
      <c r="B191" s="155"/>
      <c r="C191" s="155" t="s">
        <v>2268</v>
      </c>
      <c r="D191" s="153" t="s">
        <v>2265</v>
      </c>
      <c r="E191" s="1359">
        <v>31.925999999999998</v>
      </c>
      <c r="F191" s="260"/>
      <c r="H191" s="411"/>
      <c r="I191" s="411"/>
      <c r="J191" s="233"/>
    </row>
    <row r="192" spans="1:10" s="208" customFormat="1" ht="15" customHeight="1" x14ac:dyDescent="0.2">
      <c r="A192" s="263"/>
      <c r="B192" s="155"/>
      <c r="C192" s="155" t="s">
        <v>2268</v>
      </c>
      <c r="D192" s="153" t="s">
        <v>2266</v>
      </c>
      <c r="E192" s="1359">
        <v>32.905999999999999</v>
      </c>
      <c r="F192" s="260"/>
      <c r="H192" s="411"/>
      <c r="I192" s="411"/>
      <c r="J192" s="233"/>
    </row>
    <row r="193" spans="1:10" s="208" customFormat="1" ht="15" customHeight="1" x14ac:dyDescent="0.2">
      <c r="A193" s="263"/>
      <c r="B193" s="155"/>
      <c r="C193" s="155" t="s">
        <v>2268</v>
      </c>
      <c r="D193" s="153" t="s">
        <v>2267</v>
      </c>
      <c r="E193" s="1359">
        <v>33.923999999999999</v>
      </c>
      <c r="F193" s="260"/>
      <c r="H193" s="411"/>
      <c r="I193" s="411"/>
      <c r="J193" s="233"/>
    </row>
    <row r="194" spans="1:10" s="208" customFormat="1" ht="15" customHeight="1" x14ac:dyDescent="0.2">
      <c r="A194" s="263"/>
      <c r="B194" s="155"/>
      <c r="C194" s="155" t="str">
        <f>IF($B$4="Umbilical",_xlfn.CONCAT("Select ",E87),"Select Stiffness_Operação")</f>
        <v>Select Stiffness_Operação</v>
      </c>
      <c r="D194" s="153" t="str">
        <f t="shared" si="0"/>
        <v>NumberOfRows =</v>
      </c>
      <c r="E194" s="270">
        <f>IF($B$4="Umbilical", Values!C16, I11)</f>
        <v>25</v>
      </c>
      <c r="F194" s="260"/>
      <c r="H194" s="411"/>
      <c r="I194" s="411"/>
      <c r="J194" s="233"/>
    </row>
    <row r="195" spans="1:10" s="208" customFormat="1" ht="15" customHeight="1" x14ac:dyDescent="0.2">
      <c r="A195" s="263"/>
      <c r="B195" s="155"/>
      <c r="C195" s="155" t="s">
        <v>2269</v>
      </c>
      <c r="D195" s="153" t="s">
        <v>395</v>
      </c>
      <c r="E195" s="1359">
        <v>3.0000000000000001E-3</v>
      </c>
      <c r="F195" s="260"/>
      <c r="H195" s="411"/>
      <c r="I195" s="411"/>
      <c r="J195" s="233"/>
    </row>
    <row r="196" spans="1:10" s="208" customFormat="1" ht="15" customHeight="1" x14ac:dyDescent="0.2">
      <c r="A196" s="263"/>
      <c r="B196" s="155"/>
      <c r="C196" s="155" t="s">
        <v>2269</v>
      </c>
      <c r="D196" s="153" t="s">
        <v>396</v>
      </c>
      <c r="E196" s="1359">
        <v>6.0000000000000001E-3</v>
      </c>
      <c r="F196" s="260"/>
      <c r="H196" s="411"/>
      <c r="I196" s="411"/>
      <c r="J196" s="233"/>
    </row>
    <row r="197" spans="1:10" s="208" customFormat="1" ht="15" customHeight="1" x14ac:dyDescent="0.2">
      <c r="A197" s="263"/>
      <c r="B197" s="155"/>
      <c r="C197" s="155" t="s">
        <v>2269</v>
      </c>
      <c r="D197" s="153" t="s">
        <v>2224</v>
      </c>
      <c r="E197" s="1359">
        <v>8.9999999999999993E-3</v>
      </c>
      <c r="F197" s="260"/>
      <c r="H197" s="411"/>
      <c r="I197" s="411"/>
      <c r="J197" s="233"/>
    </row>
    <row r="198" spans="1:10" s="208" customFormat="1" ht="15" customHeight="1" x14ac:dyDescent="0.2">
      <c r="A198" s="263"/>
      <c r="B198" s="155"/>
      <c r="C198" s="155" t="s">
        <v>2269</v>
      </c>
      <c r="D198" s="153" t="s">
        <v>2225</v>
      </c>
      <c r="E198" s="1359">
        <v>1.4E-2</v>
      </c>
      <c r="F198" s="260"/>
      <c r="H198" s="411"/>
      <c r="I198" s="411"/>
      <c r="J198" s="233"/>
    </row>
    <row r="199" spans="1:10" s="208" customFormat="1" ht="15" customHeight="1" x14ac:dyDescent="0.2">
      <c r="A199" s="263"/>
      <c r="B199" s="155"/>
      <c r="C199" s="155" t="s">
        <v>2269</v>
      </c>
      <c r="D199" s="153" t="s">
        <v>2226</v>
      </c>
      <c r="E199" s="1359">
        <v>1.9E-2</v>
      </c>
      <c r="F199" s="260"/>
      <c r="H199" s="411"/>
      <c r="I199" s="411"/>
      <c r="J199" s="233"/>
    </row>
    <row r="200" spans="1:10" s="208" customFormat="1" ht="15" customHeight="1" x14ac:dyDescent="0.2">
      <c r="A200" s="263"/>
      <c r="B200" s="155"/>
      <c r="C200" s="155" t="s">
        <v>2269</v>
      </c>
      <c r="D200" s="153" t="s">
        <v>2227</v>
      </c>
      <c r="E200" s="1359">
        <v>2.4E-2</v>
      </c>
      <c r="F200" s="260"/>
      <c r="H200" s="411"/>
      <c r="I200" s="411"/>
      <c r="J200" s="233"/>
    </row>
    <row r="201" spans="1:10" s="208" customFormat="1" ht="15" customHeight="1" x14ac:dyDescent="0.2">
      <c r="A201" s="263"/>
      <c r="B201" s="155"/>
      <c r="C201" s="155" t="s">
        <v>2269</v>
      </c>
      <c r="D201" s="153" t="s">
        <v>2228</v>
      </c>
      <c r="E201" s="1359">
        <v>0.03</v>
      </c>
      <c r="F201" s="260"/>
      <c r="H201" s="411"/>
      <c r="I201" s="411"/>
      <c r="J201" s="233"/>
    </row>
    <row r="202" spans="1:10" s="208" customFormat="1" ht="15" customHeight="1" x14ac:dyDescent="0.2">
      <c r="A202" s="263"/>
      <c r="B202" s="155"/>
      <c r="C202" s="155" t="s">
        <v>2269</v>
      </c>
      <c r="D202" s="153" t="s">
        <v>2229</v>
      </c>
      <c r="E202" s="1359">
        <v>3.5999999999999997E-2</v>
      </c>
      <c r="F202" s="260"/>
      <c r="H202" s="411"/>
      <c r="I202" s="411"/>
      <c r="J202" s="233"/>
    </row>
    <row r="203" spans="1:10" s="208" customFormat="1" ht="15" customHeight="1" x14ac:dyDescent="0.2">
      <c r="A203" s="263"/>
      <c r="B203" s="155"/>
      <c r="C203" s="155" t="s">
        <v>2269</v>
      </c>
      <c r="D203" s="153" t="s">
        <v>2230</v>
      </c>
      <c r="E203" s="1359">
        <v>4.3999999999999997E-2</v>
      </c>
      <c r="F203" s="260"/>
      <c r="H203" s="411"/>
      <c r="I203" s="411"/>
      <c r="J203" s="233"/>
    </row>
    <row r="204" spans="1:10" s="208" customFormat="1" ht="15" customHeight="1" x14ac:dyDescent="0.2">
      <c r="A204" s="263"/>
      <c r="B204" s="155"/>
      <c r="C204" s="155" t="s">
        <v>2269</v>
      </c>
      <c r="D204" s="153" t="s">
        <v>2231</v>
      </c>
      <c r="E204" s="1359">
        <v>5.0999999999999997E-2</v>
      </c>
      <c r="F204" s="260"/>
      <c r="H204" s="411"/>
      <c r="I204" s="411"/>
      <c r="J204" s="233"/>
    </row>
    <row r="205" spans="1:10" s="208" customFormat="1" ht="15" customHeight="1" x14ac:dyDescent="0.2">
      <c r="A205" s="263"/>
      <c r="B205" s="155"/>
      <c r="C205" s="155" t="s">
        <v>2269</v>
      </c>
      <c r="D205" s="153" t="s">
        <v>2232</v>
      </c>
      <c r="E205" s="1359">
        <v>5.8999999999999997E-2</v>
      </c>
      <c r="F205" s="260"/>
      <c r="H205" s="411"/>
      <c r="I205" s="411"/>
      <c r="J205" s="233"/>
    </row>
    <row r="206" spans="1:10" s="208" customFormat="1" ht="15" customHeight="1" x14ac:dyDescent="0.2">
      <c r="A206" s="263"/>
      <c r="B206" s="155"/>
      <c r="C206" s="155" t="s">
        <v>2269</v>
      </c>
      <c r="D206" s="153" t="s">
        <v>2233</v>
      </c>
      <c r="E206" s="1359">
        <v>6.8000000000000005E-2</v>
      </c>
      <c r="F206" s="260"/>
      <c r="H206" s="411"/>
      <c r="I206" s="411"/>
      <c r="J206" s="233"/>
    </row>
    <row r="207" spans="1:10" s="208" customFormat="1" ht="15" customHeight="1" x14ac:dyDescent="0.2">
      <c r="A207" s="263"/>
      <c r="B207" s="155"/>
      <c r="C207" s="155" t="s">
        <v>2269</v>
      </c>
      <c r="D207" s="153" t="s">
        <v>2234</v>
      </c>
      <c r="E207" s="1359">
        <v>7.8E-2</v>
      </c>
      <c r="F207" s="260"/>
      <c r="H207" s="411"/>
      <c r="I207" s="411"/>
      <c r="J207" s="233"/>
    </row>
    <row r="208" spans="1:10" s="208" customFormat="1" ht="15" customHeight="1" x14ac:dyDescent="0.2">
      <c r="A208" s="263"/>
      <c r="B208" s="155"/>
      <c r="C208" s="155" t="s">
        <v>2269</v>
      </c>
      <c r="D208" s="153" t="s">
        <v>2235</v>
      </c>
      <c r="E208" s="1359">
        <v>8.6999999999999994E-2</v>
      </c>
      <c r="F208" s="260"/>
      <c r="H208" s="411"/>
      <c r="I208" s="411"/>
      <c r="J208" s="233"/>
    </row>
    <row r="209" spans="1:10" s="208" customFormat="1" ht="15" customHeight="1" x14ac:dyDescent="0.2">
      <c r="A209" s="263"/>
      <c r="B209" s="155"/>
      <c r="C209" s="155" t="s">
        <v>2269</v>
      </c>
      <c r="D209" s="153" t="s">
        <v>2236</v>
      </c>
      <c r="E209" s="1359">
        <v>9.8000000000000004E-2</v>
      </c>
      <c r="F209" s="260"/>
      <c r="H209" s="411"/>
      <c r="I209" s="411"/>
      <c r="J209" s="233"/>
    </row>
    <row r="210" spans="1:10" s="208" customFormat="1" ht="15" customHeight="1" x14ac:dyDescent="0.2">
      <c r="A210" s="263"/>
      <c r="B210" s="155"/>
      <c r="C210" s="155" t="s">
        <v>2269</v>
      </c>
      <c r="D210" s="153" t="s">
        <v>2237</v>
      </c>
      <c r="E210" s="1359">
        <v>0.109</v>
      </c>
      <c r="F210" s="260"/>
      <c r="H210" s="411"/>
      <c r="I210" s="411"/>
      <c r="J210" s="233"/>
    </row>
    <row r="211" spans="1:10" s="208" customFormat="1" ht="15" customHeight="1" x14ac:dyDescent="0.2">
      <c r="A211" s="263"/>
      <c r="B211" s="155"/>
      <c r="C211" s="155" t="s">
        <v>2269</v>
      </c>
      <c r="D211" s="153" t="s">
        <v>2238</v>
      </c>
      <c r="E211" s="1359">
        <v>0.121</v>
      </c>
      <c r="F211" s="260"/>
      <c r="H211" s="411"/>
      <c r="I211" s="411"/>
      <c r="J211" s="233"/>
    </row>
    <row r="212" spans="1:10" s="208" customFormat="1" ht="15" customHeight="1" x14ac:dyDescent="0.2">
      <c r="A212" s="263"/>
      <c r="B212" s="155"/>
      <c r="C212" s="155" t="s">
        <v>2269</v>
      </c>
      <c r="D212" s="153" t="s">
        <v>2239</v>
      </c>
      <c r="E212" s="1359">
        <v>0.13300000000000001</v>
      </c>
      <c r="F212" s="260"/>
      <c r="H212" s="411"/>
      <c r="I212" s="411"/>
      <c r="J212" s="233"/>
    </row>
    <row r="213" spans="1:10" s="208" customFormat="1" ht="15" customHeight="1" x14ac:dyDescent="0.2">
      <c r="A213" s="263"/>
      <c r="B213" s="155"/>
      <c r="C213" s="155" t="s">
        <v>2269</v>
      </c>
      <c r="D213" s="153" t="s">
        <v>2240</v>
      </c>
      <c r="E213" s="1359">
        <v>0.14499999999999999</v>
      </c>
      <c r="F213" s="260"/>
      <c r="H213" s="411"/>
      <c r="I213" s="411"/>
      <c r="J213" s="233"/>
    </row>
    <row r="214" spans="1:10" s="208" customFormat="1" ht="15" customHeight="1" x14ac:dyDescent="0.2">
      <c r="A214" s="263"/>
      <c r="B214" s="155"/>
      <c r="C214" s="155" t="s">
        <v>2269</v>
      </c>
      <c r="D214" s="153" t="s">
        <v>2241</v>
      </c>
      <c r="E214" s="1359">
        <v>0.159</v>
      </c>
      <c r="F214" s="260"/>
      <c r="H214" s="411"/>
      <c r="I214" s="411"/>
      <c r="J214" s="233"/>
    </row>
    <row r="215" spans="1:10" s="208" customFormat="1" ht="15" customHeight="1" x14ac:dyDescent="0.2">
      <c r="A215" s="263"/>
      <c r="B215" s="155"/>
      <c r="C215" s="155" t="s">
        <v>2269</v>
      </c>
      <c r="D215" s="153" t="s">
        <v>2242</v>
      </c>
      <c r="E215" s="1359">
        <v>0.17299999999999999</v>
      </c>
      <c r="F215" s="260"/>
      <c r="H215" s="411"/>
      <c r="I215" s="411"/>
      <c r="J215" s="233"/>
    </row>
    <row r="216" spans="1:10" s="208" customFormat="1" ht="15" customHeight="1" x14ac:dyDescent="0.2">
      <c r="A216" s="263"/>
      <c r="B216" s="155"/>
      <c r="C216" s="155" t="s">
        <v>2269</v>
      </c>
      <c r="D216" s="153" t="s">
        <v>2243</v>
      </c>
      <c r="E216" s="1359">
        <v>0.187</v>
      </c>
      <c r="F216" s="260"/>
      <c r="H216" s="411"/>
      <c r="I216" s="411"/>
      <c r="J216" s="233"/>
    </row>
    <row r="217" spans="1:10" s="208" customFormat="1" ht="15" customHeight="1" x14ac:dyDescent="0.2">
      <c r="A217" s="263"/>
      <c r="B217" s="155"/>
      <c r="C217" s="155" t="s">
        <v>2269</v>
      </c>
      <c r="D217" s="153" t="s">
        <v>2244</v>
      </c>
      <c r="E217" s="1359">
        <v>0.20200000000000001</v>
      </c>
      <c r="F217" s="260"/>
      <c r="H217" s="411"/>
      <c r="I217" s="411"/>
      <c r="J217" s="233"/>
    </row>
    <row r="218" spans="1:10" s="208" customFormat="1" ht="15" customHeight="1" x14ac:dyDescent="0.2">
      <c r="A218" s="263"/>
      <c r="B218" s="155"/>
      <c r="C218" s="155" t="s">
        <v>2269</v>
      </c>
      <c r="D218" s="153" t="s">
        <v>2245</v>
      </c>
      <c r="E218" s="1359">
        <v>0.217</v>
      </c>
      <c r="F218" s="260"/>
      <c r="H218" s="411"/>
      <c r="I218" s="411"/>
      <c r="J218" s="233"/>
    </row>
    <row r="219" spans="1:10" s="208" customFormat="1" ht="15" customHeight="1" x14ac:dyDescent="0.2">
      <c r="A219" s="263"/>
      <c r="B219" s="155"/>
      <c r="C219" s="155" t="s">
        <v>2269</v>
      </c>
      <c r="D219" s="153" t="s">
        <v>397</v>
      </c>
      <c r="E219" s="1359">
        <v>9.8650000000000002</v>
      </c>
      <c r="F219" s="260"/>
      <c r="H219" s="411"/>
      <c r="I219" s="411"/>
      <c r="J219" s="233"/>
    </row>
    <row r="220" spans="1:10" s="208" customFormat="1" ht="15" customHeight="1" x14ac:dyDescent="0.2">
      <c r="A220" s="263"/>
      <c r="B220" s="155"/>
      <c r="C220" s="155" t="s">
        <v>2269</v>
      </c>
      <c r="D220" s="153" t="s">
        <v>398</v>
      </c>
      <c r="E220" s="1359">
        <v>16.57</v>
      </c>
      <c r="F220" s="260"/>
      <c r="H220" s="411"/>
      <c r="I220" s="411"/>
      <c r="J220" s="233"/>
    </row>
    <row r="221" spans="1:10" s="208" customFormat="1" ht="15" customHeight="1" x14ac:dyDescent="0.2">
      <c r="A221" s="263"/>
      <c r="B221" s="155"/>
      <c r="C221" s="155" t="s">
        <v>2269</v>
      </c>
      <c r="D221" s="153" t="s">
        <v>2246</v>
      </c>
      <c r="E221" s="1359">
        <v>20.63</v>
      </c>
      <c r="F221" s="260"/>
      <c r="H221" s="411"/>
      <c r="I221" s="411"/>
      <c r="J221" s="233"/>
    </row>
    <row r="222" spans="1:10" s="208" customFormat="1" ht="15" customHeight="1" x14ac:dyDescent="0.2">
      <c r="A222" s="263"/>
      <c r="B222" s="155"/>
      <c r="C222" s="155" t="s">
        <v>2269</v>
      </c>
      <c r="D222" s="153" t="s">
        <v>2247</v>
      </c>
      <c r="E222" s="1359">
        <v>21.751000000000001</v>
      </c>
      <c r="F222" s="260"/>
      <c r="H222" s="411"/>
      <c r="I222" s="411"/>
      <c r="J222" s="233"/>
    </row>
    <row r="223" spans="1:10" s="208" customFormat="1" ht="15" customHeight="1" x14ac:dyDescent="0.2">
      <c r="A223" s="263"/>
      <c r="B223" s="155"/>
      <c r="C223" s="155" t="s">
        <v>2269</v>
      </c>
      <c r="D223" s="153" t="s">
        <v>2248</v>
      </c>
      <c r="E223" s="1359">
        <v>22.384</v>
      </c>
      <c r="F223" s="260"/>
      <c r="H223" s="411"/>
      <c r="I223" s="411"/>
      <c r="J223" s="233"/>
    </row>
    <row r="224" spans="1:10" s="208" customFormat="1" ht="15" customHeight="1" x14ac:dyDescent="0.2">
      <c r="A224" s="263"/>
      <c r="B224" s="155"/>
      <c r="C224" s="155" t="s">
        <v>2269</v>
      </c>
      <c r="D224" s="153" t="s">
        <v>2249</v>
      </c>
      <c r="E224" s="1359">
        <v>22.885999999999999</v>
      </c>
      <c r="F224" s="260"/>
      <c r="H224" s="411"/>
      <c r="I224" s="411"/>
      <c r="J224" s="233"/>
    </row>
    <row r="225" spans="1:10" s="208" customFormat="1" ht="15" customHeight="1" x14ac:dyDescent="0.2">
      <c r="A225" s="263"/>
      <c r="B225" s="155"/>
      <c r="C225" s="155" t="s">
        <v>2269</v>
      </c>
      <c r="D225" s="153" t="s">
        <v>2250</v>
      </c>
      <c r="E225" s="1359">
        <v>23.353000000000002</v>
      </c>
      <c r="F225" s="260"/>
      <c r="H225" s="411"/>
      <c r="I225" s="411"/>
      <c r="J225" s="233"/>
    </row>
    <row r="226" spans="1:10" s="208" customFormat="1" ht="15" customHeight="1" x14ac:dyDescent="0.2">
      <c r="A226" s="263"/>
      <c r="B226" s="155"/>
      <c r="C226" s="155" t="s">
        <v>2269</v>
      </c>
      <c r="D226" s="153" t="s">
        <v>2251</v>
      </c>
      <c r="E226" s="1359">
        <v>23.827999999999999</v>
      </c>
      <c r="F226" s="260"/>
      <c r="H226" s="411"/>
      <c r="I226" s="411"/>
      <c r="J226" s="233"/>
    </row>
    <row r="227" spans="1:10" s="208" customFormat="1" ht="15" customHeight="1" x14ac:dyDescent="0.2">
      <c r="A227" s="263"/>
      <c r="B227" s="155"/>
      <c r="C227" s="155" t="s">
        <v>2269</v>
      </c>
      <c r="D227" s="153" t="s">
        <v>2252</v>
      </c>
      <c r="E227" s="1359">
        <v>24.32</v>
      </c>
      <c r="F227" s="260"/>
      <c r="H227" s="411"/>
      <c r="I227" s="411"/>
      <c r="J227" s="233"/>
    </row>
    <row r="228" spans="1:10" s="208" customFormat="1" ht="15" customHeight="1" x14ac:dyDescent="0.2">
      <c r="A228" s="263"/>
      <c r="B228" s="155"/>
      <c r="C228" s="155" t="s">
        <v>2269</v>
      </c>
      <c r="D228" s="153" t="s">
        <v>2253</v>
      </c>
      <c r="E228" s="1359">
        <v>24.837</v>
      </c>
      <c r="F228" s="260"/>
      <c r="H228" s="411"/>
      <c r="I228" s="411"/>
      <c r="J228" s="233"/>
    </row>
    <row r="229" spans="1:10" s="208" customFormat="1" ht="15" customHeight="1" x14ac:dyDescent="0.2">
      <c r="A229" s="263"/>
      <c r="B229" s="155"/>
      <c r="C229" s="155" t="s">
        <v>2269</v>
      </c>
      <c r="D229" s="153" t="s">
        <v>2254</v>
      </c>
      <c r="E229" s="1359">
        <v>25.385000000000002</v>
      </c>
      <c r="F229" s="260"/>
      <c r="H229" s="411"/>
      <c r="I229" s="411"/>
      <c r="J229" s="233"/>
    </row>
    <row r="230" spans="1:10" s="208" customFormat="1" ht="15" customHeight="1" x14ac:dyDescent="0.2">
      <c r="A230" s="263"/>
      <c r="B230" s="155"/>
      <c r="C230" s="155" t="s">
        <v>2269</v>
      </c>
      <c r="D230" s="153" t="s">
        <v>2255</v>
      </c>
      <c r="E230" s="1359">
        <v>25.968</v>
      </c>
      <c r="F230" s="260"/>
      <c r="H230" s="411"/>
      <c r="I230" s="411"/>
      <c r="J230" s="233"/>
    </row>
    <row r="231" spans="1:10" s="208" customFormat="1" ht="15" customHeight="1" x14ac:dyDescent="0.2">
      <c r="A231" s="263"/>
      <c r="B231" s="155"/>
      <c r="C231" s="155" t="s">
        <v>2269</v>
      </c>
      <c r="D231" s="153" t="s">
        <v>2256</v>
      </c>
      <c r="E231" s="1359">
        <v>26.585999999999999</v>
      </c>
      <c r="F231" s="260"/>
      <c r="H231" s="411"/>
      <c r="I231" s="411"/>
      <c r="J231" s="233"/>
    </row>
    <row r="232" spans="1:10" s="208" customFormat="1" ht="15" customHeight="1" x14ac:dyDescent="0.2">
      <c r="A232" s="263"/>
      <c r="B232" s="155"/>
      <c r="C232" s="155" t="s">
        <v>2269</v>
      </c>
      <c r="D232" s="153" t="s">
        <v>2257</v>
      </c>
      <c r="E232" s="1359">
        <v>27.239000000000001</v>
      </c>
      <c r="F232" s="260"/>
      <c r="H232" s="411"/>
      <c r="I232" s="411"/>
      <c r="J232" s="233"/>
    </row>
    <row r="233" spans="1:10" s="208" customFormat="1" ht="15" customHeight="1" x14ac:dyDescent="0.2">
      <c r="A233" s="263"/>
      <c r="B233" s="155"/>
      <c r="C233" s="155" t="s">
        <v>2269</v>
      </c>
      <c r="D233" s="153" t="s">
        <v>2258</v>
      </c>
      <c r="E233" s="1359">
        <v>27.928999999999998</v>
      </c>
      <c r="F233" s="260"/>
      <c r="H233" s="411"/>
      <c r="I233" s="411"/>
      <c r="J233" s="233"/>
    </row>
    <row r="234" spans="1:10" s="208" customFormat="1" ht="15" customHeight="1" x14ac:dyDescent="0.2">
      <c r="A234" s="263"/>
      <c r="B234" s="155"/>
      <c r="C234" s="155" t="s">
        <v>2269</v>
      </c>
      <c r="D234" s="153" t="s">
        <v>2259</v>
      </c>
      <c r="E234" s="1359">
        <v>28.655000000000001</v>
      </c>
      <c r="F234" s="260"/>
      <c r="H234" s="411"/>
      <c r="I234" s="411"/>
      <c r="J234" s="233"/>
    </row>
    <row r="235" spans="1:10" s="208" customFormat="1" ht="15" customHeight="1" x14ac:dyDescent="0.2">
      <c r="A235" s="263"/>
      <c r="B235" s="155"/>
      <c r="C235" s="155" t="s">
        <v>2269</v>
      </c>
      <c r="D235" s="153" t="s">
        <v>2260</v>
      </c>
      <c r="E235" s="1359">
        <v>29.417000000000002</v>
      </c>
      <c r="F235" s="260"/>
      <c r="H235" s="411"/>
      <c r="I235" s="411"/>
      <c r="J235" s="233"/>
    </row>
    <row r="236" spans="1:10" s="208" customFormat="1" ht="15" customHeight="1" x14ac:dyDescent="0.2">
      <c r="A236" s="263"/>
      <c r="B236" s="155"/>
      <c r="C236" s="155" t="s">
        <v>2269</v>
      </c>
      <c r="D236" s="153" t="s">
        <v>2261</v>
      </c>
      <c r="E236" s="1359">
        <v>30.215</v>
      </c>
      <c r="F236" s="260"/>
      <c r="H236" s="411"/>
      <c r="I236" s="411"/>
      <c r="J236" s="233"/>
    </row>
    <row r="237" spans="1:10" s="208" customFormat="1" ht="15" customHeight="1" x14ac:dyDescent="0.2">
      <c r="A237" s="263"/>
      <c r="B237" s="155"/>
      <c r="C237" s="155" t="s">
        <v>2269</v>
      </c>
      <c r="D237" s="153" t="s">
        <v>2262</v>
      </c>
      <c r="E237" s="1359">
        <v>31.05</v>
      </c>
      <c r="F237" s="260"/>
      <c r="H237" s="411"/>
      <c r="I237" s="411"/>
      <c r="J237" s="233"/>
    </row>
    <row r="238" spans="1:10" s="208" customFormat="1" ht="15" customHeight="1" x14ac:dyDescent="0.2">
      <c r="A238" s="263"/>
      <c r="B238" s="155"/>
      <c r="C238" s="155" t="s">
        <v>2269</v>
      </c>
      <c r="D238" s="153" t="s">
        <v>2263</v>
      </c>
      <c r="E238" s="1359">
        <v>31.920999999999999</v>
      </c>
      <c r="F238" s="260"/>
      <c r="H238" s="411"/>
      <c r="I238" s="411"/>
      <c r="J238" s="233"/>
    </row>
    <row r="239" spans="1:10" s="208" customFormat="1" ht="15" customHeight="1" x14ac:dyDescent="0.2">
      <c r="A239" s="263"/>
      <c r="B239" s="155"/>
      <c r="C239" s="155" t="s">
        <v>2269</v>
      </c>
      <c r="D239" s="153" t="s">
        <v>2264</v>
      </c>
      <c r="E239" s="1359">
        <v>32.829000000000001</v>
      </c>
      <c r="F239" s="260"/>
      <c r="H239" s="411"/>
      <c r="I239" s="411"/>
      <c r="J239" s="233"/>
    </row>
    <row r="240" spans="1:10" s="208" customFormat="1" ht="15" customHeight="1" x14ac:dyDescent="0.2">
      <c r="A240" s="263"/>
      <c r="B240" s="155"/>
      <c r="C240" s="155" t="s">
        <v>2269</v>
      </c>
      <c r="D240" s="153" t="s">
        <v>2265</v>
      </c>
      <c r="E240" s="1359">
        <v>33.774000000000001</v>
      </c>
      <c r="F240" s="260"/>
      <c r="H240" s="411"/>
      <c r="I240" s="411"/>
      <c r="J240" s="233"/>
    </row>
    <row r="241" spans="1:10" s="208" customFormat="1" ht="15" customHeight="1" x14ac:dyDescent="0.2">
      <c r="A241" s="263"/>
      <c r="B241" s="155"/>
      <c r="C241" s="155" t="s">
        <v>2269</v>
      </c>
      <c r="D241" s="153" t="s">
        <v>2266</v>
      </c>
      <c r="E241" s="1359">
        <v>34.755000000000003</v>
      </c>
      <c r="F241" s="260"/>
      <c r="H241" s="411"/>
      <c r="I241" s="411"/>
      <c r="J241" s="233"/>
    </row>
    <row r="242" spans="1:10" s="208" customFormat="1" ht="15" customHeight="1" x14ac:dyDescent="0.2">
      <c r="A242" s="263"/>
      <c r="B242" s="155"/>
      <c r="C242" s="155" t="s">
        <v>2269</v>
      </c>
      <c r="D242" s="153" t="s">
        <v>2267</v>
      </c>
      <c r="E242" s="1359">
        <v>35.771999999999998</v>
      </c>
      <c r="F242" s="260"/>
      <c r="H242" s="411"/>
      <c r="I242" s="411"/>
      <c r="J242" s="233"/>
    </row>
    <row r="243" spans="1:10" s="208" customFormat="1" ht="15" customHeight="1" x14ac:dyDescent="0.2">
      <c r="A243" s="263"/>
      <c r="B243" s="155"/>
      <c r="C243" s="155" t="s">
        <v>1771</v>
      </c>
      <c r="D243" s="153" t="s">
        <v>394</v>
      </c>
      <c r="E243" s="270">
        <v>3</v>
      </c>
      <c r="F243" s="260"/>
      <c r="H243" s="411"/>
      <c r="I243" s="411"/>
      <c r="J243" s="233"/>
    </row>
    <row r="244" spans="1:10" s="208" customFormat="1" ht="15" customHeight="1" x14ac:dyDescent="0.2">
      <c r="A244" s="263"/>
      <c r="B244" s="155"/>
      <c r="C244" s="155" t="s">
        <v>1771</v>
      </c>
      <c r="D244" s="153" t="s">
        <v>395</v>
      </c>
      <c r="E244" s="416">
        <f>'Bending Stiffness'!W19</f>
        <v>0.24154589371980678</v>
      </c>
      <c r="F244" s="260"/>
      <c r="H244" s="411"/>
      <c r="I244" s="411"/>
      <c r="J244" s="233"/>
    </row>
    <row r="245" spans="1:10" s="208" customFormat="1" ht="15" customHeight="1" x14ac:dyDescent="0.2">
      <c r="A245" s="263"/>
      <c r="B245" s="155"/>
      <c r="C245" s="155" t="s">
        <v>1771</v>
      </c>
      <c r="D245" s="153" t="s">
        <v>396</v>
      </c>
      <c r="E245" s="272">
        <f>'Bending Stiffness'!W20</f>
        <v>1.2415458937198067</v>
      </c>
      <c r="F245" s="260"/>
      <c r="H245" s="411"/>
      <c r="I245" s="411"/>
      <c r="J245" s="233"/>
    </row>
    <row r="246" spans="1:10" s="208" customFormat="1" ht="15" customHeight="1" x14ac:dyDescent="0.2">
      <c r="A246" s="263"/>
      <c r="B246" s="155"/>
      <c r="C246" s="155" t="s">
        <v>1771</v>
      </c>
      <c r="D246" s="153" t="s">
        <v>397</v>
      </c>
      <c r="E246" s="262">
        <f>'Bending Stiffness'!X19</f>
        <v>0.01</v>
      </c>
      <c r="F246" s="260"/>
      <c r="H246" s="411"/>
      <c r="I246" s="411"/>
      <c r="J246" s="233"/>
    </row>
    <row r="247" spans="1:10" s="208" customFormat="1" ht="15" customHeight="1" x14ac:dyDescent="0.2">
      <c r="A247" s="263"/>
      <c r="B247" s="155"/>
      <c r="C247" s="155" t="s">
        <v>1771</v>
      </c>
      <c r="D247" s="153" t="s">
        <v>398</v>
      </c>
      <c r="E247" s="268">
        <f>'Bending Stiffness'!X20</f>
        <v>406797.02009192057</v>
      </c>
      <c r="F247" s="260"/>
      <c r="H247" s="411"/>
      <c r="I247" s="411"/>
      <c r="J247" s="233"/>
    </row>
    <row r="248" spans="1:10" s="208" customFormat="1" ht="15" customHeight="1" thickBot="1" x14ac:dyDescent="0.25">
      <c r="A248" s="273"/>
      <c r="B248" s="274"/>
      <c r="C248" s="275"/>
      <c r="D248" s="276" t="s">
        <v>401</v>
      </c>
      <c r="E248" s="277" t="str">
        <f>_xlfn.CONCAT(Results!$C$32,".dat")</f>
        <v>Estatico.dat</v>
      </c>
      <c r="F248" s="260"/>
      <c r="H248" s="411"/>
      <c r="I248" s="411"/>
      <c r="J248" s="233"/>
    </row>
    <row r="249" spans="1:10" s="208" customFormat="1" ht="15" customHeight="1" x14ac:dyDescent="0.2">
      <c r="A249" s="76"/>
      <c r="B249" s="76"/>
      <c r="C249" s="77"/>
      <c r="D249" s="77"/>
      <c r="E249" s="278"/>
      <c r="F249" s="510"/>
      <c r="G249" s="417"/>
      <c r="H249" s="281"/>
      <c r="I249" s="411"/>
      <c r="J249" s="233"/>
    </row>
    <row r="250" spans="1:10" s="208" customFormat="1" ht="15" customHeight="1" x14ac:dyDescent="0.2">
      <c r="A250" s="76"/>
      <c r="B250" s="76"/>
      <c r="C250" s="77"/>
      <c r="D250" s="77"/>
      <c r="E250" s="278"/>
      <c r="F250" s="510"/>
      <c r="G250" s="417"/>
      <c r="H250" s="281"/>
      <c r="I250" s="411"/>
      <c r="J250" s="233"/>
    </row>
    <row r="251" spans="1:10" s="208" customFormat="1" ht="15" customHeight="1" x14ac:dyDescent="0.2">
      <c r="A251" s="76"/>
      <c r="B251" s="76"/>
      <c r="C251" s="77"/>
      <c r="D251" s="77"/>
      <c r="E251" s="278"/>
      <c r="F251" s="510"/>
      <c r="G251" s="417"/>
      <c r="H251" s="281"/>
      <c r="I251" s="411"/>
      <c r="J251" s="233"/>
    </row>
    <row r="252" spans="1:10" s="208" customFormat="1" ht="15" customHeight="1" x14ac:dyDescent="0.2">
      <c r="A252" s="76"/>
      <c r="B252" s="76"/>
      <c r="C252" s="77"/>
      <c r="D252" s="77"/>
      <c r="E252" s="278"/>
      <c r="F252" s="510"/>
      <c r="G252" s="417"/>
      <c r="H252" s="281"/>
      <c r="I252" s="411"/>
      <c r="J252" s="233"/>
    </row>
    <row r="253" spans="1:10" s="208" customFormat="1" ht="15" customHeight="1" x14ac:dyDescent="0.2">
      <c r="A253" s="76"/>
      <c r="B253" s="76"/>
      <c r="C253" s="77"/>
      <c r="D253" s="77"/>
      <c r="E253" s="278"/>
      <c r="F253" s="510"/>
      <c r="G253" s="417"/>
      <c r="H253" s="281"/>
      <c r="I253" s="411"/>
      <c r="J253" s="233"/>
    </row>
    <row r="254" spans="1:10" s="208" customFormat="1" ht="15" customHeight="1" x14ac:dyDescent="0.2">
      <c r="A254" s="76"/>
      <c r="B254" s="76"/>
      <c r="C254" s="77"/>
      <c r="D254" s="77"/>
      <c r="E254" s="278"/>
      <c r="F254" s="510"/>
      <c r="G254" s="417"/>
      <c r="H254" s="281"/>
      <c r="I254" s="411"/>
      <c r="J254" s="233"/>
    </row>
    <row r="255" spans="1:10" s="208" customFormat="1" ht="15" customHeight="1" x14ac:dyDescent="0.2">
      <c r="A255" s="76"/>
      <c r="B255" s="76"/>
      <c r="C255" s="77"/>
      <c r="D255" s="77"/>
      <c r="E255" s="278"/>
      <c r="F255" s="510"/>
      <c r="G255" s="417"/>
      <c r="H255" s="281"/>
      <c r="I255" s="411"/>
      <c r="J255" s="233"/>
    </row>
    <row r="256" spans="1:10" s="208" customFormat="1" ht="15" customHeight="1" x14ac:dyDescent="0.2">
      <c r="A256" s="76"/>
      <c r="B256" s="76"/>
      <c r="C256" s="77"/>
      <c r="D256" s="77"/>
      <c r="E256" s="278"/>
      <c r="F256" s="510"/>
      <c r="G256" s="417"/>
      <c r="H256" s="281"/>
      <c r="I256" s="411"/>
      <c r="J256" s="233"/>
    </row>
    <row r="257" spans="1:10" s="208" customFormat="1" ht="15" customHeight="1" x14ac:dyDescent="0.2">
      <c r="A257" s="76"/>
      <c r="B257" s="76"/>
      <c r="C257" s="77"/>
      <c r="D257" s="77"/>
      <c r="E257" s="278"/>
      <c r="F257" s="510"/>
      <c r="G257" s="417"/>
      <c r="H257" s="281"/>
      <c r="I257" s="411"/>
      <c r="J257" s="233"/>
    </row>
    <row r="258" spans="1:10" s="208" customFormat="1" ht="15" customHeight="1" x14ac:dyDescent="0.2">
      <c r="A258" s="76"/>
      <c r="B258" s="76"/>
      <c r="C258" s="77"/>
      <c r="D258" s="77"/>
      <c r="E258" s="278"/>
      <c r="F258" s="510"/>
      <c r="G258" s="417"/>
      <c r="H258" s="281"/>
      <c r="I258" s="411"/>
      <c r="J258" s="233"/>
    </row>
    <row r="259" spans="1:10" s="208" customFormat="1" ht="15" customHeight="1" x14ac:dyDescent="0.2">
      <c r="A259" s="76"/>
      <c r="B259" s="76"/>
      <c r="C259" s="77"/>
      <c r="D259" s="77"/>
      <c r="E259" s="278"/>
      <c r="F259" s="510"/>
      <c r="G259" s="417"/>
      <c r="H259" s="281"/>
      <c r="I259" s="411"/>
      <c r="J259" s="233"/>
    </row>
    <row r="260" spans="1:10" s="208" customFormat="1" ht="15" customHeight="1" x14ac:dyDescent="0.2">
      <c r="A260" s="76"/>
      <c r="B260" s="76"/>
      <c r="C260" s="77"/>
      <c r="D260" s="77"/>
      <c r="E260" s="278"/>
      <c r="F260" s="510"/>
      <c r="G260" s="417"/>
      <c r="H260" s="281"/>
      <c r="I260" s="411"/>
      <c r="J260" s="233"/>
    </row>
    <row r="261" spans="1:10" s="208" customFormat="1" ht="15" customHeight="1" x14ac:dyDescent="0.2">
      <c r="A261" s="76"/>
      <c r="B261" s="76"/>
      <c r="C261" s="77"/>
      <c r="D261" s="77"/>
      <c r="E261" s="278"/>
      <c r="F261" s="510"/>
      <c r="G261" s="417"/>
      <c r="H261" s="281"/>
      <c r="I261" s="411"/>
      <c r="J261" s="233"/>
    </row>
    <row r="262" spans="1:10" s="208" customFormat="1" ht="15" customHeight="1" x14ac:dyDescent="0.2">
      <c r="A262" s="76"/>
      <c r="B262" s="76"/>
      <c r="C262" s="77"/>
      <c r="D262" s="77"/>
      <c r="E262" s="278"/>
      <c r="F262" s="510"/>
      <c r="G262" s="417"/>
      <c r="H262" s="281"/>
      <c r="I262" s="411"/>
      <c r="J262" s="233"/>
    </row>
    <row r="263" spans="1:10" s="208" customFormat="1" ht="15" customHeight="1" x14ac:dyDescent="0.2">
      <c r="A263" s="76"/>
      <c r="B263" s="76"/>
      <c r="C263" s="77"/>
      <c r="D263" s="77"/>
      <c r="E263" s="278"/>
      <c r="F263" s="510"/>
      <c r="G263" s="417"/>
      <c r="H263" s="281"/>
      <c r="I263" s="411"/>
      <c r="J263" s="233"/>
    </row>
    <row r="264" spans="1:10" s="208" customFormat="1" ht="15" customHeight="1" x14ac:dyDescent="0.2">
      <c r="A264" s="76"/>
      <c r="B264" s="76"/>
      <c r="C264" s="77"/>
      <c r="D264" s="77"/>
      <c r="E264" s="278"/>
      <c r="F264" s="510"/>
      <c r="G264" s="417"/>
      <c r="H264" s="281"/>
      <c r="I264" s="411"/>
      <c r="J264" s="233"/>
    </row>
    <row r="265" spans="1:10" s="208" customFormat="1" ht="15" customHeight="1" x14ac:dyDescent="0.2">
      <c r="A265" s="76"/>
      <c r="B265" s="76"/>
      <c r="C265" s="77"/>
      <c r="D265" s="77"/>
      <c r="E265" s="278"/>
      <c r="F265" s="510"/>
      <c r="G265" s="417"/>
      <c r="H265" s="281"/>
      <c r="I265" s="411"/>
      <c r="J265" s="233"/>
    </row>
    <row r="266" spans="1:10" s="208" customFormat="1" ht="15" customHeight="1" x14ac:dyDescent="0.2">
      <c r="A266" s="76"/>
      <c r="B266" s="76"/>
      <c r="C266" s="77"/>
      <c r="D266" s="77"/>
      <c r="E266" s="278"/>
      <c r="F266" s="510"/>
      <c r="G266" s="417"/>
      <c r="H266" s="281"/>
      <c r="I266" s="411"/>
      <c r="J266" s="233"/>
    </row>
    <row r="267" spans="1:10" s="208" customFormat="1" ht="15" customHeight="1" x14ac:dyDescent="0.2">
      <c r="A267" s="76"/>
      <c r="B267" s="76"/>
      <c r="C267" s="77"/>
      <c r="D267" s="77"/>
      <c r="E267" s="278"/>
      <c r="F267" s="510"/>
      <c r="G267" s="417"/>
      <c r="H267" s="281"/>
      <c r="I267" s="411"/>
      <c r="J267" s="233"/>
    </row>
    <row r="268" spans="1:10" s="208" customFormat="1" ht="15" customHeight="1" x14ac:dyDescent="0.2">
      <c r="A268" s="76"/>
      <c r="B268" s="76"/>
      <c r="C268" s="77"/>
      <c r="D268" s="77"/>
      <c r="E268" s="278"/>
      <c r="F268" s="510"/>
      <c r="G268" s="417"/>
      <c r="H268" s="281"/>
      <c r="I268" s="411"/>
      <c r="J268" s="233"/>
    </row>
    <row r="269" spans="1:10" s="208" customFormat="1" ht="15" customHeight="1" x14ac:dyDescent="0.2">
      <c r="A269" s="76"/>
      <c r="B269" s="76"/>
      <c r="C269" s="77"/>
      <c r="D269" s="77"/>
      <c r="E269" s="278"/>
      <c r="F269" s="510"/>
      <c r="G269" s="417"/>
      <c r="H269" s="281"/>
      <c r="I269" s="411"/>
      <c r="J269" s="233"/>
    </row>
    <row r="270" spans="1:10" s="208" customFormat="1" ht="15" customHeight="1" x14ac:dyDescent="0.2">
      <c r="A270" s="76"/>
      <c r="B270" s="76"/>
      <c r="C270" s="77"/>
      <c r="D270" s="77"/>
      <c r="E270" s="278"/>
      <c r="F270" s="510"/>
      <c r="G270" s="417"/>
      <c r="H270" s="281"/>
      <c r="I270" s="411"/>
      <c r="J270" s="233"/>
    </row>
    <row r="271" spans="1:10" s="208" customFormat="1" ht="15" customHeight="1" x14ac:dyDescent="0.2">
      <c r="A271" s="76"/>
      <c r="B271" s="76"/>
      <c r="C271" s="77"/>
      <c r="D271" s="77"/>
      <c r="E271" s="278"/>
      <c r="F271" s="510"/>
      <c r="G271" s="417"/>
      <c r="H271" s="281"/>
      <c r="I271" s="411"/>
      <c r="J271" s="233"/>
    </row>
    <row r="272" spans="1:10" s="208" customFormat="1" ht="15" customHeight="1" x14ac:dyDescent="0.2">
      <c r="A272" s="76"/>
      <c r="B272" s="76"/>
      <c r="C272" s="77"/>
      <c r="D272" s="77"/>
      <c r="E272" s="278"/>
      <c r="F272" s="510"/>
      <c r="G272" s="417"/>
      <c r="H272" s="281"/>
      <c r="I272" s="411"/>
      <c r="J272" s="233"/>
    </row>
    <row r="273" spans="1:10" s="208" customFormat="1" ht="15" customHeight="1" x14ac:dyDescent="0.2">
      <c r="A273" s="76"/>
      <c r="B273" s="76"/>
      <c r="C273" s="77"/>
      <c r="D273" s="77"/>
      <c r="E273" s="278"/>
      <c r="F273" s="510"/>
      <c r="G273" s="417"/>
      <c r="H273" s="281"/>
      <c r="I273" s="411"/>
      <c r="J273" s="233"/>
    </row>
    <row r="274" spans="1:10" s="208" customFormat="1" ht="15" customHeight="1" x14ac:dyDescent="0.2">
      <c r="A274" s="76"/>
      <c r="B274" s="76"/>
      <c r="C274" s="77"/>
      <c r="D274" s="77"/>
      <c r="E274" s="278"/>
      <c r="F274" s="510"/>
      <c r="G274" s="417"/>
      <c r="H274" s="281"/>
      <c r="I274" s="411"/>
      <c r="J274" s="233"/>
    </row>
    <row r="275" spans="1:10" s="208" customFormat="1" ht="15" customHeight="1" x14ac:dyDescent="0.2">
      <c r="A275" s="76"/>
      <c r="B275" s="76"/>
      <c r="C275" s="77"/>
      <c r="D275" s="77"/>
      <c r="E275" s="278"/>
      <c r="F275" s="510"/>
      <c r="G275" s="417"/>
      <c r="H275" s="281"/>
      <c r="I275" s="411"/>
      <c r="J275" s="233"/>
    </row>
    <row r="276" spans="1:10" s="208" customFormat="1" ht="15" customHeight="1" x14ac:dyDescent="0.2">
      <c r="A276" s="76"/>
      <c r="B276" s="76"/>
      <c r="C276" s="77"/>
      <c r="D276" s="77"/>
      <c r="E276" s="278"/>
      <c r="F276" s="510"/>
      <c r="G276" s="417"/>
      <c r="H276" s="281"/>
      <c r="I276" s="411"/>
      <c r="J276" s="233"/>
    </row>
    <row r="277" spans="1:10" s="208" customFormat="1" ht="15" customHeight="1" x14ac:dyDescent="0.2">
      <c r="A277" s="76"/>
      <c r="B277" s="76"/>
      <c r="C277" s="77"/>
      <c r="D277" s="77"/>
      <c r="E277" s="278"/>
      <c r="F277" s="510"/>
      <c r="G277" s="417"/>
      <c r="H277" s="281"/>
      <c r="I277" s="411"/>
      <c r="J277" s="233"/>
    </row>
    <row r="278" spans="1:10" s="208" customFormat="1" ht="15" customHeight="1" x14ac:dyDescent="0.2">
      <c r="A278" s="76"/>
      <c r="B278" s="76"/>
      <c r="C278" s="77"/>
      <c r="D278" s="77"/>
      <c r="E278" s="278"/>
      <c r="F278" s="510"/>
      <c r="G278" s="417"/>
      <c r="H278" s="281"/>
      <c r="I278" s="411"/>
      <c r="J278" s="233"/>
    </row>
    <row r="279" spans="1:10" s="208" customFormat="1" ht="15" customHeight="1" x14ac:dyDescent="0.2">
      <c r="A279" s="76"/>
      <c r="B279" s="76"/>
      <c r="C279" s="77"/>
      <c r="D279" s="77"/>
      <c r="E279" s="278"/>
      <c r="F279" s="510"/>
      <c r="G279" s="417"/>
      <c r="H279" s="281"/>
      <c r="I279" s="411"/>
      <c r="J279" s="233"/>
    </row>
    <row r="280" spans="1:10" s="208" customFormat="1" ht="15" customHeight="1" x14ac:dyDescent="0.2">
      <c r="A280" s="76"/>
      <c r="B280" s="76"/>
      <c r="C280" s="77"/>
      <c r="D280" s="77"/>
      <c r="E280" s="278"/>
      <c r="F280" s="510"/>
      <c r="G280" s="417"/>
      <c r="H280" s="281"/>
      <c r="I280" s="411"/>
      <c r="J280" s="233"/>
    </row>
    <row r="281" spans="1:10" s="208" customFormat="1" ht="15" customHeight="1" x14ac:dyDescent="0.2">
      <c r="A281" s="76"/>
      <c r="B281" s="76"/>
      <c r="C281" s="77"/>
      <c r="D281" s="77"/>
      <c r="E281" s="278"/>
      <c r="F281" s="510"/>
      <c r="G281" s="417"/>
      <c r="H281" s="281"/>
      <c r="I281" s="411"/>
      <c r="J281" s="233"/>
    </row>
    <row r="282" spans="1:10" s="208" customFormat="1" ht="15" customHeight="1" x14ac:dyDescent="0.2">
      <c r="A282" s="76"/>
      <c r="B282" s="76"/>
      <c r="C282" s="77"/>
      <c r="D282" s="77"/>
      <c r="E282" s="278"/>
      <c r="F282" s="510"/>
      <c r="G282" s="417"/>
      <c r="H282" s="281"/>
      <c r="I282" s="411"/>
      <c r="J282" s="233"/>
    </row>
    <row r="283" spans="1:10" s="208" customFormat="1" ht="15" customHeight="1" x14ac:dyDescent="0.2">
      <c r="A283" s="76"/>
      <c r="B283" s="76"/>
      <c r="C283" s="77"/>
      <c r="D283" s="77"/>
      <c r="E283" s="278"/>
      <c r="F283" s="510"/>
      <c r="G283" s="417"/>
      <c r="H283" s="281"/>
      <c r="I283" s="411"/>
      <c r="J283" s="233"/>
    </row>
    <row r="284" spans="1:10" s="208" customFormat="1" ht="15" customHeight="1" x14ac:dyDescent="0.2">
      <c r="A284" s="76"/>
      <c r="B284" s="76"/>
      <c r="C284" s="77"/>
      <c r="D284" s="77"/>
      <c r="E284" s="278"/>
      <c r="F284" s="510"/>
      <c r="G284" s="417"/>
      <c r="H284" s="281"/>
      <c r="I284" s="411"/>
      <c r="J284" s="233"/>
    </row>
    <row r="285" spans="1:10" s="208" customFormat="1" ht="15" customHeight="1" x14ac:dyDescent="0.2">
      <c r="A285" s="76"/>
      <c r="B285" s="76"/>
      <c r="C285" s="77"/>
      <c r="D285" s="77"/>
      <c r="E285" s="278"/>
      <c r="F285" s="510"/>
      <c r="G285" s="417"/>
      <c r="H285" s="281"/>
      <c r="I285" s="411"/>
      <c r="J285" s="233"/>
    </row>
    <row r="286" spans="1:10" s="208" customFormat="1" ht="15" customHeight="1" x14ac:dyDescent="0.2">
      <c r="A286" s="76"/>
      <c r="B286" s="76"/>
      <c r="C286" s="77"/>
      <c r="D286" s="77"/>
      <c r="E286" s="278"/>
      <c r="F286" s="510"/>
      <c r="G286" s="417"/>
      <c r="H286" s="281"/>
      <c r="I286" s="411"/>
      <c r="J286" s="233"/>
    </row>
    <row r="287" spans="1:10" s="208" customFormat="1" ht="15" customHeight="1" x14ac:dyDescent="0.2">
      <c r="A287" s="76"/>
      <c r="B287" s="76"/>
      <c r="C287" s="77"/>
      <c r="D287" s="77"/>
      <c r="E287" s="278"/>
      <c r="F287" s="510"/>
      <c r="G287" s="417"/>
      <c r="H287" s="281"/>
      <c r="I287" s="411"/>
      <c r="J287" s="233"/>
    </row>
    <row r="288" spans="1:10" s="208" customFormat="1" ht="15" customHeight="1" x14ac:dyDescent="0.2">
      <c r="A288" s="76"/>
      <c r="B288" s="76"/>
      <c r="C288" s="77"/>
      <c r="D288" s="77"/>
      <c r="E288" s="278"/>
      <c r="F288" s="510"/>
      <c r="G288" s="417"/>
      <c r="H288" s="281"/>
      <c r="I288" s="411"/>
      <c r="J288" s="233"/>
    </row>
    <row r="289" spans="1:10" s="208" customFormat="1" ht="15" customHeight="1" x14ac:dyDescent="0.2">
      <c r="A289" s="76"/>
      <c r="B289" s="76"/>
      <c r="C289" s="77"/>
      <c r="D289" s="77"/>
      <c r="E289" s="278"/>
      <c r="F289" s="510"/>
      <c r="G289" s="417"/>
      <c r="H289" s="281"/>
      <c r="I289" s="411"/>
      <c r="J289" s="233"/>
    </row>
    <row r="290" spans="1:10" s="208" customFormat="1" ht="15" customHeight="1" x14ac:dyDescent="0.2">
      <c r="A290" s="76"/>
      <c r="B290" s="76"/>
      <c r="C290" s="77"/>
      <c r="D290" s="77"/>
      <c r="E290" s="278"/>
      <c r="F290" s="510"/>
      <c r="G290" s="417"/>
      <c r="H290" s="281"/>
      <c r="I290" s="411"/>
      <c r="J290" s="233"/>
    </row>
    <row r="291" spans="1:10" s="208" customFormat="1" ht="15" customHeight="1" x14ac:dyDescent="0.2">
      <c r="A291" s="76"/>
      <c r="B291" s="76"/>
      <c r="C291" s="77"/>
      <c r="D291" s="77"/>
      <c r="E291" s="278"/>
      <c r="F291" s="510"/>
      <c r="G291" s="417"/>
      <c r="H291" s="281"/>
      <c r="I291" s="411"/>
      <c r="J291" s="233"/>
    </row>
    <row r="292" spans="1:10" s="208" customFormat="1" ht="15" customHeight="1" x14ac:dyDescent="0.2">
      <c r="A292" s="76"/>
      <c r="B292" s="76"/>
      <c r="C292" s="77"/>
      <c r="D292" s="77"/>
      <c r="E292" s="278"/>
      <c r="F292" s="510"/>
      <c r="G292" s="417"/>
      <c r="H292" s="281"/>
      <c r="I292" s="411"/>
      <c r="J292" s="233"/>
    </row>
    <row r="293" spans="1:10" s="208" customFormat="1" ht="15" customHeight="1" x14ac:dyDescent="0.2">
      <c r="A293" s="76"/>
      <c r="B293" s="76"/>
      <c r="C293" s="77"/>
      <c r="D293" s="77"/>
      <c r="E293" s="278"/>
      <c r="F293" s="510"/>
      <c r="G293" s="417"/>
      <c r="H293" s="281"/>
      <c r="I293" s="411"/>
      <c r="J293" s="233"/>
    </row>
    <row r="294" spans="1:10" s="208" customFormat="1" ht="15" customHeight="1" x14ac:dyDescent="0.2">
      <c r="A294" s="76"/>
      <c r="B294" s="76"/>
      <c r="C294" s="77"/>
      <c r="D294" s="77"/>
      <c r="E294" s="278"/>
      <c r="F294" s="510"/>
      <c r="G294" s="417"/>
      <c r="H294" s="281"/>
      <c r="I294" s="411"/>
      <c r="J294" s="233"/>
    </row>
    <row r="295" spans="1:10" s="208" customFormat="1" ht="15" customHeight="1" x14ac:dyDescent="0.2">
      <c r="A295" s="76"/>
      <c r="B295" s="76"/>
      <c r="C295" s="77"/>
      <c r="D295" s="77"/>
      <c r="E295" s="278"/>
      <c r="F295" s="510"/>
      <c r="G295" s="417"/>
      <c r="H295" s="281"/>
      <c r="I295" s="411"/>
      <c r="J295" s="233"/>
    </row>
    <row r="296" spans="1:10" s="208" customFormat="1" ht="15" customHeight="1" x14ac:dyDescent="0.2">
      <c r="A296" s="76"/>
      <c r="B296" s="76"/>
      <c r="C296" s="77"/>
      <c r="D296" s="77"/>
      <c r="E296" s="278"/>
      <c r="F296" s="510"/>
      <c r="G296" s="417"/>
      <c r="H296" s="281"/>
      <c r="I296" s="411"/>
      <c r="J296" s="233"/>
    </row>
    <row r="297" spans="1:10" s="208" customFormat="1" ht="15" customHeight="1" x14ac:dyDescent="0.2">
      <c r="A297" s="76"/>
      <c r="B297" s="76"/>
      <c r="C297" s="77"/>
      <c r="D297" s="77"/>
      <c r="E297" s="278"/>
      <c r="F297" s="510"/>
      <c r="G297" s="417"/>
      <c r="H297" s="281"/>
      <c r="I297" s="411"/>
      <c r="J297" s="233"/>
    </row>
    <row r="298" spans="1:10" s="208" customFormat="1" ht="15" customHeight="1" x14ac:dyDescent="0.2">
      <c r="A298" s="76"/>
      <c r="B298" s="76"/>
      <c r="C298" s="77"/>
      <c r="D298" s="77"/>
      <c r="E298" s="278"/>
      <c r="F298" s="510"/>
      <c r="G298" s="417"/>
      <c r="H298" s="281"/>
      <c r="I298" s="411"/>
      <c r="J298" s="233"/>
    </row>
    <row r="299" spans="1:10" s="208" customFormat="1" ht="15" customHeight="1" x14ac:dyDescent="0.2">
      <c r="A299" s="76"/>
      <c r="B299" s="76"/>
      <c r="C299" s="77"/>
      <c r="D299" s="77"/>
      <c r="E299" s="278"/>
      <c r="F299" s="510"/>
      <c r="G299" s="417"/>
      <c r="H299" s="281"/>
      <c r="I299" s="411"/>
      <c r="J299" s="233"/>
    </row>
    <row r="300" spans="1:10" s="208" customFormat="1" ht="15" customHeight="1" x14ac:dyDescent="0.2">
      <c r="A300" s="76"/>
      <c r="B300" s="76"/>
      <c r="C300" s="77"/>
      <c r="D300" s="77"/>
      <c r="E300" s="278"/>
      <c r="F300" s="510"/>
      <c r="G300" s="417"/>
      <c r="H300" s="281"/>
      <c r="I300" s="411"/>
      <c r="J300" s="233"/>
    </row>
    <row r="301" spans="1:10" s="208" customFormat="1" ht="15" customHeight="1" x14ac:dyDescent="0.2">
      <c r="A301" s="76"/>
      <c r="B301" s="76"/>
      <c r="C301" s="77"/>
      <c r="D301" s="77"/>
      <c r="E301" s="278"/>
      <c r="F301" s="510"/>
      <c r="G301" s="417"/>
      <c r="H301" s="281"/>
      <c r="I301" s="411"/>
      <c r="J301" s="233"/>
    </row>
    <row r="302" spans="1:10" s="208" customFormat="1" ht="15" customHeight="1" x14ac:dyDescent="0.2">
      <c r="A302" s="76"/>
      <c r="B302" s="76"/>
      <c r="C302" s="77"/>
      <c r="D302" s="77"/>
      <c r="E302" s="278"/>
      <c r="F302" s="510"/>
      <c r="G302" s="417"/>
      <c r="H302" s="281"/>
      <c r="I302" s="411"/>
      <c r="J302" s="233"/>
    </row>
    <row r="303" spans="1:10" s="208" customFormat="1" ht="15" customHeight="1" x14ac:dyDescent="0.2">
      <c r="A303" s="76"/>
      <c r="B303" s="76"/>
      <c r="C303" s="77"/>
      <c r="D303" s="77"/>
      <c r="E303" s="278"/>
      <c r="F303" s="510"/>
      <c r="G303" s="417"/>
      <c r="H303" s="281"/>
      <c r="I303" s="411"/>
      <c r="J303" s="233"/>
    </row>
    <row r="304" spans="1:10" s="208" customFormat="1" ht="15" customHeight="1" x14ac:dyDescent="0.2">
      <c r="A304" s="76"/>
      <c r="B304" s="76"/>
      <c r="C304" s="77"/>
      <c r="D304" s="77"/>
      <c r="E304" s="278"/>
      <c r="F304" s="510"/>
      <c r="G304" s="417"/>
      <c r="H304" s="281"/>
      <c r="I304" s="411"/>
      <c r="J304" s="233"/>
    </row>
    <row r="305" spans="1:10" s="208" customFormat="1" ht="15" customHeight="1" x14ac:dyDescent="0.2">
      <c r="A305" s="76"/>
      <c r="B305" s="76"/>
      <c r="C305" s="77"/>
      <c r="D305" s="77"/>
      <c r="E305" s="278"/>
      <c r="F305" s="510"/>
      <c r="G305" s="417"/>
      <c r="H305" s="281"/>
      <c r="I305" s="411"/>
      <c r="J305" s="233"/>
    </row>
    <row r="306" spans="1:10" s="208" customFormat="1" ht="15" customHeight="1" x14ac:dyDescent="0.2">
      <c r="A306" s="76"/>
      <c r="B306" s="76"/>
      <c r="C306" s="77"/>
      <c r="D306" s="77"/>
      <c r="E306" s="278"/>
      <c r="F306" s="510"/>
      <c r="G306" s="417"/>
      <c r="H306" s="281"/>
      <c r="I306" s="411"/>
      <c r="J306" s="233"/>
    </row>
    <row r="307" spans="1:10" s="208" customFormat="1" ht="15" customHeight="1" x14ac:dyDescent="0.2">
      <c r="A307" s="76"/>
      <c r="B307" s="76"/>
      <c r="C307" s="77"/>
      <c r="D307" s="77"/>
      <c r="E307" s="278"/>
      <c r="F307" s="510"/>
      <c r="G307" s="417"/>
      <c r="H307" s="281"/>
      <c r="I307" s="411"/>
      <c r="J307" s="233"/>
    </row>
    <row r="308" spans="1:10" s="208" customFormat="1" ht="15" customHeight="1" x14ac:dyDescent="0.2">
      <c r="A308" s="76"/>
      <c r="B308" s="76"/>
      <c r="C308" s="77"/>
      <c r="D308" s="77"/>
      <c r="E308" s="278"/>
      <c r="F308" s="510"/>
      <c r="G308" s="417"/>
      <c r="H308" s="281"/>
      <c r="I308" s="411"/>
      <c r="J308" s="233"/>
    </row>
    <row r="309" spans="1:10" s="208" customFormat="1" ht="15" customHeight="1" x14ac:dyDescent="0.2">
      <c r="A309" s="76"/>
      <c r="B309" s="76"/>
      <c r="C309" s="77"/>
      <c r="D309" s="77"/>
      <c r="E309" s="278"/>
      <c r="F309" s="510"/>
      <c r="G309" s="417"/>
      <c r="H309" s="281"/>
      <c r="I309" s="411"/>
      <c r="J309" s="233"/>
    </row>
    <row r="310" spans="1:10" s="208" customFormat="1" ht="15" customHeight="1" x14ac:dyDescent="0.2">
      <c r="A310" s="76"/>
      <c r="B310" s="76"/>
      <c r="C310" s="77"/>
      <c r="D310" s="77"/>
      <c r="E310" s="278"/>
      <c r="F310" s="510"/>
      <c r="G310" s="417"/>
      <c r="H310" s="281"/>
      <c r="I310" s="411"/>
      <c r="J310" s="233"/>
    </row>
    <row r="311" spans="1:10" s="208" customFormat="1" ht="15" customHeight="1" x14ac:dyDescent="0.2">
      <c r="A311" s="76"/>
      <c r="B311" s="76"/>
      <c r="C311" s="77"/>
      <c r="D311" s="77"/>
      <c r="E311" s="278"/>
      <c r="F311" s="510"/>
      <c r="G311" s="417"/>
      <c r="H311" s="281"/>
      <c r="I311" s="411"/>
      <c r="J311" s="233"/>
    </row>
    <row r="312" spans="1:10" s="208" customFormat="1" ht="15" customHeight="1" x14ac:dyDescent="0.2">
      <c r="A312" s="76"/>
      <c r="B312" s="76"/>
      <c r="C312" s="77"/>
      <c r="D312" s="77"/>
      <c r="E312" s="278"/>
      <c r="F312" s="510"/>
      <c r="G312" s="417"/>
      <c r="H312" s="281"/>
      <c r="I312" s="411"/>
      <c r="J312" s="233"/>
    </row>
    <row r="313" spans="1:10" s="208" customFormat="1" ht="15" customHeight="1" x14ac:dyDescent="0.2">
      <c r="A313" s="76"/>
      <c r="B313" s="76"/>
      <c r="C313" s="77"/>
      <c r="D313" s="77"/>
      <c r="E313" s="278"/>
      <c r="F313" s="510"/>
      <c r="G313" s="417"/>
      <c r="H313" s="281"/>
      <c r="I313" s="411"/>
      <c r="J313" s="233"/>
    </row>
    <row r="314" spans="1:10" s="208" customFormat="1" ht="15" customHeight="1" x14ac:dyDescent="0.2">
      <c r="A314" s="76"/>
      <c r="B314" s="76"/>
      <c r="C314" s="77"/>
      <c r="D314" s="77"/>
      <c r="E314" s="278"/>
      <c r="F314" s="510"/>
      <c r="G314" s="417"/>
      <c r="H314" s="281"/>
      <c r="I314" s="411"/>
      <c r="J314" s="233"/>
    </row>
    <row r="315" spans="1:10" s="208" customFormat="1" ht="15" customHeight="1" x14ac:dyDescent="0.2">
      <c r="A315" s="76"/>
      <c r="B315" s="76"/>
      <c r="C315" s="77"/>
      <c r="D315" s="77"/>
      <c r="E315" s="278"/>
      <c r="F315" s="510"/>
      <c r="G315" s="417"/>
      <c r="H315" s="281"/>
      <c r="I315" s="411"/>
      <c r="J315" s="233"/>
    </row>
    <row r="316" spans="1:10" s="208" customFormat="1" ht="15" customHeight="1" x14ac:dyDescent="0.2">
      <c r="A316" s="76"/>
      <c r="B316" s="76"/>
      <c r="C316" s="77"/>
      <c r="D316" s="77"/>
      <c r="E316" s="278"/>
      <c r="F316" s="510"/>
      <c r="G316" s="417"/>
      <c r="H316" s="281"/>
      <c r="I316" s="411"/>
      <c r="J316" s="233"/>
    </row>
    <row r="317" spans="1:10" s="208" customFormat="1" ht="15" customHeight="1" x14ac:dyDescent="0.2">
      <c r="A317" s="76"/>
      <c r="B317" s="76"/>
      <c r="C317" s="77"/>
      <c r="D317" s="77"/>
      <c r="E317" s="278"/>
      <c r="F317" s="510"/>
      <c r="G317" s="417"/>
      <c r="H317" s="281"/>
      <c r="I317" s="411"/>
      <c r="J317" s="233"/>
    </row>
    <row r="318" spans="1:10" s="208" customFormat="1" ht="15" customHeight="1" x14ac:dyDescent="0.2">
      <c r="A318" s="76"/>
      <c r="B318" s="76"/>
      <c r="C318" s="77"/>
      <c r="D318" s="77"/>
      <c r="E318" s="278"/>
      <c r="F318" s="510"/>
      <c r="G318" s="417"/>
      <c r="H318" s="281"/>
      <c r="I318" s="411"/>
      <c r="J318" s="233"/>
    </row>
    <row r="319" spans="1:10" s="208" customFormat="1" ht="15" customHeight="1" x14ac:dyDescent="0.2">
      <c r="A319" s="76"/>
      <c r="B319" s="76"/>
      <c r="C319" s="77"/>
      <c r="D319" s="77"/>
      <c r="E319" s="278"/>
      <c r="F319" s="510"/>
      <c r="G319" s="417"/>
      <c r="H319" s="281"/>
      <c r="I319" s="411"/>
      <c r="J319" s="233"/>
    </row>
    <row r="320" spans="1:10" s="208" customFormat="1" ht="15" customHeight="1" x14ac:dyDescent="0.2">
      <c r="A320" s="76"/>
      <c r="B320" s="76"/>
      <c r="C320" s="77"/>
      <c r="D320" s="77"/>
      <c r="E320" s="278"/>
      <c r="F320" s="510"/>
      <c r="G320" s="417"/>
      <c r="H320" s="281"/>
      <c r="I320" s="411"/>
      <c r="J320" s="233"/>
    </row>
    <row r="321" spans="1:10" s="208" customFormat="1" ht="15" customHeight="1" x14ac:dyDescent="0.2">
      <c r="A321" s="76"/>
      <c r="B321" s="76"/>
      <c r="C321" s="77"/>
      <c r="D321" s="77"/>
      <c r="E321" s="278"/>
      <c r="F321" s="510"/>
      <c r="G321" s="417"/>
      <c r="H321" s="281"/>
      <c r="I321" s="411"/>
      <c r="J321" s="233"/>
    </row>
    <row r="322" spans="1:10" s="208" customFormat="1" ht="15" customHeight="1" x14ac:dyDescent="0.2">
      <c r="A322" s="76"/>
      <c r="B322" s="76"/>
      <c r="C322" s="77"/>
      <c r="D322" s="77"/>
      <c r="E322" s="278"/>
      <c r="F322" s="510"/>
      <c r="G322" s="417"/>
      <c r="H322" s="281"/>
      <c r="I322" s="411"/>
      <c r="J322" s="233"/>
    </row>
    <row r="323" spans="1:10" s="208" customFormat="1" ht="15" customHeight="1" x14ac:dyDescent="0.2">
      <c r="A323" s="76"/>
      <c r="B323" s="76"/>
      <c r="C323" s="77"/>
      <c r="D323" s="77"/>
      <c r="E323" s="278"/>
      <c r="F323" s="510"/>
      <c r="G323" s="417"/>
      <c r="H323" s="281"/>
      <c r="I323" s="411"/>
      <c r="J323" s="233"/>
    </row>
    <row r="324" spans="1:10" s="208" customFormat="1" ht="15" customHeight="1" x14ac:dyDescent="0.2">
      <c r="A324" s="76"/>
      <c r="B324" s="76"/>
      <c r="C324" s="77"/>
      <c r="D324" s="77"/>
      <c r="E324" s="278"/>
      <c r="F324" s="510"/>
      <c r="G324" s="417"/>
      <c r="H324" s="281"/>
      <c r="I324" s="411"/>
      <c r="J324" s="233"/>
    </row>
    <row r="325" spans="1:10" s="208" customFormat="1" ht="15" customHeight="1" x14ac:dyDescent="0.2">
      <c r="A325" s="76"/>
      <c r="B325" s="76"/>
      <c r="C325" s="77"/>
      <c r="D325" s="77"/>
      <c r="E325" s="278"/>
      <c r="F325" s="510"/>
      <c r="G325" s="417"/>
      <c r="H325" s="281"/>
      <c r="I325" s="411"/>
      <c r="J325" s="233"/>
    </row>
    <row r="326" spans="1:10" s="208" customFormat="1" ht="15" customHeight="1" x14ac:dyDescent="0.2">
      <c r="A326" s="76"/>
      <c r="B326" s="76"/>
      <c r="C326" s="77"/>
      <c r="D326" s="77"/>
      <c r="E326" s="278"/>
      <c r="F326" s="510"/>
      <c r="G326" s="417"/>
      <c r="H326" s="281"/>
      <c r="I326" s="411"/>
      <c r="J326" s="233"/>
    </row>
    <row r="327" spans="1:10" s="208" customFormat="1" ht="15" customHeight="1" x14ac:dyDescent="0.2">
      <c r="A327" s="76"/>
      <c r="B327" s="76"/>
      <c r="C327" s="77"/>
      <c r="D327" s="77"/>
      <c r="E327" s="278"/>
      <c r="F327" s="510"/>
      <c r="G327" s="417"/>
      <c r="H327" s="281"/>
      <c r="I327" s="411"/>
      <c r="J327" s="233"/>
    </row>
    <row r="328" spans="1:10" s="208" customFormat="1" ht="15" customHeight="1" x14ac:dyDescent="0.2">
      <c r="A328" s="76"/>
      <c r="B328" s="76"/>
      <c r="C328" s="77"/>
      <c r="D328" s="77"/>
      <c r="E328" s="278"/>
      <c r="F328" s="510"/>
      <c r="G328" s="417"/>
      <c r="H328" s="281"/>
      <c r="I328" s="411"/>
      <c r="J328" s="233"/>
    </row>
    <row r="329" spans="1:10" s="208" customFormat="1" ht="15" customHeight="1" x14ac:dyDescent="0.2">
      <c r="A329" s="76"/>
      <c r="B329" s="76"/>
      <c r="C329" s="77"/>
      <c r="D329" s="77"/>
      <c r="E329" s="278"/>
      <c r="F329" s="510"/>
      <c r="G329" s="417"/>
      <c r="H329" s="281"/>
      <c r="I329" s="411"/>
      <c r="J329" s="233"/>
    </row>
    <row r="330" spans="1:10" s="208" customFormat="1" ht="15" customHeight="1" x14ac:dyDescent="0.2">
      <c r="A330" s="76"/>
      <c r="B330" s="76"/>
      <c r="C330" s="77"/>
      <c r="D330" s="77"/>
      <c r="E330" s="278"/>
      <c r="F330" s="510"/>
      <c r="G330" s="417"/>
      <c r="H330" s="281"/>
      <c r="I330" s="411"/>
      <c r="J330" s="233"/>
    </row>
    <row r="331" spans="1:10" s="208" customFormat="1" ht="15" customHeight="1" x14ac:dyDescent="0.2">
      <c r="A331" s="76"/>
      <c r="B331" s="76"/>
      <c r="C331" s="77"/>
      <c r="D331" s="77"/>
      <c r="E331" s="278"/>
      <c r="F331" s="510"/>
      <c r="G331" s="417"/>
      <c r="H331" s="281"/>
      <c r="I331" s="411"/>
      <c r="J331" s="233"/>
    </row>
    <row r="332" spans="1:10" s="208" customFormat="1" ht="15" customHeight="1" x14ac:dyDescent="0.2">
      <c r="A332" s="76"/>
      <c r="B332" s="76"/>
      <c r="C332" s="77"/>
      <c r="D332" s="77"/>
      <c r="E332" s="278"/>
      <c r="F332" s="510"/>
      <c r="G332" s="417"/>
      <c r="H332" s="281"/>
      <c r="I332" s="411"/>
      <c r="J332" s="233"/>
    </row>
    <row r="333" spans="1:10" s="208" customFormat="1" ht="15" customHeight="1" x14ac:dyDescent="0.2">
      <c r="A333" s="76"/>
      <c r="B333" s="76"/>
      <c r="C333" s="77"/>
      <c r="D333" s="77"/>
      <c r="E333" s="278"/>
      <c r="F333" s="510"/>
      <c r="G333" s="417"/>
      <c r="H333" s="281"/>
      <c r="I333" s="411"/>
      <c r="J333" s="233"/>
    </row>
    <row r="334" spans="1:10" s="208" customFormat="1" ht="15" customHeight="1" x14ac:dyDescent="0.2">
      <c r="A334" s="76"/>
      <c r="B334" s="76"/>
      <c r="C334" s="77"/>
      <c r="D334" s="77"/>
      <c r="E334" s="278"/>
      <c r="F334" s="510"/>
      <c r="G334" s="417"/>
      <c r="H334" s="281"/>
      <c r="I334" s="411"/>
      <c r="J334" s="233"/>
    </row>
    <row r="335" spans="1:10" s="208" customFormat="1" ht="15" customHeight="1" x14ac:dyDescent="0.2">
      <c r="A335" s="76"/>
      <c r="B335" s="76"/>
      <c r="C335" s="77"/>
      <c r="D335" s="77"/>
      <c r="E335" s="278"/>
      <c r="F335" s="510"/>
      <c r="G335" s="417"/>
      <c r="H335" s="281"/>
      <c r="I335" s="411"/>
      <c r="J335" s="233"/>
    </row>
    <row r="336" spans="1:10" s="208" customFormat="1" ht="15" customHeight="1" x14ac:dyDescent="0.2">
      <c r="A336" s="76"/>
      <c r="B336" s="76"/>
      <c r="C336" s="77"/>
      <c r="D336" s="77"/>
      <c r="E336" s="278"/>
      <c r="F336" s="510"/>
      <c r="G336" s="417"/>
      <c r="H336" s="281"/>
      <c r="I336" s="411"/>
      <c r="J336" s="233"/>
    </row>
    <row r="337" spans="1:10" s="208" customFormat="1" ht="15" customHeight="1" x14ac:dyDescent="0.2">
      <c r="A337" s="76"/>
      <c r="B337" s="76"/>
      <c r="C337" s="77"/>
      <c r="D337" s="77"/>
      <c r="E337" s="278"/>
      <c r="F337" s="510"/>
      <c r="G337" s="417"/>
      <c r="H337" s="281"/>
      <c r="I337" s="411"/>
      <c r="J337" s="233"/>
    </row>
    <row r="338" spans="1:10" s="208" customFormat="1" ht="15" customHeight="1" x14ac:dyDescent="0.2">
      <c r="A338" s="76"/>
      <c r="B338" s="76"/>
      <c r="C338" s="77"/>
      <c r="D338" s="77"/>
      <c r="E338" s="278"/>
      <c r="F338" s="510"/>
      <c r="G338" s="417"/>
      <c r="H338" s="281"/>
      <c r="I338" s="411"/>
      <c r="J338" s="233"/>
    </row>
    <row r="339" spans="1:10" s="208" customFormat="1" ht="15" customHeight="1" x14ac:dyDescent="0.2">
      <c r="A339" s="76"/>
      <c r="B339" s="76"/>
      <c r="C339" s="77"/>
      <c r="D339" s="77"/>
      <c r="E339" s="278"/>
      <c r="F339" s="510"/>
      <c r="G339" s="417"/>
      <c r="H339" s="281"/>
      <c r="I339" s="411"/>
      <c r="J339" s="233"/>
    </row>
    <row r="340" spans="1:10" s="208" customFormat="1" ht="15" customHeight="1" x14ac:dyDescent="0.2">
      <c r="A340" s="76"/>
      <c r="B340" s="76"/>
      <c r="C340" s="77"/>
      <c r="D340" s="77"/>
      <c r="E340" s="278"/>
      <c r="F340" s="510"/>
      <c r="G340" s="417"/>
      <c r="H340" s="281"/>
      <c r="I340" s="411"/>
      <c r="J340" s="233"/>
    </row>
    <row r="341" spans="1:10" s="208" customFormat="1" ht="15" customHeight="1" x14ac:dyDescent="0.2">
      <c r="A341" s="76"/>
      <c r="B341" s="76"/>
      <c r="C341" s="77"/>
      <c r="D341" s="77"/>
      <c r="E341" s="278"/>
      <c r="F341" s="510"/>
      <c r="G341" s="417"/>
      <c r="H341" s="281"/>
      <c r="I341" s="411"/>
      <c r="J341" s="233"/>
    </row>
    <row r="342" spans="1:10" s="208" customFormat="1" ht="15" customHeight="1" x14ac:dyDescent="0.2">
      <c r="A342" s="76"/>
      <c r="B342" s="76"/>
      <c r="C342" s="77"/>
      <c r="D342" s="77"/>
      <c r="E342" s="278"/>
      <c r="F342" s="510"/>
      <c r="G342" s="417"/>
      <c r="H342" s="281"/>
      <c r="I342" s="411"/>
      <c r="J342" s="233"/>
    </row>
    <row r="343" spans="1:10" s="208" customFormat="1" ht="15" customHeight="1" x14ac:dyDescent="0.2">
      <c r="A343" s="76"/>
      <c r="B343" s="76"/>
      <c r="C343" s="77"/>
      <c r="D343" s="77"/>
      <c r="E343" s="278"/>
      <c r="F343" s="510"/>
      <c r="G343" s="417"/>
      <c r="H343" s="281"/>
      <c r="I343" s="411"/>
      <c r="J343" s="233"/>
    </row>
    <row r="344" spans="1:10" s="208" customFormat="1" ht="15" customHeight="1" x14ac:dyDescent="0.2">
      <c r="A344" s="76"/>
      <c r="B344" s="76"/>
      <c r="C344" s="77"/>
      <c r="D344" s="77"/>
      <c r="E344" s="278"/>
      <c r="F344" s="510"/>
      <c r="G344" s="417"/>
      <c r="H344" s="281"/>
      <c r="I344" s="411"/>
      <c r="J344" s="233"/>
    </row>
    <row r="345" spans="1:10" s="208" customFormat="1" ht="15" customHeight="1" x14ac:dyDescent="0.2">
      <c r="A345" s="76"/>
      <c r="B345" s="76"/>
      <c r="C345" s="77"/>
      <c r="D345" s="77"/>
      <c r="E345" s="278"/>
      <c r="F345" s="510"/>
      <c r="G345" s="417"/>
      <c r="H345" s="281"/>
      <c r="I345" s="411"/>
      <c r="J345" s="233"/>
    </row>
    <row r="346" spans="1:10" s="208" customFormat="1" ht="15" customHeight="1" x14ac:dyDescent="0.2">
      <c r="A346" s="76"/>
      <c r="B346" s="76"/>
      <c r="C346" s="77"/>
      <c r="D346" s="77"/>
      <c r="E346" s="278"/>
      <c r="F346" s="510"/>
      <c r="G346" s="417"/>
      <c r="H346" s="281"/>
      <c r="I346" s="411"/>
      <c r="J346" s="233"/>
    </row>
    <row r="347" spans="1:10" s="208" customFormat="1" ht="15" customHeight="1" x14ac:dyDescent="0.2">
      <c r="A347" s="76"/>
      <c r="B347" s="76"/>
      <c r="C347" s="77"/>
      <c r="D347" s="77"/>
      <c r="E347" s="278"/>
      <c r="F347" s="510"/>
      <c r="G347" s="417"/>
      <c r="H347" s="281"/>
      <c r="I347" s="411"/>
      <c r="J347" s="233"/>
    </row>
    <row r="348" spans="1:10" s="208" customFormat="1" ht="15" customHeight="1" x14ac:dyDescent="0.2">
      <c r="A348" s="76"/>
      <c r="B348" s="76"/>
      <c r="C348" s="77"/>
      <c r="D348" s="77"/>
      <c r="E348" s="278"/>
      <c r="F348" s="510"/>
      <c r="G348" s="417"/>
      <c r="H348" s="281"/>
      <c r="I348" s="411"/>
      <c r="J348" s="233"/>
    </row>
    <row r="349" spans="1:10" s="208" customFormat="1" ht="15" customHeight="1" x14ac:dyDescent="0.2">
      <c r="A349" s="76"/>
      <c r="B349" s="76"/>
      <c r="C349" s="77"/>
      <c r="D349" s="77"/>
      <c r="E349" s="278"/>
      <c r="F349" s="510"/>
      <c r="G349" s="417"/>
      <c r="H349" s="281"/>
      <c r="I349" s="411"/>
      <c r="J349" s="233"/>
    </row>
    <row r="350" spans="1:10" s="208" customFormat="1" ht="15" customHeight="1" x14ac:dyDescent="0.2">
      <c r="A350" s="76"/>
      <c r="B350" s="76"/>
      <c r="C350" s="77"/>
      <c r="D350" s="77"/>
      <c r="E350" s="278"/>
      <c r="F350" s="510"/>
      <c r="G350" s="417"/>
      <c r="H350" s="281"/>
      <c r="I350" s="411"/>
      <c r="J350" s="233"/>
    </row>
    <row r="351" spans="1:10" s="208" customFormat="1" ht="15" customHeight="1" x14ac:dyDescent="0.2">
      <c r="A351" s="76"/>
      <c r="B351" s="76"/>
      <c r="C351" s="77"/>
      <c r="D351" s="77"/>
      <c r="E351" s="278"/>
      <c r="F351" s="510"/>
      <c r="G351" s="417"/>
      <c r="H351" s="281"/>
      <c r="I351" s="411"/>
      <c r="J351" s="233"/>
    </row>
    <row r="352" spans="1:10" s="208" customFormat="1" ht="15" customHeight="1" x14ac:dyDescent="0.2">
      <c r="A352" s="76"/>
      <c r="B352" s="76"/>
      <c r="C352" s="77"/>
      <c r="D352" s="77"/>
      <c r="E352" s="278"/>
      <c r="F352" s="510"/>
      <c r="G352" s="417"/>
      <c r="H352" s="281"/>
      <c r="I352" s="411"/>
      <c r="J352" s="233"/>
    </row>
    <row r="353" spans="1:10" s="208" customFormat="1" ht="15" customHeight="1" x14ac:dyDescent="0.2">
      <c r="A353" s="76"/>
      <c r="B353" s="76"/>
      <c r="C353" s="77"/>
      <c r="D353" s="77"/>
      <c r="E353" s="278"/>
      <c r="F353" s="510"/>
      <c r="G353" s="417"/>
      <c r="H353" s="281"/>
      <c r="I353" s="411"/>
      <c r="J353" s="233"/>
    </row>
    <row r="354" spans="1:10" s="208" customFormat="1" ht="15" customHeight="1" x14ac:dyDescent="0.2">
      <c r="A354" s="76"/>
      <c r="B354" s="76"/>
      <c r="C354" s="77"/>
      <c r="D354" s="77"/>
      <c r="E354" s="278"/>
      <c r="F354" s="510"/>
      <c r="G354" s="417"/>
      <c r="H354" s="281"/>
      <c r="I354" s="411"/>
      <c r="J354" s="233"/>
    </row>
    <row r="355" spans="1:10" s="208" customFormat="1" ht="15" customHeight="1" x14ac:dyDescent="0.2">
      <c r="A355" s="76"/>
      <c r="B355" s="76"/>
      <c r="C355" s="77"/>
      <c r="D355" s="77"/>
      <c r="E355" s="278"/>
      <c r="F355" s="510"/>
      <c r="G355" s="417"/>
      <c r="H355" s="281"/>
      <c r="I355" s="411"/>
      <c r="J355" s="233"/>
    </row>
    <row r="356" spans="1:10" s="208" customFormat="1" ht="15" customHeight="1" x14ac:dyDescent="0.2">
      <c r="A356" s="76"/>
      <c r="B356" s="76"/>
      <c r="C356" s="77"/>
      <c r="D356" s="77"/>
      <c r="E356" s="278"/>
      <c r="F356" s="510"/>
      <c r="G356" s="417"/>
      <c r="H356" s="281"/>
      <c r="I356" s="411"/>
      <c r="J356" s="233"/>
    </row>
    <row r="357" spans="1:10" s="208" customFormat="1" ht="15" customHeight="1" x14ac:dyDescent="0.2">
      <c r="A357" s="76"/>
      <c r="B357" s="76"/>
      <c r="C357" s="77"/>
      <c r="D357" s="77"/>
      <c r="E357" s="278"/>
      <c r="F357" s="510"/>
      <c r="G357" s="417"/>
      <c r="H357" s="281"/>
      <c r="I357" s="411"/>
      <c r="J357" s="233"/>
    </row>
    <row r="358" spans="1:10" s="208" customFormat="1" ht="15" customHeight="1" x14ac:dyDescent="0.2">
      <c r="A358" s="76"/>
      <c r="B358" s="76"/>
      <c r="C358" s="77"/>
      <c r="D358" s="77"/>
      <c r="E358" s="278"/>
      <c r="F358" s="510"/>
      <c r="G358" s="417"/>
      <c r="H358" s="281"/>
      <c r="I358" s="411"/>
      <c r="J358" s="233"/>
    </row>
    <row r="359" spans="1:10" s="208" customFormat="1" ht="15" customHeight="1" x14ac:dyDescent="0.2">
      <c r="A359" s="76"/>
      <c r="B359" s="76"/>
      <c r="C359" s="77"/>
      <c r="D359" s="77"/>
      <c r="E359" s="278"/>
      <c r="F359" s="510"/>
      <c r="G359" s="417"/>
      <c r="H359" s="281"/>
      <c r="I359" s="411"/>
      <c r="J359" s="233"/>
    </row>
    <row r="360" spans="1:10" s="208" customFormat="1" ht="15" customHeight="1" x14ac:dyDescent="0.2">
      <c r="A360" s="76"/>
      <c r="B360" s="76"/>
      <c r="C360" s="77"/>
      <c r="D360" s="77"/>
      <c r="E360" s="278"/>
      <c r="F360" s="510"/>
      <c r="G360" s="417"/>
      <c r="H360" s="281"/>
      <c r="I360" s="411"/>
      <c r="J360" s="233"/>
    </row>
    <row r="361" spans="1:10" s="208" customFormat="1" ht="15" customHeight="1" x14ac:dyDescent="0.2">
      <c r="A361" s="76"/>
      <c r="B361" s="76"/>
      <c r="C361" s="77"/>
      <c r="D361" s="77"/>
      <c r="E361" s="278"/>
      <c r="F361" s="510"/>
      <c r="G361" s="417"/>
      <c r="H361" s="281"/>
      <c r="I361" s="411"/>
      <c r="J361" s="233"/>
    </row>
    <row r="362" spans="1:10" s="208" customFormat="1" ht="15" customHeight="1" x14ac:dyDescent="0.2">
      <c r="A362" s="76"/>
      <c r="B362" s="76"/>
      <c r="C362" s="77"/>
      <c r="D362" s="77"/>
      <c r="E362" s="278"/>
      <c r="F362" s="510"/>
      <c r="G362" s="417"/>
      <c r="H362" s="281"/>
      <c r="I362" s="411"/>
      <c r="J362" s="233"/>
    </row>
    <row r="363" spans="1:10" s="208" customFormat="1" ht="15" customHeight="1" x14ac:dyDescent="0.2">
      <c r="A363" s="76"/>
      <c r="B363" s="76"/>
      <c r="C363" s="77"/>
      <c r="D363" s="77"/>
      <c r="E363" s="278"/>
      <c r="F363" s="510"/>
      <c r="G363" s="417"/>
      <c r="H363" s="281"/>
      <c r="I363" s="411"/>
      <c r="J363" s="233"/>
    </row>
    <row r="364" spans="1:10" s="208" customFormat="1" ht="15" customHeight="1" x14ac:dyDescent="0.2">
      <c r="A364" s="76"/>
      <c r="B364" s="76"/>
      <c r="C364" s="77"/>
      <c r="D364" s="77"/>
      <c r="E364" s="278"/>
      <c r="F364" s="510"/>
      <c r="G364" s="417"/>
      <c r="H364" s="281"/>
      <c r="I364" s="411"/>
      <c r="J364" s="233"/>
    </row>
    <row r="365" spans="1:10" s="208" customFormat="1" ht="15" customHeight="1" x14ac:dyDescent="0.2">
      <c r="A365" s="76"/>
      <c r="B365" s="76"/>
      <c r="C365" s="77"/>
      <c r="D365" s="77"/>
      <c r="E365" s="278"/>
      <c r="F365" s="510"/>
      <c r="G365" s="417"/>
      <c r="H365" s="281"/>
      <c r="I365" s="411"/>
      <c r="J365" s="233"/>
    </row>
    <row r="366" spans="1:10" s="208" customFormat="1" ht="15" customHeight="1" x14ac:dyDescent="0.2">
      <c r="A366" s="76"/>
      <c r="B366" s="76"/>
      <c r="C366" s="77"/>
      <c r="D366" s="77"/>
      <c r="E366" s="278"/>
      <c r="F366" s="510"/>
      <c r="G366" s="417"/>
      <c r="H366" s="281"/>
      <c r="I366" s="411"/>
      <c r="J366" s="233"/>
    </row>
    <row r="367" spans="1:10" s="208" customFormat="1" ht="15" customHeight="1" x14ac:dyDescent="0.2">
      <c r="A367" s="76"/>
      <c r="B367" s="76"/>
      <c r="C367" s="77"/>
      <c r="D367" s="77"/>
      <c r="E367" s="278"/>
      <c r="F367" s="510"/>
      <c r="G367" s="417"/>
      <c r="H367" s="281"/>
      <c r="I367" s="411"/>
      <c r="J367" s="233"/>
    </row>
    <row r="368" spans="1:10" s="208" customFormat="1" ht="15" customHeight="1" x14ac:dyDescent="0.2">
      <c r="A368" s="76"/>
      <c r="B368" s="76"/>
      <c r="C368" s="77"/>
      <c r="D368" s="77"/>
      <c r="E368" s="278"/>
      <c r="F368" s="510"/>
      <c r="G368" s="417"/>
      <c r="H368" s="281"/>
      <c r="I368" s="411"/>
      <c r="J368" s="233"/>
    </row>
    <row r="369" spans="1:10" s="208" customFormat="1" ht="15" customHeight="1" x14ac:dyDescent="0.2">
      <c r="A369" s="76"/>
      <c r="B369" s="76"/>
      <c r="C369" s="77"/>
      <c r="D369" s="77"/>
      <c r="E369" s="278"/>
      <c r="F369" s="510"/>
      <c r="G369" s="417"/>
      <c r="H369" s="281"/>
      <c r="I369" s="411"/>
      <c r="J369" s="233"/>
    </row>
    <row r="370" spans="1:10" s="208" customFormat="1" ht="15" customHeight="1" x14ac:dyDescent="0.2">
      <c r="A370" s="76"/>
      <c r="B370" s="76"/>
      <c r="C370" s="77"/>
      <c r="D370" s="77"/>
      <c r="E370" s="278"/>
      <c r="F370" s="510"/>
      <c r="G370" s="417"/>
      <c r="H370" s="281"/>
      <c r="I370" s="411"/>
      <c r="J370" s="233"/>
    </row>
    <row r="371" spans="1:10" s="208" customFormat="1" ht="15" customHeight="1" x14ac:dyDescent="0.2">
      <c r="A371" s="76"/>
      <c r="B371" s="76"/>
      <c r="C371" s="77"/>
      <c r="D371" s="77"/>
      <c r="E371" s="278"/>
      <c r="F371" s="510"/>
      <c r="G371" s="417"/>
      <c r="H371" s="281"/>
      <c r="I371" s="411"/>
      <c r="J371" s="233"/>
    </row>
    <row r="372" spans="1:10" s="208" customFormat="1" ht="15" customHeight="1" x14ac:dyDescent="0.2">
      <c r="A372" s="76"/>
      <c r="B372" s="76"/>
      <c r="C372" s="77"/>
      <c r="D372" s="77"/>
      <c r="E372" s="278"/>
      <c r="F372" s="510"/>
      <c r="G372" s="417"/>
      <c r="H372" s="281"/>
      <c r="I372" s="411"/>
      <c r="J372" s="233"/>
    </row>
    <row r="373" spans="1:10" s="208" customFormat="1" ht="15" customHeight="1" x14ac:dyDescent="0.2">
      <c r="A373" s="76"/>
      <c r="B373" s="76"/>
      <c r="C373" s="77"/>
      <c r="D373" s="77"/>
      <c r="E373" s="278"/>
      <c r="F373" s="510"/>
      <c r="G373" s="417"/>
      <c r="H373" s="281"/>
      <c r="I373" s="411"/>
      <c r="J373" s="233"/>
    </row>
    <row r="374" spans="1:10" s="208" customFormat="1" ht="15" customHeight="1" x14ac:dyDescent="0.2">
      <c r="A374" s="76"/>
      <c r="B374" s="76"/>
      <c r="C374" s="77"/>
      <c r="D374" s="77"/>
      <c r="E374" s="278"/>
      <c r="F374" s="510"/>
      <c r="G374" s="417"/>
      <c r="H374" s="281"/>
      <c r="I374" s="411"/>
      <c r="J374" s="233"/>
    </row>
    <row r="375" spans="1:10" s="208" customFormat="1" ht="15" customHeight="1" x14ac:dyDescent="0.2">
      <c r="A375" s="76"/>
      <c r="B375" s="76"/>
      <c r="C375" s="77"/>
      <c r="D375" s="77"/>
      <c r="E375" s="278"/>
      <c r="F375" s="510"/>
      <c r="G375" s="417"/>
      <c r="H375" s="281"/>
      <c r="I375" s="411"/>
      <c r="J375" s="233"/>
    </row>
    <row r="376" spans="1:10" s="208" customFormat="1" ht="15" customHeight="1" x14ac:dyDescent="0.2">
      <c r="A376" s="76"/>
      <c r="B376" s="76"/>
      <c r="C376" s="77"/>
      <c r="D376" s="77"/>
      <c r="E376" s="278"/>
      <c r="F376" s="510"/>
      <c r="G376" s="417"/>
      <c r="H376" s="281"/>
      <c r="I376" s="411"/>
      <c r="J376" s="233"/>
    </row>
    <row r="377" spans="1:10" s="208" customFormat="1" ht="15" customHeight="1" x14ac:dyDescent="0.2">
      <c r="A377" s="76"/>
      <c r="B377" s="76"/>
      <c r="C377" s="77"/>
      <c r="D377" s="77"/>
      <c r="E377" s="278"/>
      <c r="F377" s="510"/>
      <c r="G377" s="417"/>
      <c r="H377" s="281"/>
      <c r="I377" s="411"/>
      <c r="J377" s="233"/>
    </row>
    <row r="378" spans="1:10" s="208" customFormat="1" ht="15" customHeight="1" x14ac:dyDescent="0.2">
      <c r="A378" s="76"/>
      <c r="B378" s="76"/>
      <c r="C378" s="77"/>
      <c r="D378" s="77"/>
      <c r="E378" s="278"/>
      <c r="F378" s="510"/>
      <c r="G378" s="417"/>
      <c r="H378" s="281"/>
      <c r="I378" s="411"/>
      <c r="J378" s="233"/>
    </row>
    <row r="379" spans="1:10" s="208" customFormat="1" ht="15" customHeight="1" x14ac:dyDescent="0.2">
      <c r="A379" s="76"/>
      <c r="B379" s="76"/>
      <c r="C379" s="77"/>
      <c r="D379" s="77"/>
      <c r="E379" s="278"/>
      <c r="F379" s="510"/>
      <c r="G379" s="417"/>
      <c r="H379" s="281"/>
      <c r="I379" s="411"/>
      <c r="J379" s="233"/>
    </row>
    <row r="380" spans="1:10" s="208" customFormat="1" ht="15" customHeight="1" x14ac:dyDescent="0.2">
      <c r="A380" s="76"/>
      <c r="B380" s="76"/>
      <c r="C380" s="77"/>
      <c r="D380" s="77"/>
      <c r="E380" s="278"/>
      <c r="F380" s="510"/>
      <c r="G380" s="417"/>
      <c r="H380" s="281"/>
      <c r="I380" s="411"/>
      <c r="J380" s="233"/>
    </row>
    <row r="381" spans="1:10" s="208" customFormat="1" ht="15" customHeight="1" x14ac:dyDescent="0.2">
      <c r="A381" s="76"/>
      <c r="B381" s="76"/>
      <c r="C381" s="77"/>
      <c r="D381" s="77"/>
      <c r="E381" s="278"/>
      <c r="F381" s="510"/>
      <c r="G381" s="417"/>
      <c r="H381" s="281"/>
      <c r="I381" s="411"/>
      <c r="J381" s="233"/>
    </row>
    <row r="382" spans="1:10" s="208" customFormat="1" ht="15" customHeight="1" x14ac:dyDescent="0.2">
      <c r="A382" s="76"/>
      <c r="B382" s="76"/>
      <c r="C382" s="77"/>
      <c r="D382" s="77"/>
      <c r="E382" s="278"/>
      <c r="F382" s="510"/>
      <c r="G382" s="417"/>
      <c r="H382" s="281"/>
      <c r="I382" s="411"/>
      <c r="J382" s="233"/>
    </row>
    <row r="383" spans="1:10" s="208" customFormat="1" ht="15" customHeight="1" x14ac:dyDescent="0.2">
      <c r="A383" s="76"/>
      <c r="B383" s="76"/>
      <c r="C383" s="77"/>
      <c r="D383" s="77"/>
      <c r="E383" s="278"/>
      <c r="F383" s="510"/>
      <c r="G383" s="417"/>
      <c r="H383" s="281"/>
      <c r="I383" s="411"/>
      <c r="J383" s="233"/>
    </row>
    <row r="384" spans="1:10" s="208" customFormat="1" ht="15" customHeight="1" x14ac:dyDescent="0.2">
      <c r="A384" s="76"/>
      <c r="B384" s="76"/>
      <c r="C384" s="77"/>
      <c r="D384" s="77"/>
      <c r="E384" s="278"/>
      <c r="F384" s="510"/>
      <c r="G384" s="417"/>
      <c r="H384" s="281"/>
      <c r="I384" s="411"/>
      <c r="J384" s="233"/>
    </row>
    <row r="385" spans="1:10" s="208" customFormat="1" ht="15" customHeight="1" x14ac:dyDescent="0.2">
      <c r="A385" s="76"/>
      <c r="B385" s="76"/>
      <c r="C385" s="77"/>
      <c r="D385" s="77"/>
      <c r="E385" s="278"/>
      <c r="F385" s="510"/>
      <c r="G385" s="417"/>
      <c r="H385" s="281"/>
      <c r="I385" s="411"/>
      <c r="J385" s="233"/>
    </row>
    <row r="386" spans="1:10" s="208" customFormat="1" ht="15" customHeight="1" x14ac:dyDescent="0.2">
      <c r="A386" s="76"/>
      <c r="B386" s="76"/>
      <c r="C386" s="77"/>
      <c r="D386" s="77"/>
      <c r="E386" s="278"/>
      <c r="F386" s="510"/>
      <c r="G386" s="417"/>
      <c r="H386" s="281"/>
      <c r="I386" s="411"/>
      <c r="J386" s="233"/>
    </row>
    <row r="387" spans="1:10" s="208" customFormat="1" ht="15" customHeight="1" x14ac:dyDescent="0.2">
      <c r="A387" s="76"/>
      <c r="B387" s="76"/>
      <c r="C387" s="77"/>
      <c r="D387" s="77"/>
      <c r="E387" s="278"/>
      <c r="F387" s="510"/>
      <c r="G387" s="417"/>
      <c r="H387" s="281"/>
      <c r="I387" s="411"/>
      <c r="J387" s="233"/>
    </row>
    <row r="388" spans="1:10" s="208" customFormat="1" ht="15" customHeight="1" x14ac:dyDescent="0.2">
      <c r="A388" s="76"/>
      <c r="B388" s="76"/>
      <c r="C388" s="77"/>
      <c r="D388" s="77"/>
      <c r="E388" s="278"/>
      <c r="F388" s="510"/>
      <c r="G388" s="417"/>
      <c r="H388" s="281"/>
      <c r="I388" s="411"/>
      <c r="J388" s="233"/>
    </row>
    <row r="389" spans="1:10" s="208" customFormat="1" ht="15" customHeight="1" x14ac:dyDescent="0.2">
      <c r="A389" s="76"/>
      <c r="B389" s="76"/>
      <c r="C389" s="77"/>
      <c r="D389" s="77"/>
      <c r="E389" s="278"/>
      <c r="F389" s="510"/>
      <c r="G389" s="417"/>
      <c r="H389" s="281"/>
      <c r="I389" s="411"/>
      <c r="J389" s="233"/>
    </row>
    <row r="390" spans="1:10" ht="15" customHeight="1" x14ac:dyDescent="0.2">
      <c r="F390" s="510"/>
      <c r="G390" s="417"/>
      <c r="H390" s="281"/>
    </row>
    <row r="391" spans="1:10" ht="15" customHeight="1" x14ac:dyDescent="0.2">
      <c r="F391" s="510"/>
      <c r="G391" s="417"/>
      <c r="H391" s="281"/>
    </row>
    <row r="392" spans="1:10" ht="15" customHeight="1" x14ac:dyDescent="0.2">
      <c r="F392" s="510"/>
      <c r="G392" s="417"/>
      <c r="H392" s="281"/>
    </row>
    <row r="393" spans="1:10" ht="15" customHeight="1" x14ac:dyDescent="0.2">
      <c r="F393" s="510"/>
      <c r="G393" s="417"/>
      <c r="H393" s="281"/>
    </row>
    <row r="394" spans="1:10" ht="15" customHeight="1" x14ac:dyDescent="0.2">
      <c r="F394" s="510"/>
      <c r="G394" s="417"/>
      <c r="H394" s="281"/>
    </row>
    <row r="395" spans="1:10" ht="15" customHeight="1" x14ac:dyDescent="0.2">
      <c r="F395" s="510"/>
      <c r="G395" s="417"/>
      <c r="H395" s="281"/>
    </row>
    <row r="396" spans="1:10" ht="15" customHeight="1" x14ac:dyDescent="0.2">
      <c r="F396" s="510"/>
      <c r="G396" s="417"/>
      <c r="H396" s="281"/>
    </row>
    <row r="397" spans="1:10" ht="15" customHeight="1" x14ac:dyDescent="0.2">
      <c r="F397" s="510"/>
      <c r="G397" s="417"/>
      <c r="H397" s="281"/>
    </row>
    <row r="398" spans="1:10" ht="15" customHeight="1" x14ac:dyDescent="0.2">
      <c r="F398" s="510"/>
      <c r="G398" s="417"/>
      <c r="H398" s="281"/>
    </row>
    <row r="399" spans="1:10" ht="15" customHeight="1" x14ac:dyDescent="0.2">
      <c r="F399" s="510"/>
      <c r="G399" s="417"/>
      <c r="H399" s="281"/>
    </row>
    <row r="400" spans="1:10" ht="15" customHeight="1" x14ac:dyDescent="0.2">
      <c r="F400" s="511"/>
      <c r="G400" s="417"/>
      <c r="H400" s="417"/>
      <c r="I400" s="208"/>
      <c r="J400" s="77"/>
    </row>
  </sheetData>
  <conditionalFormatting sqref="H26">
    <cfRule type="containsText" dxfId="208" priority="3" operator="containsText" text="Teste NÃO foi">
      <formula>NOT(ISERROR(SEARCH("Teste NÃO foi",H26)))</formula>
    </cfRule>
    <cfRule type="containsText" dxfId="207" priority="5" operator="containsText" text="Teste foi">
      <formula>NOT(ISERROR(SEARCH("Teste foi",H26)))</formula>
    </cfRule>
  </conditionalFormatting>
  <conditionalFormatting sqref="H23">
    <cfRule type="containsText" dxfId="206" priority="6" operator="containsText" text="Lançamento foi">
      <formula>NOT(ISERROR(SEARCH("Lançamento foi",H23)))</formula>
    </cfRule>
    <cfRule type="containsText" dxfId="205" priority="8" operator="containsText" text="Lançamento NÃO foi">
      <formula>NOT(ISERROR(SEARCH("Lançamento NÃO foi",H23)))</formula>
    </cfRule>
  </conditionalFormatting>
  <conditionalFormatting sqref="H29">
    <cfRule type="containsText" dxfId="204" priority="1" operator="containsText" text="Operação foi">
      <formula>NOT(ISERROR(SEARCH("Operação foi",H29)))</formula>
    </cfRule>
    <cfRule type="containsText" dxfId="203" priority="2" operator="containsText" text="Operação NÃO foi">
      <formula>NOT(ISERROR(SEARCH("Operação NÃO foi",H29)))</formula>
    </cfRule>
  </conditionalFormatting>
  <dataValidations disablePrompts="1" count="3">
    <dataValidation allowBlank="1" showErrorMessage="1" prompt="O conteúdo desta célula não deve ser alterado." sqref="C244:C247 H16:I18 D89 E80:E84 A86:B87 A88:C88 C86:C89 E86:E89 D86 E96:E242 C96:D243 A89:B243" xr:uid="{17BCD074-2C92-4D83-A3F8-82273D4A1D1F}"/>
    <dataValidation allowBlank="1" showErrorMessage="1" prompt="O conteúdo desta célula pode estar oculto, porém não deve ser alterado." sqref="D243:E243 C87:E87 D88 C90:E242" xr:uid="{AA162AF8-E13B-4D2E-862D-18C8EEE3C8A3}"/>
    <dataValidation type="list" allowBlank="1" showInputMessage="1" showErrorMessage="1" sqref="B4" xr:uid="{C64689CA-FAD4-4B28-84C4-44C6F3BFB170}">
      <formula1>$H$16:$H$17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001" r:id="rId3" name="Button 1">
              <controlPr defaultSize="0" print="0" autoFill="0" autoPict="0" macro="[0]!GetBsCurve">
                <anchor moveWithCells="1">
                  <from>
                    <xdr:col>4</xdr:col>
                    <xdr:colOff>523875</xdr:colOff>
                    <xdr:row>2</xdr:row>
                    <xdr:rowOff>28575</xdr:rowOff>
                  </from>
                  <to>
                    <xdr:col>4</xdr:col>
                    <xdr:colOff>2686050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FDBBE-7D73-4A99-8125-6D1FF8E022FF}">
  <sheetPr codeName="Sheet24">
    <tabColor rgb="FF00A3E0"/>
  </sheetPr>
  <dimension ref="A2:O116"/>
  <sheetViews>
    <sheetView workbookViewId="0"/>
  </sheetViews>
  <sheetFormatPr defaultColWidth="0" defaultRowHeight="13.5" customHeight="1" x14ac:dyDescent="0.2"/>
  <cols>
    <col min="1" max="1" width="15.7109375" style="572" customWidth="1"/>
    <col min="2" max="2" width="7.7109375" style="572" customWidth="1"/>
    <col min="3" max="3" width="79.7109375" style="572" customWidth="1"/>
    <col min="4" max="4" width="7.7109375" style="572" customWidth="1"/>
    <col min="5" max="8" width="20.7109375" style="572" customWidth="1"/>
    <col min="9" max="9" width="40.7109375" style="559" customWidth="1"/>
    <col min="10" max="10" width="6.7109375" style="560" customWidth="1"/>
    <col min="11" max="14" width="16.7109375" style="559" customWidth="1"/>
    <col min="15" max="15" width="2.7109375" style="559" customWidth="1"/>
    <col min="16" max="16384" width="9.140625" style="559" hidden="1"/>
  </cols>
  <sheetData>
    <row r="2" spans="1:12" ht="13.5" customHeight="1" x14ac:dyDescent="0.2">
      <c r="A2" s="559"/>
      <c r="B2" s="559"/>
      <c r="C2" s="559"/>
      <c r="D2" s="559"/>
      <c r="E2" s="559"/>
      <c r="F2" s="559"/>
      <c r="G2" s="559"/>
      <c r="H2" s="559"/>
    </row>
    <row r="3" spans="1:12" ht="13.5" customHeight="1" x14ac:dyDescent="0.2">
      <c r="A3" s="573" t="s">
        <v>402</v>
      </c>
      <c r="B3" s="573" t="s">
        <v>403</v>
      </c>
      <c r="C3" s="573"/>
      <c r="D3" s="573" t="s">
        <v>404</v>
      </c>
      <c r="E3" s="574"/>
      <c r="F3" s="573" t="s">
        <v>405</v>
      </c>
      <c r="G3" s="573" t="s">
        <v>406</v>
      </c>
      <c r="H3" s="573" t="s">
        <v>407</v>
      </c>
      <c r="I3" s="573"/>
    </row>
    <row r="4" spans="1:12" ht="13.5" customHeight="1" x14ac:dyDescent="0.2">
      <c r="A4" s="573" t="s">
        <v>408</v>
      </c>
      <c r="B4" s="573" t="s">
        <v>409</v>
      </c>
      <c r="C4" s="573" t="s">
        <v>403</v>
      </c>
      <c r="D4" s="573" t="s">
        <v>409</v>
      </c>
      <c r="E4" s="573" t="s">
        <v>410</v>
      </c>
      <c r="F4" s="573" t="s">
        <v>408</v>
      </c>
      <c r="G4" s="573" t="s">
        <v>2</v>
      </c>
      <c r="H4" s="573" t="s">
        <v>411</v>
      </c>
      <c r="I4" s="573" t="s">
        <v>412</v>
      </c>
    </row>
    <row r="5" spans="1:12" ht="13.5" customHeight="1" thickBot="1" x14ac:dyDescent="0.25">
      <c r="A5" s="561"/>
      <c r="B5" s="561"/>
      <c r="C5" s="561"/>
      <c r="D5" s="561"/>
      <c r="E5" s="178" t="str">
        <f xml:space="preserve"> _xlfn.CONCAT("Load"," ",Results!C32,".sim")</f>
        <v>Load Estatico.sim</v>
      </c>
      <c r="F5" s="561"/>
      <c r="G5" s="561"/>
      <c r="H5" s="561"/>
      <c r="I5" s="561"/>
      <c r="K5" s="806" t="s">
        <v>1622</v>
      </c>
      <c r="L5" s="808"/>
    </row>
    <row r="6" spans="1:12" ht="13.5" customHeight="1" thickTop="1" x14ac:dyDescent="0.2">
      <c r="A6" s="207" t="s">
        <v>2</v>
      </c>
      <c r="B6" s="207" t="s">
        <v>1681</v>
      </c>
      <c r="C6" s="562" t="s">
        <v>1596</v>
      </c>
      <c r="D6" s="207" t="str">
        <f>SUBSTITUTE(B6, "B", "C")</f>
        <v>C26</v>
      </c>
      <c r="E6" s="562" t="s">
        <v>1596</v>
      </c>
      <c r="F6" s="562"/>
      <c r="G6" s="562"/>
      <c r="H6" s="562"/>
      <c r="I6" s="562"/>
      <c r="K6" s="423" t="s">
        <v>460</v>
      </c>
      <c r="L6" s="564" t="s">
        <v>484</v>
      </c>
    </row>
    <row r="7" spans="1:12" ht="13.5" customHeight="1" x14ac:dyDescent="0.2">
      <c r="A7" s="562" t="s">
        <v>2</v>
      </c>
      <c r="B7" s="207" t="s">
        <v>1682</v>
      </c>
      <c r="C7" s="562" t="str">
        <f>CONCATENATE(I7," - ",F7)</f>
        <v>Rotation 2 - P7000048060</v>
      </c>
      <c r="D7" s="207" t="str">
        <f t="shared" ref="D7:D18" si="0">SUBSTITUTE(B7, "B", "C")</f>
        <v>C27</v>
      </c>
      <c r="E7" s="562" t="s">
        <v>419</v>
      </c>
      <c r="F7" s="563" t="str">
        <f>$L$8</f>
        <v>P7000048060</v>
      </c>
      <c r="G7" s="562"/>
      <c r="H7" s="562"/>
      <c r="I7" s="562" t="s">
        <v>422</v>
      </c>
      <c r="J7" s="559"/>
      <c r="K7" s="424" t="s">
        <v>283</v>
      </c>
      <c r="L7" s="565" t="s">
        <v>1870</v>
      </c>
    </row>
    <row r="8" spans="1:12" ht="13.5" customHeight="1" x14ac:dyDescent="0.2">
      <c r="A8" s="562" t="s">
        <v>2</v>
      </c>
      <c r="B8" s="207" t="s">
        <v>1683</v>
      </c>
      <c r="C8" s="562" t="str">
        <f>CONCATENATE(I8," - ",F8)</f>
        <v>Depth - Environment</v>
      </c>
      <c r="D8" s="207" t="str">
        <f t="shared" si="0"/>
        <v>C28</v>
      </c>
      <c r="E8" s="562" t="s">
        <v>416</v>
      </c>
      <c r="F8" s="562" t="s">
        <v>417</v>
      </c>
      <c r="G8" s="562"/>
      <c r="H8" s="562"/>
      <c r="I8" s="562" t="s">
        <v>418</v>
      </c>
      <c r="J8" s="559"/>
      <c r="K8" s="424" t="s">
        <v>1258</v>
      </c>
      <c r="L8" s="566" t="str">
        <f>IF(TRIM('MCV e Guindaste'!B6)="","MCV",SUBSTITUTE(TRIM('MCV e Guindaste'!B6)," ","_"))</f>
        <v>P7000048060</v>
      </c>
    </row>
    <row r="9" spans="1:12" ht="13.5" customHeight="1" x14ac:dyDescent="0.2">
      <c r="A9" s="562" t="s">
        <v>2</v>
      </c>
      <c r="B9" s="207" t="s">
        <v>1684</v>
      </c>
      <c r="C9" s="562" t="str">
        <f>CONCATENATE(I9," - ",F9," - ",G9)</f>
        <v>Z - Line - End B</v>
      </c>
      <c r="D9" s="207" t="str">
        <f>SUBSTITUTE(B9, "B", "C")</f>
        <v>C29</v>
      </c>
      <c r="E9" s="176" t="s">
        <v>419</v>
      </c>
      <c r="F9" s="176" t="s">
        <v>484</v>
      </c>
      <c r="G9" s="177" t="s">
        <v>420</v>
      </c>
      <c r="H9" s="176"/>
      <c r="I9" s="176" t="s">
        <v>421</v>
      </c>
      <c r="J9" s="559"/>
      <c r="K9" s="425" t="s">
        <v>1266</v>
      </c>
      <c r="L9" s="565" t="s">
        <v>1266</v>
      </c>
    </row>
    <row r="10" spans="1:12" ht="13.5" customHeight="1" x14ac:dyDescent="0.2">
      <c r="A10" s="562" t="s">
        <v>2</v>
      </c>
      <c r="B10" s="207" t="s">
        <v>1685</v>
      </c>
      <c r="C10" s="562" t="str">
        <f>CONCATENATE(I10," - ",F10," - ",G10)</f>
        <v>End Ez-Force - Line - End B</v>
      </c>
      <c r="D10" s="207" t="str">
        <f t="shared" si="0"/>
        <v>C30</v>
      </c>
      <c r="E10" s="562" t="s">
        <v>419</v>
      </c>
      <c r="F10" s="562" t="str">
        <f>$L$6</f>
        <v>Line</v>
      </c>
      <c r="G10" s="562" t="s">
        <v>420</v>
      </c>
      <c r="H10" s="562"/>
      <c r="I10" s="562" t="s">
        <v>425</v>
      </c>
      <c r="J10" s="559"/>
    </row>
    <row r="11" spans="1:12" ht="13.5" customHeight="1" x14ac:dyDescent="0.2">
      <c r="A11" s="562" t="s">
        <v>2</v>
      </c>
      <c r="B11" s="207" t="s">
        <v>1686</v>
      </c>
      <c r="C11" s="562" t="str">
        <f>CONCATENATE(I11," - ",F11," - ",G11)</f>
        <v>End Ex-Force - Line - End B</v>
      </c>
      <c r="D11" s="207" t="str">
        <f t="shared" si="0"/>
        <v>C31</v>
      </c>
      <c r="E11" s="562" t="s">
        <v>419</v>
      </c>
      <c r="F11" s="562" t="str">
        <f>$L$6</f>
        <v>Line</v>
      </c>
      <c r="G11" s="562" t="s">
        <v>420</v>
      </c>
      <c r="H11" s="562"/>
      <c r="I11" s="562" t="s">
        <v>424</v>
      </c>
      <c r="J11" s="559"/>
    </row>
    <row r="12" spans="1:12" ht="13.5" customHeight="1" x14ac:dyDescent="0.2">
      <c r="A12" s="562" t="s">
        <v>2</v>
      </c>
      <c r="B12" s="207" t="s">
        <v>145</v>
      </c>
      <c r="C12" s="562" t="str">
        <f>CONCATENATE(I12," - ",F12," - ",G12)</f>
        <v>End Ey-Moment - Line - End B</v>
      </c>
      <c r="D12" s="207" t="str">
        <f t="shared" si="0"/>
        <v>C32</v>
      </c>
      <c r="E12" s="562" t="s">
        <v>419</v>
      </c>
      <c r="F12" s="562" t="str">
        <f>$L$6</f>
        <v>Line</v>
      </c>
      <c r="G12" s="562" t="s">
        <v>420</v>
      </c>
      <c r="H12" s="562"/>
      <c r="I12" s="562" t="s">
        <v>423</v>
      </c>
      <c r="J12" s="559"/>
    </row>
    <row r="13" spans="1:12" ht="13.5" customHeight="1" x14ac:dyDescent="0.2">
      <c r="A13" s="562" t="s">
        <v>2</v>
      </c>
      <c r="B13" s="207" t="s">
        <v>1687</v>
      </c>
      <c r="C13" s="562" t="str">
        <f>CONCATENATE(I13," - ",F13)</f>
        <v>Bend Radius - Line</v>
      </c>
      <c r="D13" s="207" t="str">
        <f t="shared" si="0"/>
        <v>C33</v>
      </c>
      <c r="E13" s="562" t="s">
        <v>413</v>
      </c>
      <c r="F13" s="562" t="str">
        <f>$L$6</f>
        <v>Line</v>
      </c>
      <c r="G13" s="562"/>
      <c r="H13" s="562" t="s">
        <v>414</v>
      </c>
      <c r="I13" s="562" t="s">
        <v>415</v>
      </c>
      <c r="J13" s="559"/>
    </row>
    <row r="14" spans="1:12" ht="13.5" customHeight="1" x14ac:dyDescent="0.2">
      <c r="A14" s="562" t="s">
        <v>2</v>
      </c>
      <c r="B14" s="207" t="s">
        <v>1688</v>
      </c>
      <c r="C14" s="562" t="str">
        <f>CONCATENATE(I14," - ",F14)</f>
        <v>Bend Radius - Stiffener1</v>
      </c>
      <c r="D14" s="207" t="str">
        <f t="shared" si="0"/>
        <v>C34</v>
      </c>
      <c r="E14" s="562" t="s">
        <v>413</v>
      </c>
      <c r="F14" s="562" t="str">
        <f>$L$7</f>
        <v>Stiffener1</v>
      </c>
      <c r="G14" s="562"/>
      <c r="H14" s="562" t="s">
        <v>414</v>
      </c>
      <c r="I14" s="562" t="s">
        <v>415</v>
      </c>
      <c r="J14" s="559"/>
    </row>
    <row r="15" spans="1:12" ht="13.5" customHeight="1" x14ac:dyDescent="0.2">
      <c r="A15" s="562" t="s">
        <v>2</v>
      </c>
      <c r="B15" s="207" t="s">
        <v>1689</v>
      </c>
      <c r="C15" s="562" t="str">
        <f>_xlfn.CONCAT(I15," - ",F15)</f>
        <v>Bend Moment - Stiffener1</v>
      </c>
      <c r="D15" s="207" t="str">
        <f t="shared" si="0"/>
        <v>C35</v>
      </c>
      <c r="E15" s="562" t="s">
        <v>437</v>
      </c>
      <c r="F15" s="562" t="str">
        <f>$L$7</f>
        <v>Stiffener1</v>
      </c>
      <c r="G15" s="562"/>
      <c r="H15" s="562" t="s">
        <v>414</v>
      </c>
      <c r="I15" s="562" t="s">
        <v>438</v>
      </c>
      <c r="J15" s="559"/>
    </row>
    <row r="16" spans="1:12" ht="13.5" customHeight="1" x14ac:dyDescent="0.2">
      <c r="A16" s="562" t="s">
        <v>2</v>
      </c>
      <c r="B16" s="207" t="s">
        <v>204</v>
      </c>
      <c r="C16" s="562" t="str">
        <f>_xlfn.CONCAT(I16," - ",F16)</f>
        <v>Shear Force - Stiffener1</v>
      </c>
      <c r="D16" s="207" t="str">
        <f t="shared" si="0"/>
        <v>C36</v>
      </c>
      <c r="E16" s="562" t="s">
        <v>437</v>
      </c>
      <c r="F16" s="562" t="str">
        <f>$L$7</f>
        <v>Stiffener1</v>
      </c>
      <c r="G16" s="562"/>
      <c r="H16" s="562" t="s">
        <v>414</v>
      </c>
      <c r="I16" s="562" t="s">
        <v>440</v>
      </c>
      <c r="J16" s="559"/>
    </row>
    <row r="17" spans="1:10" ht="13.5" customHeight="1" x14ac:dyDescent="0.2">
      <c r="A17" s="562" t="s">
        <v>2</v>
      </c>
      <c r="B17" s="207" t="s">
        <v>2150</v>
      </c>
      <c r="C17" s="562" t="str">
        <f>CONCATENATE(I17," - ",F17)</f>
        <v>Vertical Seabed Clearance - Stiffener1</v>
      </c>
      <c r="D17" s="207" t="str">
        <f t="shared" si="0"/>
        <v>C42</v>
      </c>
      <c r="E17" s="562" t="s">
        <v>413</v>
      </c>
      <c r="F17" s="562" t="str">
        <f>$L$7</f>
        <v>Stiffener1</v>
      </c>
      <c r="G17" s="562"/>
      <c r="H17" s="562" t="s">
        <v>414</v>
      </c>
      <c r="I17" s="562" t="s">
        <v>434</v>
      </c>
      <c r="J17" s="559"/>
    </row>
    <row r="18" spans="1:10" ht="13.5" customHeight="1" x14ac:dyDescent="0.2">
      <c r="A18" s="562" t="s">
        <v>2</v>
      </c>
      <c r="B18" s="207" t="s">
        <v>2151</v>
      </c>
      <c r="C18" s="562" t="str">
        <f>CONCATENATE(I18," - ",F18)</f>
        <v>Vertical Seabed Clearance - Line</v>
      </c>
      <c r="D18" s="207" t="str">
        <f t="shared" si="0"/>
        <v>C43</v>
      </c>
      <c r="E18" s="562" t="s">
        <v>413</v>
      </c>
      <c r="F18" s="562" t="str">
        <f>$L$6</f>
        <v>Line</v>
      </c>
      <c r="G18" s="562"/>
      <c r="H18" s="562" t="s">
        <v>414</v>
      </c>
      <c r="I18" s="562" t="s">
        <v>434</v>
      </c>
      <c r="J18" s="559"/>
    </row>
    <row r="19" spans="1:10" ht="13.5" customHeight="1" x14ac:dyDescent="0.2">
      <c r="A19" s="562" t="s">
        <v>427</v>
      </c>
      <c r="B19" s="562" t="s">
        <v>429</v>
      </c>
      <c r="C19" s="562" t="str">
        <f t="shared" ref="C19:C21" si="1">_xlfn.CONCAT(I19," - ",F19)</f>
        <v>Z - Line</v>
      </c>
      <c r="D19" s="562" t="s">
        <v>430</v>
      </c>
      <c r="E19" s="562" t="s">
        <v>428</v>
      </c>
      <c r="F19" s="562" t="str">
        <f>$L$6</f>
        <v>Line</v>
      </c>
      <c r="G19" s="562"/>
      <c r="H19" s="562" t="s">
        <v>414</v>
      </c>
      <c r="I19" s="562" t="s">
        <v>421</v>
      </c>
      <c r="J19" s="559"/>
    </row>
    <row r="20" spans="1:10" ht="13.5" customHeight="1" x14ac:dyDescent="0.2">
      <c r="A20" s="562" t="s">
        <v>427</v>
      </c>
      <c r="B20" s="562" t="s">
        <v>432</v>
      </c>
      <c r="C20" s="562" t="str">
        <f t="shared" si="1"/>
        <v>Vertical Seabed Clearance - Line</v>
      </c>
      <c r="D20" s="562" t="s">
        <v>433</v>
      </c>
      <c r="E20" s="562" t="s">
        <v>428</v>
      </c>
      <c r="F20" s="562" t="str">
        <f>$L$6</f>
        <v>Line</v>
      </c>
      <c r="G20" s="562"/>
      <c r="H20" s="562" t="s">
        <v>414</v>
      </c>
      <c r="I20" s="562" t="s">
        <v>434</v>
      </c>
      <c r="J20" s="559"/>
    </row>
    <row r="21" spans="1:10" ht="13.5" customHeight="1" x14ac:dyDescent="0.2">
      <c r="A21" s="562" t="s">
        <v>427</v>
      </c>
      <c r="B21" s="562" t="s">
        <v>435</v>
      </c>
      <c r="C21" s="562" t="str">
        <f t="shared" si="1"/>
        <v>Vertical Seabed Clearance - Stiffener1</v>
      </c>
      <c r="D21" s="562" t="s">
        <v>436</v>
      </c>
      <c r="E21" s="562" t="s">
        <v>428</v>
      </c>
      <c r="F21" s="562" t="str">
        <f>$L$7</f>
        <v>Stiffener1</v>
      </c>
      <c r="G21" s="562"/>
      <c r="H21" s="562" t="s">
        <v>414</v>
      </c>
      <c r="I21" s="562" t="s">
        <v>434</v>
      </c>
      <c r="J21" s="559"/>
    </row>
    <row r="22" spans="1:10" ht="13.5" customHeight="1" x14ac:dyDescent="0.2">
      <c r="A22" s="561"/>
      <c r="B22" s="561"/>
      <c r="C22" s="561"/>
      <c r="D22" s="561"/>
      <c r="E22" s="178" t="str">
        <f xml:space="preserve"> _xlfn.CONCAT("Load"," ",Results!C33,".sim")</f>
        <v>Load Dinamico.sim</v>
      </c>
      <c r="F22" s="561"/>
      <c r="G22" s="561"/>
      <c r="H22" s="561"/>
      <c r="I22" s="561"/>
      <c r="J22" s="559"/>
    </row>
    <row r="23" spans="1:10" ht="13.5" customHeight="1" x14ac:dyDescent="0.2">
      <c r="A23" s="562" t="s">
        <v>2</v>
      </c>
      <c r="B23" s="562" t="s">
        <v>198</v>
      </c>
      <c r="C23" s="562" t="str">
        <f>CONCATENATE(I23," - ",F23)</f>
        <v>StageValue[3] - A/R</v>
      </c>
      <c r="D23" s="562" t="str">
        <f>SUBSTITUTE(B23, "H", "I")</f>
        <v>I26</v>
      </c>
      <c r="E23" s="562" t="s">
        <v>416</v>
      </c>
      <c r="F23" s="562" t="str">
        <f>$L$9</f>
        <v>A/R</v>
      </c>
      <c r="G23" s="562"/>
      <c r="H23" s="562"/>
      <c r="I23" s="562" t="s">
        <v>441</v>
      </c>
      <c r="J23" s="567">
        <f>Data!$I$27</f>
        <v>0</v>
      </c>
    </row>
    <row r="24" spans="1:10" ht="13.5" customHeight="1" x14ac:dyDescent="0.2">
      <c r="A24" s="562" t="s">
        <v>2</v>
      </c>
      <c r="B24" s="562" t="s">
        <v>212</v>
      </c>
      <c r="C24" s="562" t="str">
        <f>CONCATENATE(I24," - ",F24)</f>
        <v>NumberOfAttachments - Line</v>
      </c>
      <c r="D24" s="562" t="str">
        <f t="shared" ref="D24:D28" si="2">SUBSTITUTE(B24, "H", "I")</f>
        <v>I27</v>
      </c>
      <c r="E24" s="562" t="s">
        <v>416</v>
      </c>
      <c r="F24" s="562" t="str">
        <f>$L$6</f>
        <v>Line</v>
      </c>
      <c r="G24" s="562"/>
      <c r="H24" s="562"/>
      <c r="I24" s="562" t="s">
        <v>442</v>
      </c>
      <c r="J24" s="559"/>
    </row>
    <row r="25" spans="1:10" ht="13.5" customHeight="1" x14ac:dyDescent="0.2">
      <c r="A25" s="562" t="s">
        <v>2</v>
      </c>
      <c r="B25" s="562" t="s">
        <v>1693</v>
      </c>
      <c r="C25" s="562" t="str">
        <f>CONCATENATE(I25," - ",F25)</f>
        <v>Bend Radius - Line</v>
      </c>
      <c r="D25" s="562" t="str">
        <f t="shared" si="2"/>
        <v>I28</v>
      </c>
      <c r="E25" s="562" t="s">
        <v>413</v>
      </c>
      <c r="F25" s="562" t="str">
        <f>$L$6</f>
        <v>Line</v>
      </c>
      <c r="G25" s="562"/>
      <c r="H25" s="338" t="s">
        <v>1868</v>
      </c>
      <c r="I25" s="562" t="s">
        <v>415</v>
      </c>
      <c r="J25" s="559"/>
    </row>
    <row r="26" spans="1:10" ht="13.5" customHeight="1" x14ac:dyDescent="0.2">
      <c r="A26" s="562" t="s">
        <v>2</v>
      </c>
      <c r="B26" s="562" t="s">
        <v>199</v>
      </c>
      <c r="C26" s="562" t="str">
        <f>CONCATENATE(I26," - ",F26)</f>
        <v>Bend Radius - Stiffener1</v>
      </c>
      <c r="D26" s="562" t="str">
        <f t="shared" si="2"/>
        <v>I29</v>
      </c>
      <c r="E26" s="562" t="s">
        <v>413</v>
      </c>
      <c r="F26" s="562" t="str">
        <f>$L$7</f>
        <v>Stiffener1</v>
      </c>
      <c r="G26" s="562"/>
      <c r="H26" s="338" t="s">
        <v>1868</v>
      </c>
      <c r="I26" s="562" t="s">
        <v>415</v>
      </c>
      <c r="J26" s="559"/>
    </row>
    <row r="27" spans="1:10" ht="13.5" customHeight="1" x14ac:dyDescent="0.2">
      <c r="A27" s="562" t="s">
        <v>2</v>
      </c>
      <c r="B27" s="562" t="s">
        <v>1694</v>
      </c>
      <c r="C27" s="562" t="str">
        <f>_xlfn.CONCAT(I27," - ",F27)</f>
        <v>Bend Moment - Stiffener1</v>
      </c>
      <c r="D27" s="562" t="str">
        <f t="shared" si="2"/>
        <v>I30</v>
      </c>
      <c r="E27" s="562" t="s">
        <v>437</v>
      </c>
      <c r="F27" s="562" t="str">
        <f>$L$7</f>
        <v>Stiffener1</v>
      </c>
      <c r="G27" s="562"/>
      <c r="H27" s="562" t="s">
        <v>444</v>
      </c>
      <c r="I27" s="562" t="s">
        <v>438</v>
      </c>
      <c r="J27" s="559"/>
    </row>
    <row r="28" spans="1:10" ht="13.5" customHeight="1" x14ac:dyDescent="0.2">
      <c r="A28" s="562" t="s">
        <v>2</v>
      </c>
      <c r="B28" s="562" t="s">
        <v>1695</v>
      </c>
      <c r="C28" s="562" t="str">
        <f>_xlfn.CONCAT(I28," - ",F28)</f>
        <v>Shear Force - Stiffener1</v>
      </c>
      <c r="D28" s="562" t="str">
        <f t="shared" si="2"/>
        <v>I31</v>
      </c>
      <c r="E28" s="562" t="s">
        <v>437</v>
      </c>
      <c r="F28" s="562" t="str">
        <f>$L$7</f>
        <v>Stiffener1</v>
      </c>
      <c r="G28" s="562"/>
      <c r="H28" s="562" t="s">
        <v>444</v>
      </c>
      <c r="I28" s="562" t="s">
        <v>440</v>
      </c>
      <c r="J28" s="559"/>
    </row>
    <row r="29" spans="1:10" ht="13.5" customHeight="1" x14ac:dyDescent="0.2">
      <c r="A29" s="562" t="s">
        <v>446</v>
      </c>
      <c r="B29" s="562" t="s">
        <v>153</v>
      </c>
      <c r="C29" s="562" t="str">
        <f>CONCATENATE(E29," - ",F29," - ",G29," - ",H29," - ",I29)</f>
        <v>Linked Statistics - Line - End B - 0 to 32,15 - End Ex-Force,End Ez-Force,End Ey-Moment</v>
      </c>
      <c r="D29" s="562" t="s">
        <v>211</v>
      </c>
      <c r="E29" s="562" t="s">
        <v>447</v>
      </c>
      <c r="F29" s="562" t="str">
        <f>$L$6</f>
        <v>Line</v>
      </c>
      <c r="G29" s="562" t="s">
        <v>420</v>
      </c>
      <c r="H29" s="338" t="s">
        <v>1868</v>
      </c>
      <c r="I29" s="562" t="s">
        <v>448</v>
      </c>
      <c r="J29" s="559"/>
    </row>
    <row r="30" spans="1:10" ht="13.5" customHeight="1" x14ac:dyDescent="0.2">
      <c r="A30" s="562" t="s">
        <v>446</v>
      </c>
      <c r="B30" s="565" t="s">
        <v>1804</v>
      </c>
      <c r="C30" s="562" t="str">
        <f>CONCATENATE(E30," - ",F30," - ",G30," - ",H30," - ",I30)</f>
        <v>Time History - Line - Touchdown - Whole Simulation - Arc Length</v>
      </c>
      <c r="D30" s="565" t="s">
        <v>1809</v>
      </c>
      <c r="E30" s="562" t="s">
        <v>449</v>
      </c>
      <c r="F30" s="562" t="str">
        <f>$L$6</f>
        <v>Line</v>
      </c>
      <c r="G30" s="562" t="s">
        <v>450</v>
      </c>
      <c r="H30" s="562" t="s">
        <v>444</v>
      </c>
      <c r="I30" s="562" t="s">
        <v>451</v>
      </c>
      <c r="J30" s="559"/>
    </row>
    <row r="31" spans="1:10" ht="13.5" customHeight="1" x14ac:dyDescent="0.2">
      <c r="A31" s="562" t="s">
        <v>446</v>
      </c>
      <c r="B31" s="565" t="s">
        <v>1805</v>
      </c>
      <c r="C31" s="562" t="str">
        <f>CONCATENATE(E31," - ",F31," - ",G31," - ",H31," - ",I31)</f>
        <v>Time History - Stiffener1 - Touchdown - Whole Simulation - Arc Length</v>
      </c>
      <c r="D31" s="565" t="s">
        <v>1808</v>
      </c>
      <c r="E31" s="562" t="s">
        <v>449</v>
      </c>
      <c r="F31" s="562" t="str">
        <f>$L$7</f>
        <v>Stiffener1</v>
      </c>
      <c r="G31" s="562" t="s">
        <v>450</v>
      </c>
      <c r="H31" s="562" t="s">
        <v>444</v>
      </c>
      <c r="I31" s="562" t="s">
        <v>451</v>
      </c>
      <c r="J31" s="559"/>
    </row>
    <row r="32" spans="1:10" ht="13.5" customHeight="1" x14ac:dyDescent="0.2">
      <c r="A32" s="562" t="s">
        <v>446</v>
      </c>
      <c r="B32" s="565" t="s">
        <v>1806</v>
      </c>
      <c r="C32" s="562" t="str">
        <f>CONCATENATE(E32," - ",H32,)</f>
        <v>Sample Times - Whole Simulation</v>
      </c>
      <c r="D32" s="565" t="s">
        <v>1807</v>
      </c>
      <c r="E32" s="562" t="s">
        <v>452</v>
      </c>
      <c r="F32" s="562"/>
      <c r="G32" s="562"/>
      <c r="H32" s="562" t="s">
        <v>444</v>
      </c>
      <c r="I32" s="562"/>
      <c r="J32" s="559"/>
    </row>
    <row r="33" spans="1:12" ht="13.5" customHeight="1" x14ac:dyDescent="0.2">
      <c r="A33" s="562" t="s">
        <v>446</v>
      </c>
      <c r="B33" s="562" t="s">
        <v>1803</v>
      </c>
      <c r="C33" s="562" t="e">
        <f>CONCATENATE(E33," - ",F33," - ",G33," - ",H33," - ",I33)</f>
        <v>#VALUE!</v>
      </c>
      <c r="D33" s="562" t="s">
        <v>1802</v>
      </c>
      <c r="E33" s="562" t="s">
        <v>447</v>
      </c>
      <c r="F33" s="562" t="str">
        <f>$L$6</f>
        <v>Line</v>
      </c>
      <c r="G33" s="562" t="s">
        <v>420</v>
      </c>
      <c r="H33" s="562" t="e">
        <f>_xlfn.CONCAT(Auxiliar1!O5-0.001, " to ", Auxiliar1!O5+0.001)</f>
        <v>#VALUE!</v>
      </c>
      <c r="I33" s="562" t="s">
        <v>448</v>
      </c>
    </row>
    <row r="34" spans="1:12" ht="13.5" customHeight="1" x14ac:dyDescent="0.2">
      <c r="A34" s="561"/>
      <c r="B34" s="179"/>
      <c r="C34" s="179"/>
      <c r="D34" s="179"/>
      <c r="E34" s="178" t="str">
        <f>CONCATENATE("Load ",Results!C34,".sim")</f>
        <v>Load cases_4_5\Caso3ii_lançamento.sim</v>
      </c>
      <c r="F34" s="179"/>
      <c r="G34" s="179"/>
      <c r="H34" s="179"/>
      <c r="I34" s="179"/>
    </row>
    <row r="35" spans="1:12" ht="13.5" customHeight="1" x14ac:dyDescent="0.2">
      <c r="A35" s="562" t="s">
        <v>446</v>
      </c>
      <c r="B35" s="177" t="s">
        <v>1718</v>
      </c>
      <c r="C35" s="562" t="str">
        <f>CONCATENATE(E35," - ",F35," - ",G35," - ",H35," - ",I35)</f>
        <v>Linked Statistics - Line - End B - 662,149 to 662,15 - End Ex-Force,End Ez-Force,End Ey-Moment</v>
      </c>
      <c r="D35" s="177" t="s">
        <v>1719</v>
      </c>
      <c r="E35" s="177" t="s">
        <v>447</v>
      </c>
      <c r="F35" s="562" t="str">
        <f>$L$6</f>
        <v>Line</v>
      </c>
      <c r="G35" s="177" t="s">
        <v>420</v>
      </c>
      <c r="H35" s="338" t="s">
        <v>2194</v>
      </c>
      <c r="I35" s="177" t="s">
        <v>448</v>
      </c>
    </row>
    <row r="36" spans="1:12" ht="13.5" customHeight="1" x14ac:dyDescent="0.2">
      <c r="A36" s="562" t="s">
        <v>446</v>
      </c>
      <c r="B36" s="177" t="s">
        <v>1801</v>
      </c>
      <c r="C36" s="562" t="str">
        <f>CONCATENATE(E36," - ",F36," - ",G36," - ",H36," - ",I36)</f>
        <v>Linked Statistics - Line - End B - 712,149 to 712,15 - End Ex-Force,End Ez-Force,End Ey-Moment</v>
      </c>
      <c r="D36" s="177" t="s">
        <v>1814</v>
      </c>
      <c r="E36" s="177" t="s">
        <v>447</v>
      </c>
      <c r="F36" s="562" t="str">
        <f>$L$6</f>
        <v>Line</v>
      </c>
      <c r="G36" s="177" t="s">
        <v>420</v>
      </c>
      <c r="H36" s="338" t="s">
        <v>2193</v>
      </c>
      <c r="I36" s="177" t="s">
        <v>448</v>
      </c>
    </row>
    <row r="37" spans="1:12" ht="13.5" customHeight="1" x14ac:dyDescent="0.2">
      <c r="A37" s="561"/>
      <c r="B37" s="179"/>
      <c r="C37" s="179"/>
      <c r="D37" s="179"/>
      <c r="E37" s="178" t="str">
        <f>CONCATENATE("Load ",Results!C35,".sim")</f>
        <v>Load cases_4_5\Caso4_lançamento_comflut.sim</v>
      </c>
      <c r="F37" s="179"/>
      <c r="G37" s="179"/>
      <c r="H37" s="179"/>
      <c r="I37" s="179"/>
    </row>
    <row r="38" spans="1:12" ht="13.5" customHeight="1" x14ac:dyDescent="0.2">
      <c r="A38" s="562" t="s">
        <v>446</v>
      </c>
      <c r="B38" s="177" t="s">
        <v>1725</v>
      </c>
      <c r="C38" s="562" t="str">
        <f>CONCATENATE(E38," - ",F38," - ",G38," - ",H38," - ",I38)</f>
        <v>Linked Statistics - Line - End B - 49,999 to 50,000 - End Ex-Force,End Ez-Force,End Ey-Moment</v>
      </c>
      <c r="D38" s="177" t="s">
        <v>1726</v>
      </c>
      <c r="E38" s="177" t="s">
        <v>447</v>
      </c>
      <c r="F38" s="562" t="str">
        <f>$L$6</f>
        <v>Line</v>
      </c>
      <c r="G38" s="177" t="s">
        <v>420</v>
      </c>
      <c r="H38" s="338" t="s">
        <v>2190</v>
      </c>
      <c r="I38" s="177" t="s">
        <v>448</v>
      </c>
    </row>
    <row r="39" spans="1:12" ht="13.5" customHeight="1" x14ac:dyDescent="0.2">
      <c r="A39" s="561"/>
      <c r="B39" s="179"/>
      <c r="C39" s="179"/>
      <c r="D39" s="179"/>
      <c r="E39" s="178" t="str">
        <f>CONCATENATE("Load ",Results!C36,".sim")</f>
        <v>Load cases_4_5\Caso4_lançamento_semflut.sim</v>
      </c>
      <c r="F39" s="179"/>
      <c r="G39" s="179"/>
      <c r="H39" s="179"/>
      <c r="I39" s="179"/>
    </row>
    <row r="40" spans="1:12" ht="13.5" customHeight="1" x14ac:dyDescent="0.2">
      <c r="A40" s="562" t="s">
        <v>446</v>
      </c>
      <c r="B40" s="177" t="s">
        <v>1810</v>
      </c>
      <c r="C40" s="562" t="str">
        <f>CONCATENATE(E40," - ",F40," - ",G40," - ",H40," - ",I40)</f>
        <v>Linked Statistics - Line - End B - 49,999 to 50,000 - End Ex-Force,End Ez-Force,End Ey-Moment</v>
      </c>
      <c r="D40" s="177" t="s">
        <v>1813</v>
      </c>
      <c r="E40" s="177" t="s">
        <v>447</v>
      </c>
      <c r="F40" s="562" t="str">
        <f>$L$6</f>
        <v>Line</v>
      </c>
      <c r="G40" s="177" t="s">
        <v>420</v>
      </c>
      <c r="H40" s="338" t="s">
        <v>2190</v>
      </c>
      <c r="I40" s="177" t="s">
        <v>448</v>
      </c>
    </row>
    <row r="41" spans="1:12" ht="13.5" customHeight="1" x14ac:dyDescent="0.2">
      <c r="A41" s="561"/>
      <c r="B41" s="179"/>
      <c r="C41" s="179"/>
      <c r="D41" s="179"/>
      <c r="E41" s="178" t="str">
        <f>CONCATENATE("Load ",Results!C37,".sim")</f>
        <v>Load cases_4_5\Caso4_teste_comflut.sim</v>
      </c>
      <c r="F41" s="179"/>
      <c r="G41" s="179"/>
      <c r="H41" s="179"/>
      <c r="I41" s="179"/>
    </row>
    <row r="42" spans="1:12" ht="13.5" customHeight="1" x14ac:dyDescent="0.2">
      <c r="A42" s="562" t="s">
        <v>446</v>
      </c>
      <c r="B42" s="177" t="s">
        <v>1727</v>
      </c>
      <c r="C42" s="562" t="str">
        <f>CONCATENATE(E42," - ",F42," - ",G42," - ",H42," - ",I42)</f>
        <v>Linked Statistics - Line - End B - 49,999 to 50,000 - End Ex-Force,End Ez-Force,End Ey-Moment</v>
      </c>
      <c r="D42" s="177" t="s">
        <v>1728</v>
      </c>
      <c r="E42" s="177" t="s">
        <v>447</v>
      </c>
      <c r="F42" s="562" t="str">
        <f>$L$6</f>
        <v>Line</v>
      </c>
      <c r="G42" s="177" t="s">
        <v>420</v>
      </c>
      <c r="H42" s="338" t="s">
        <v>2190</v>
      </c>
      <c r="I42" s="177" t="s">
        <v>448</v>
      </c>
      <c r="K42" s="51"/>
      <c r="L42" s="51"/>
    </row>
    <row r="43" spans="1:12" ht="13.5" customHeight="1" x14ac:dyDescent="0.2">
      <c r="A43" s="561"/>
      <c r="B43" s="179"/>
      <c r="C43" s="179"/>
      <c r="D43" s="179"/>
      <c r="E43" s="178" t="str">
        <f>CONCATENATE("Load ",Results!C38,".sim")</f>
        <v>Load cases_4_5\Caso4_teste_semflut.sim</v>
      </c>
      <c r="F43" s="179"/>
      <c r="G43" s="179"/>
      <c r="H43" s="179"/>
      <c r="I43" s="179"/>
    </row>
    <row r="44" spans="1:12" ht="13.5" customHeight="1" x14ac:dyDescent="0.2">
      <c r="A44" s="562" t="s">
        <v>446</v>
      </c>
      <c r="B44" s="177" t="s">
        <v>1811</v>
      </c>
      <c r="C44" s="562" t="str">
        <f>CONCATENATE(E44," - ",F44," - ",G44," - ",H44," - ",I44)</f>
        <v>Linked Statistics - Line - End B - 49,999 to 50,000 - End Ex-Force,End Ez-Force,End Ey-Moment</v>
      </c>
      <c r="D44" s="177" t="s">
        <v>1812</v>
      </c>
      <c r="E44" s="177" t="s">
        <v>447</v>
      </c>
      <c r="F44" s="562" t="str">
        <f>$L$6</f>
        <v>Line</v>
      </c>
      <c r="G44" s="177" t="s">
        <v>420</v>
      </c>
      <c r="H44" s="338" t="s">
        <v>2190</v>
      </c>
      <c r="I44" s="177" t="s">
        <v>448</v>
      </c>
    </row>
    <row r="45" spans="1:12" s="51" customFormat="1" ht="13.5" customHeight="1" x14ac:dyDescent="0.2">
      <c r="A45" s="561"/>
      <c r="B45" s="179"/>
      <c r="C45" s="179"/>
      <c r="D45" s="179"/>
      <c r="E45" s="178" t="str">
        <f>CONCATENATE("Load ",Results!C39,".sim")</f>
        <v>Load cases_4_5\Caso5_operação_semflut.sim</v>
      </c>
      <c r="F45" s="179"/>
      <c r="G45" s="179"/>
      <c r="H45" s="179"/>
      <c r="I45" s="179"/>
      <c r="K45" s="559"/>
      <c r="L45" s="559"/>
    </row>
    <row r="46" spans="1:12" ht="13.5" customHeight="1" x14ac:dyDescent="0.2">
      <c r="A46" s="562" t="s">
        <v>446</v>
      </c>
      <c r="B46" s="177" t="s">
        <v>1720</v>
      </c>
      <c r="C46" s="562" t="str">
        <f>CONCATENATE(E46," - ",F46," - ",G46," - ",H46," - ",I46)</f>
        <v>Linked Statistics - Line - End B - 49,999 to 50,000 - End Ex-Force,End Ez-Force,End Ey-Moment</v>
      </c>
      <c r="D46" s="177" t="s">
        <v>1721</v>
      </c>
      <c r="E46" s="177" t="s">
        <v>447</v>
      </c>
      <c r="F46" s="562" t="str">
        <f>$L$6</f>
        <v>Line</v>
      </c>
      <c r="G46" s="177" t="s">
        <v>420</v>
      </c>
      <c r="H46" s="338" t="s">
        <v>2190</v>
      </c>
      <c r="I46" s="177" t="s">
        <v>448</v>
      </c>
      <c r="J46" s="559"/>
    </row>
    <row r="47" spans="1:12" ht="13.5" customHeight="1" x14ac:dyDescent="0.2">
      <c r="A47" s="561"/>
      <c r="B47" s="561"/>
      <c r="C47" s="561"/>
      <c r="D47" s="561"/>
      <c r="E47" s="178" t="str">
        <f xml:space="preserve"> _xlfn.CONCAT("Load"," ",Results!C40,".sim")</f>
        <v>Load Cont1.sim</v>
      </c>
      <c r="F47" s="561"/>
      <c r="G47" s="561"/>
      <c r="H47" s="561"/>
      <c r="I47" s="561"/>
      <c r="J47" s="559"/>
    </row>
    <row r="48" spans="1:12" ht="13.5" customHeight="1" x14ac:dyDescent="0.2">
      <c r="A48" s="562" t="s">
        <v>2</v>
      </c>
      <c r="B48" s="562" t="s">
        <v>1708</v>
      </c>
      <c r="C48" s="562" t="str">
        <f>_xlfn.CONCAT(I48," - ",F48)</f>
        <v>Bend Moment - Stiffener1</v>
      </c>
      <c r="D48" s="562" t="str">
        <f>SUBSTITUTE(B48, "B", "C")</f>
        <v>C75</v>
      </c>
      <c r="E48" s="562" t="s">
        <v>437</v>
      </c>
      <c r="F48" s="562" t="str">
        <f>$L$7</f>
        <v>Stiffener1</v>
      </c>
      <c r="G48" s="562"/>
      <c r="H48" s="562" t="s">
        <v>414</v>
      </c>
      <c r="I48" s="562" t="s">
        <v>438</v>
      </c>
      <c r="J48" s="559"/>
    </row>
    <row r="49" spans="1:14" ht="13.5" customHeight="1" x14ac:dyDescent="0.2">
      <c r="A49" s="562" t="s">
        <v>2</v>
      </c>
      <c r="B49" s="562" t="s">
        <v>1709</v>
      </c>
      <c r="C49" s="562" t="str">
        <f t="shared" ref="C49" si="3">CONCATENATE(I49," - ",F49)</f>
        <v>Shear Force - Stiffener1</v>
      </c>
      <c r="D49" s="562" t="str">
        <f t="shared" ref="D49:D52" si="4">SUBSTITUTE(B49, "B", "C")</f>
        <v>C76</v>
      </c>
      <c r="E49" s="562" t="s">
        <v>437</v>
      </c>
      <c r="F49" s="562" t="str">
        <f>$L$7</f>
        <v>Stiffener1</v>
      </c>
      <c r="G49" s="562"/>
      <c r="H49" s="562" t="s">
        <v>414</v>
      </c>
      <c r="I49" s="562" t="s">
        <v>440</v>
      </c>
      <c r="J49" s="559"/>
    </row>
    <row r="50" spans="1:14" ht="13.5" customHeight="1" x14ac:dyDescent="0.2">
      <c r="A50" s="562" t="s">
        <v>2</v>
      </c>
      <c r="B50" s="562" t="s">
        <v>1710</v>
      </c>
      <c r="C50" s="562" t="str">
        <f>CONCATENATE(I50," - ",F50)</f>
        <v>Bend Radius - Stiffener1</v>
      </c>
      <c r="D50" s="562" t="str">
        <f t="shared" si="4"/>
        <v>C77</v>
      </c>
      <c r="E50" s="562" t="s">
        <v>413</v>
      </c>
      <c r="F50" s="562" t="str">
        <f>$L$7</f>
        <v>Stiffener1</v>
      </c>
      <c r="G50" s="562"/>
      <c r="H50" s="562"/>
      <c r="I50" s="562" t="s">
        <v>415</v>
      </c>
      <c r="J50" s="559"/>
    </row>
    <row r="51" spans="1:14" ht="13.5" customHeight="1" x14ac:dyDescent="0.2">
      <c r="A51" s="562" t="s">
        <v>2</v>
      </c>
      <c r="B51" s="562" t="s">
        <v>1711</v>
      </c>
      <c r="C51" s="562" t="str">
        <f>CONCATENATE(I51," - ",F51)</f>
        <v>Bend Radius - Line</v>
      </c>
      <c r="D51" s="562" t="str">
        <f t="shared" si="4"/>
        <v>C78</v>
      </c>
      <c r="E51" s="562" t="s">
        <v>413</v>
      </c>
      <c r="F51" s="562" t="str">
        <f>$L$6</f>
        <v>Line</v>
      </c>
      <c r="G51" s="562"/>
      <c r="H51" s="562"/>
      <c r="I51" s="562" t="s">
        <v>415</v>
      </c>
      <c r="J51" s="559"/>
    </row>
    <row r="52" spans="1:14" ht="13.5" customHeight="1" x14ac:dyDescent="0.2">
      <c r="A52" s="562" t="s">
        <v>2</v>
      </c>
      <c r="B52" s="562" t="s">
        <v>1712</v>
      </c>
      <c r="C52" s="562" t="str">
        <f>CONCATENATE(I52," - ",F52, " - ", G52)</f>
        <v>End Ey-Moment - Line - End B</v>
      </c>
      <c r="D52" s="562" t="str">
        <f t="shared" si="4"/>
        <v>C79</v>
      </c>
      <c r="E52" s="562" t="s">
        <v>419</v>
      </c>
      <c r="F52" s="562" t="str">
        <f>$L$6</f>
        <v>Line</v>
      </c>
      <c r="G52" s="562" t="s">
        <v>420</v>
      </c>
      <c r="H52" s="562"/>
      <c r="I52" s="562" t="s">
        <v>423</v>
      </c>
      <c r="J52" s="567">
        <f>Auxiliar3!X2</f>
        <v>0</v>
      </c>
    </row>
    <row r="53" spans="1:14" ht="13.5" customHeight="1" x14ac:dyDescent="0.2">
      <c r="A53" s="562" t="s">
        <v>2</v>
      </c>
      <c r="B53" s="562" t="s">
        <v>2164</v>
      </c>
      <c r="C53" s="562" t="str">
        <f>CONCATENATE(I53," - ",F53, " - ", G53)</f>
        <v>Shear force - Line - End B</v>
      </c>
      <c r="D53" s="562" t="str">
        <f t="shared" ref="D53" si="5">SUBSTITUTE(B53, "B", "C")</f>
        <v>C80</v>
      </c>
      <c r="E53" s="562" t="s">
        <v>419</v>
      </c>
      <c r="F53" s="562" t="str">
        <f>$L$6</f>
        <v>Line</v>
      </c>
      <c r="G53" s="721" t="s">
        <v>420</v>
      </c>
      <c r="H53" s="722"/>
      <c r="I53" s="721" t="s">
        <v>2163</v>
      </c>
      <c r="J53" s="568"/>
    </row>
    <row r="54" spans="1:14" ht="13.5" customHeight="1" x14ac:dyDescent="0.2">
      <c r="A54" s="562" t="s">
        <v>454</v>
      </c>
      <c r="B54" s="562" t="s">
        <v>455</v>
      </c>
      <c r="C54" s="562" t="str">
        <f>CONCATENATE(I54," - ",F54)</f>
        <v>NumberOfAttachments - Line</v>
      </c>
      <c r="D54" s="562" t="s">
        <v>456</v>
      </c>
      <c r="E54" s="562" t="s">
        <v>416</v>
      </c>
      <c r="F54" s="562" t="str">
        <f>$L$6</f>
        <v>Line</v>
      </c>
      <c r="G54" s="180"/>
      <c r="H54" s="180"/>
      <c r="I54" s="562" t="s">
        <v>442</v>
      </c>
      <c r="J54" s="559"/>
    </row>
    <row r="55" spans="1:14" ht="13.5" customHeight="1" x14ac:dyDescent="0.2">
      <c r="A55" s="562" t="s">
        <v>454</v>
      </c>
      <c r="B55" s="562" t="s">
        <v>457</v>
      </c>
      <c r="C55" s="562" t="str">
        <f>CONCATENATE(I55," - ",F55)</f>
        <v>Attachmentz[] - Line</v>
      </c>
      <c r="D55" s="562" t="s">
        <v>458</v>
      </c>
      <c r="E55" s="562" t="s">
        <v>416</v>
      </c>
      <c r="F55" s="562" t="str">
        <f>$L$6</f>
        <v>Line</v>
      </c>
      <c r="G55" s="562"/>
      <c r="H55" s="562"/>
      <c r="I55" s="562" t="str">
        <f>CONCATENATE("Attachmentz[",Auxiliar3!X2,"]")</f>
        <v>Attachmentz[]</v>
      </c>
      <c r="J55" s="559"/>
    </row>
    <row r="56" spans="1:14" ht="13.5" customHeight="1" x14ac:dyDescent="0.2">
      <c r="A56" s="561"/>
      <c r="B56" s="561"/>
      <c r="C56" s="561"/>
      <c r="D56" s="561"/>
      <c r="E56" s="178" t="str">
        <f xml:space="preserve"> _xlfn.CONCAT("Load"," ",Results!C41,".sim")</f>
        <v>Load Cont2.sim</v>
      </c>
      <c r="F56" s="561"/>
      <c r="G56" s="561"/>
      <c r="H56" s="561"/>
      <c r="I56" s="561"/>
      <c r="J56" s="559"/>
    </row>
    <row r="57" spans="1:14" ht="13.5" customHeight="1" x14ac:dyDescent="0.2">
      <c r="A57" s="562" t="s">
        <v>2</v>
      </c>
      <c r="B57" s="562" t="s">
        <v>1713</v>
      </c>
      <c r="C57" s="562" t="str">
        <f>CONCATENATE(I57," - ",F57)</f>
        <v>Bend Moment - Stiffener1</v>
      </c>
      <c r="D57" s="562" t="str">
        <f>SUBSTITUTE(B57, "H", "I")</f>
        <v>I75</v>
      </c>
      <c r="E57" s="562" t="s">
        <v>437</v>
      </c>
      <c r="F57" s="562" t="str">
        <f>$L$7</f>
        <v>Stiffener1</v>
      </c>
      <c r="G57" s="562"/>
      <c r="H57" s="562" t="s">
        <v>414</v>
      </c>
      <c r="I57" s="562" t="s">
        <v>438</v>
      </c>
      <c r="J57" s="559"/>
    </row>
    <row r="58" spans="1:14" ht="13.5" customHeight="1" x14ac:dyDescent="0.2">
      <c r="A58" s="562" t="s">
        <v>2</v>
      </c>
      <c r="B58" s="562" t="s">
        <v>1714</v>
      </c>
      <c r="C58" s="562" t="str">
        <f t="shared" ref="C58:C64" si="6">CONCATENATE(I58," - ",F58)</f>
        <v>Shear Force - Stiffener1</v>
      </c>
      <c r="D58" s="562" t="str">
        <f t="shared" ref="D58:D61" si="7">SUBSTITUTE(B58, "H", "I")</f>
        <v>I76</v>
      </c>
      <c r="E58" s="562" t="s">
        <v>437</v>
      </c>
      <c r="F58" s="562" t="str">
        <f t="shared" ref="F58:F59" si="8">$L$7</f>
        <v>Stiffener1</v>
      </c>
      <c r="G58" s="562"/>
      <c r="H58" s="562" t="s">
        <v>414</v>
      </c>
      <c r="I58" s="562" t="s">
        <v>440</v>
      </c>
      <c r="J58" s="559"/>
    </row>
    <row r="59" spans="1:14" ht="13.5" customHeight="1" x14ac:dyDescent="0.2">
      <c r="A59" s="562" t="s">
        <v>2</v>
      </c>
      <c r="B59" s="562" t="s">
        <v>1715</v>
      </c>
      <c r="C59" s="562" t="str">
        <f t="shared" si="6"/>
        <v>Bend Radius - Stiffener1</v>
      </c>
      <c r="D59" s="562" t="str">
        <f t="shared" si="7"/>
        <v>I77</v>
      </c>
      <c r="E59" s="562" t="s">
        <v>413</v>
      </c>
      <c r="F59" s="562" t="str">
        <f t="shared" si="8"/>
        <v>Stiffener1</v>
      </c>
      <c r="G59" s="562"/>
      <c r="H59" s="562" t="s">
        <v>414</v>
      </c>
      <c r="I59" s="562" t="s">
        <v>415</v>
      </c>
      <c r="J59" s="559"/>
      <c r="K59" s="568"/>
      <c r="L59" s="568"/>
    </row>
    <row r="60" spans="1:14" ht="13.5" customHeight="1" x14ac:dyDescent="0.2">
      <c r="A60" s="562" t="s">
        <v>2</v>
      </c>
      <c r="B60" s="562" t="s">
        <v>1716</v>
      </c>
      <c r="C60" s="562" t="str">
        <f>_xlfn.CONCAT(I60," - ",F60)</f>
        <v>Bend Radius - Line</v>
      </c>
      <c r="D60" s="562" t="str">
        <f t="shared" si="7"/>
        <v>I78</v>
      </c>
      <c r="E60" s="562" t="s">
        <v>413</v>
      </c>
      <c r="F60" s="562" t="str">
        <f>$L$6</f>
        <v>Line</v>
      </c>
      <c r="G60" s="562"/>
      <c r="H60" s="562" t="s">
        <v>414</v>
      </c>
      <c r="I60" s="562" t="s">
        <v>415</v>
      </c>
      <c r="J60" s="559"/>
      <c r="K60" s="568"/>
      <c r="L60" s="568"/>
    </row>
    <row r="61" spans="1:14" ht="13.5" customHeight="1" x14ac:dyDescent="0.2">
      <c r="A61" s="562" t="s">
        <v>2</v>
      </c>
      <c r="B61" s="562" t="s">
        <v>1717</v>
      </c>
      <c r="C61" s="562" t="str">
        <f>CONCATENATE(I61," - ",F61, " - ", G61)</f>
        <v>End Ey-Moment - Line - End B</v>
      </c>
      <c r="D61" s="562" t="str">
        <f t="shared" si="7"/>
        <v>I79</v>
      </c>
      <c r="E61" s="562" t="s">
        <v>419</v>
      </c>
      <c r="F61" s="562" t="str">
        <f t="shared" ref="F61:F64" si="9">$L$6</f>
        <v>Line</v>
      </c>
      <c r="G61" s="562" t="s">
        <v>420</v>
      </c>
      <c r="H61" s="562"/>
      <c r="I61" s="562" t="s">
        <v>423</v>
      </c>
      <c r="J61" s="569">
        <f>Auxiliar4!X2</f>
        <v>0</v>
      </c>
      <c r="K61" s="570"/>
      <c r="L61" s="570"/>
    </row>
    <row r="62" spans="1:14" ht="13.5" customHeight="1" x14ac:dyDescent="0.2">
      <c r="A62" s="562" t="s">
        <v>2</v>
      </c>
      <c r="B62" s="562" t="s">
        <v>2165</v>
      </c>
      <c r="C62" s="562" t="str">
        <f>CONCATENATE(I62," - ",F62, " - ", G62)</f>
        <v>Shear force - Line - End B</v>
      </c>
      <c r="D62" s="562" t="str">
        <f t="shared" ref="D62" si="10">SUBSTITUTE(B62, "H", "I")</f>
        <v>I80</v>
      </c>
      <c r="E62" s="562" t="s">
        <v>419</v>
      </c>
      <c r="F62" s="562" t="str">
        <f t="shared" si="9"/>
        <v>Line</v>
      </c>
      <c r="G62" s="177" t="s">
        <v>420</v>
      </c>
      <c r="H62" s="562"/>
      <c r="I62" s="177" t="s">
        <v>2163</v>
      </c>
      <c r="J62" s="569"/>
      <c r="K62" s="570"/>
      <c r="L62" s="570"/>
    </row>
    <row r="63" spans="1:14" ht="13.5" customHeight="1" x14ac:dyDescent="0.2">
      <c r="A63" s="562" t="s">
        <v>459</v>
      </c>
      <c r="B63" s="562" t="s">
        <v>455</v>
      </c>
      <c r="C63" s="562" t="str">
        <f>_xlfn.CONCAT(I63," - ",F63)</f>
        <v>NumberOfAttachments - Line</v>
      </c>
      <c r="D63" s="562" t="s">
        <v>456</v>
      </c>
      <c r="E63" s="562" t="s">
        <v>416</v>
      </c>
      <c r="F63" s="562" t="str">
        <f t="shared" si="9"/>
        <v>Line</v>
      </c>
      <c r="G63" s="180"/>
      <c r="H63" s="180"/>
      <c r="I63" s="562" t="s">
        <v>442</v>
      </c>
      <c r="J63" s="824"/>
      <c r="K63" s="824"/>
      <c r="L63" s="824"/>
      <c r="M63" s="824"/>
      <c r="N63" s="824"/>
    </row>
    <row r="64" spans="1:14" ht="13.5" customHeight="1" x14ac:dyDescent="0.2">
      <c r="A64" s="565" t="s">
        <v>459</v>
      </c>
      <c r="B64" s="562" t="s">
        <v>457</v>
      </c>
      <c r="C64" s="565" t="str">
        <f t="shared" si="6"/>
        <v>Attachmentz[] - Line</v>
      </c>
      <c r="D64" s="562" t="s">
        <v>458</v>
      </c>
      <c r="E64" s="565" t="s">
        <v>416</v>
      </c>
      <c r="F64" s="562" t="str">
        <f t="shared" si="9"/>
        <v>Line</v>
      </c>
      <c r="G64" s="565"/>
      <c r="H64" s="565"/>
      <c r="I64" s="565" t="str">
        <f>CONCATENATE("Attachmentz[",Auxiliar4!X2,"]")</f>
        <v>Attachmentz[]</v>
      </c>
      <c r="J64" s="571">
        <f t="shared" ref="J64" si="11">IFERROR(IF(J63="",J$23+1,IF(J63=J$61,"j",J63+1)),"jj")</f>
        <v>1</v>
      </c>
      <c r="K64" s="571" t="str">
        <f>IF((J64="jj"),IFERROR(IF(K63="",J$23+1,IF(K63=J$52,"k",K63+1)),"kk"),"")</f>
        <v/>
      </c>
      <c r="L64" s="571" t="str">
        <f>IF((K64="kk"),IFERROR(IF(L63="",2,IF(L63=J$23,"l",L63+1)),"ll"),"")</f>
        <v/>
      </c>
      <c r="M64" s="571" t="str">
        <f>IF(OR(L64="l",L64="ll"),IFERROR(IF(M63="",2,IF(M63=J$23,"m",M63+1)),"mm"),"")</f>
        <v/>
      </c>
      <c r="N64" s="571">
        <f>IF(ISNUMBER(M64),"z",IF(ISNUMBER(L64),L64,IF(ISNUMBER(K64),K64,IF(ISNUMBER(J64),J64,""))))</f>
        <v>1</v>
      </c>
    </row>
    <row r="65" spans="1:14" ht="13.5" customHeight="1" x14ac:dyDescent="0.2">
      <c r="A65" s="567" t="str">
        <f>IF(N64="","",IF(ISNUMBER(J64),"Auxiliar4",IF(ISNUMBER(K64),"Auxiliar3",IF(ISNUMBER(L64),"Auxiliar2",IF(ISNUMBER(M64),"Auxiliar2")))))</f>
        <v>Auxiliar4</v>
      </c>
      <c r="B65" s="567"/>
      <c r="C65" s="565"/>
      <c r="D65" s="567" t="str">
        <f>IF(N64="z",CONCATENATE("AB",M64),IF(N64="","",CONCATENATE("AA",N64)))</f>
        <v>AA1</v>
      </c>
      <c r="E65" s="567" t="str">
        <f>IF(N64="",IF(J64="j",_xlfn.CONCAT("Load"," ",Results!$C$40,".sim"),IF(K64="k",_xlfn.CONCAT("Load"," ",Results!$C$32,".sim"),"")),"Get Data")</f>
        <v>Get Data</v>
      </c>
      <c r="F65" s="567" t="str">
        <f t="shared" ref="F65:F96" si="12">IF(N64="","",$L$6)</f>
        <v>Line</v>
      </c>
      <c r="G65" s="567"/>
      <c r="H65" s="567"/>
      <c r="I65" s="567" t="str">
        <f>IF(N64="z",CONCATENATE("attachmentz[",M64,"]"),IF(N64="","",CONCATENATE("attachmenttype[",N64,"]")))</f>
        <v>attachmenttype[1]</v>
      </c>
      <c r="J65" s="571">
        <f t="shared" ref="J65:J96" si="13">IFERROR(IF(J64="",J$23+1,IF(J64=J$61,"j",J64+1)),"jj")</f>
        <v>2</v>
      </c>
      <c r="K65" s="571" t="str">
        <f t="shared" ref="K65:K68" si="14">IF((J65="jj"),IFERROR(IF(K64="",J$23+1,IF(K64=J$52,"k",K64+1)),"kk"),"")</f>
        <v/>
      </c>
      <c r="L65" s="571" t="str">
        <f t="shared" ref="L65:L68" si="15">IF((K65="kk"),IFERROR(IF(L64="",2,IF(L64=J$23,"l",L64+1)),"ll"),"")</f>
        <v/>
      </c>
      <c r="M65" s="571" t="str">
        <f t="shared" ref="M65:M68" si="16">IF(OR(L65="l",L65="ll"),IFERROR(IF(M64="",2,IF(M64=J$23,"m",M64+1)),"mm"),"")</f>
        <v/>
      </c>
      <c r="N65" s="571">
        <f t="shared" ref="N65:N68" si="17">IF(ISNUMBER(M65),"z",IF(ISNUMBER(L65),L65,IF(ISNUMBER(K65),K65,IF(ISNUMBER(J65),J65,""))))</f>
        <v>2</v>
      </c>
    </row>
    <row r="66" spans="1:14" ht="13.5" customHeight="1" x14ac:dyDescent="0.2">
      <c r="A66" s="567" t="str">
        <f t="shared" ref="A66:A116" si="18">IF(N65="","",IF(ISNUMBER(J65),"Auxiliar4",IF(ISNUMBER(K65),"Auxiliar3",IF(ISNUMBER(L65),"Auxiliar2",IF(ISNUMBER(M65),"Auxiliar2")))))</f>
        <v>Auxiliar4</v>
      </c>
      <c r="B66" s="567"/>
      <c r="C66" s="567"/>
      <c r="D66" s="567" t="str">
        <f t="shared" ref="D66:D116" si="19">IF(N65="z",CONCATENATE("AB",M65),IF(N65="","",CONCATENATE("AA",N65)))</f>
        <v>AA2</v>
      </c>
      <c r="E66" s="567" t="str">
        <f>IF(N65="",IF(J65="j",_xlfn.CONCAT("Load"," ",Results!$C$40,".sim"),IF(K65="k",_xlfn.CONCAT("Load"," ",Results!$C$32,".sim"),"")),"Get Data")</f>
        <v>Get Data</v>
      </c>
      <c r="F66" s="567" t="str">
        <f t="shared" si="12"/>
        <v>Line</v>
      </c>
      <c r="G66" s="567"/>
      <c r="H66" s="567"/>
      <c r="I66" s="567" t="str">
        <f t="shared" ref="I66:I116" si="20">IF(N65="z",CONCATENATE("attachmentz[",M65,"]"),IF(N65="","",CONCATENATE("attachmenttype[",N65,"]")))</f>
        <v>attachmenttype[2]</v>
      </c>
      <c r="J66" s="571">
        <f t="shared" si="13"/>
        <v>3</v>
      </c>
      <c r="K66" s="571" t="str">
        <f t="shared" si="14"/>
        <v/>
      </c>
      <c r="L66" s="571" t="str">
        <f t="shared" si="15"/>
        <v/>
      </c>
      <c r="M66" s="571" t="str">
        <f t="shared" si="16"/>
        <v/>
      </c>
      <c r="N66" s="571">
        <f t="shared" si="17"/>
        <v>3</v>
      </c>
    </row>
    <row r="67" spans="1:14" ht="13.5" customHeight="1" x14ac:dyDescent="0.2">
      <c r="A67" s="567" t="str">
        <f t="shared" si="18"/>
        <v>Auxiliar4</v>
      </c>
      <c r="B67" s="567"/>
      <c r="C67" s="567"/>
      <c r="D67" s="567" t="str">
        <f t="shared" si="19"/>
        <v>AA3</v>
      </c>
      <c r="E67" s="567" t="str">
        <f>IF(N66="",IF(J66="j",_xlfn.CONCAT("Load"," ",Results!$C$40,".sim"),IF(K66="k",_xlfn.CONCAT("Load"," ",Results!$C$32,".sim"),"")),"Get Data")</f>
        <v>Get Data</v>
      </c>
      <c r="F67" s="567" t="str">
        <f t="shared" si="12"/>
        <v>Line</v>
      </c>
      <c r="G67" s="567"/>
      <c r="H67" s="567"/>
      <c r="I67" s="567" t="str">
        <f t="shared" si="20"/>
        <v>attachmenttype[3]</v>
      </c>
      <c r="J67" s="571">
        <f t="shared" si="13"/>
        <v>4</v>
      </c>
      <c r="K67" s="571" t="str">
        <f t="shared" si="14"/>
        <v/>
      </c>
      <c r="L67" s="571" t="str">
        <f t="shared" si="15"/>
        <v/>
      </c>
      <c r="M67" s="571" t="str">
        <f t="shared" si="16"/>
        <v/>
      </c>
      <c r="N67" s="571">
        <f t="shared" si="17"/>
        <v>4</v>
      </c>
    </row>
    <row r="68" spans="1:14" ht="13.5" customHeight="1" x14ac:dyDescent="0.2">
      <c r="A68" s="567" t="str">
        <f t="shared" si="18"/>
        <v>Auxiliar4</v>
      </c>
      <c r="B68" s="567"/>
      <c r="C68" s="567"/>
      <c r="D68" s="567" t="str">
        <f t="shared" si="19"/>
        <v>AA4</v>
      </c>
      <c r="E68" s="567" t="str">
        <f>IF(N67="",IF(J67="j",_xlfn.CONCAT("Load"," ",Results!$C$40,".sim"),IF(K67="k",_xlfn.CONCAT("Load"," ",Results!$C$32,".sim"),"")),"Get Data")</f>
        <v>Get Data</v>
      </c>
      <c r="F68" s="567" t="str">
        <f t="shared" si="12"/>
        <v>Line</v>
      </c>
      <c r="G68" s="567"/>
      <c r="H68" s="567"/>
      <c r="I68" s="567" t="str">
        <f t="shared" si="20"/>
        <v>attachmenttype[4]</v>
      </c>
      <c r="J68" s="571">
        <f t="shared" si="13"/>
        <v>5</v>
      </c>
      <c r="K68" s="571" t="str">
        <f t="shared" si="14"/>
        <v/>
      </c>
      <c r="L68" s="571" t="str">
        <f t="shared" si="15"/>
        <v/>
      </c>
      <c r="M68" s="571" t="str">
        <f t="shared" si="16"/>
        <v/>
      </c>
      <c r="N68" s="571">
        <f t="shared" si="17"/>
        <v>5</v>
      </c>
    </row>
    <row r="69" spans="1:14" ht="13.5" customHeight="1" x14ac:dyDescent="0.2">
      <c r="A69" s="567" t="str">
        <f t="shared" si="18"/>
        <v>Auxiliar4</v>
      </c>
      <c r="B69" s="567"/>
      <c r="C69" s="567"/>
      <c r="D69" s="567" t="str">
        <f t="shared" si="19"/>
        <v>AA5</v>
      </c>
      <c r="E69" s="567" t="str">
        <f>IF(N68="",IF(J68="j",_xlfn.CONCAT("Load"," ",Results!$C$40,".sim"),IF(K68="k",_xlfn.CONCAT("Load"," ",Results!$C$32,".sim"),"")),"Get Data")</f>
        <v>Get Data</v>
      </c>
      <c r="F69" s="567" t="str">
        <f t="shared" si="12"/>
        <v>Line</v>
      </c>
      <c r="G69" s="567"/>
      <c r="H69" s="567"/>
      <c r="I69" s="567" t="str">
        <f t="shared" si="20"/>
        <v>attachmenttype[5]</v>
      </c>
      <c r="J69" s="571">
        <f t="shared" si="13"/>
        <v>6</v>
      </c>
      <c r="K69" s="571" t="str">
        <f t="shared" ref="K69:K115" si="21">IF((J69="jj"),IFERROR(IF(K68="",J$23+1,IF(K68=J$52,"k",K68+1)),"kk"),"")</f>
        <v/>
      </c>
      <c r="L69" s="571" t="str">
        <f t="shared" ref="L69:L115" si="22">IF((K69="kk"),IFERROR(IF(L68="",2,IF(L68=J$23,"l",L68+1)),"ll"),"")</f>
        <v/>
      </c>
      <c r="M69" s="571" t="str">
        <f t="shared" ref="M69:M115" si="23">IF(OR(L69="l",L69="ll"),IFERROR(IF(M68="",2,IF(M68=J$23,"m",M68+1)),"mm"),"")</f>
        <v/>
      </c>
      <c r="N69" s="571">
        <f t="shared" ref="N69:N115" si="24">IF(ISNUMBER(M69),"z",IF(ISNUMBER(L69),L69,IF(ISNUMBER(K69),K69,IF(ISNUMBER(J69),J69,""))))</f>
        <v>6</v>
      </c>
    </row>
    <row r="70" spans="1:14" ht="13.5" customHeight="1" x14ac:dyDescent="0.2">
      <c r="A70" s="567" t="str">
        <f t="shared" si="18"/>
        <v>Auxiliar4</v>
      </c>
      <c r="B70" s="567"/>
      <c r="C70" s="567"/>
      <c r="D70" s="567" t="str">
        <f t="shared" si="19"/>
        <v>AA6</v>
      </c>
      <c r="E70" s="567" t="str">
        <f>IF(N69="",IF(J69="j",_xlfn.CONCAT("Load"," ",Results!$C$40,".sim"),IF(K69="k",_xlfn.CONCAT("Load"," ",Results!$C$32,".sim"),"")),"Get Data")</f>
        <v>Get Data</v>
      </c>
      <c r="F70" s="567" t="str">
        <f t="shared" si="12"/>
        <v>Line</v>
      </c>
      <c r="G70" s="567"/>
      <c r="H70" s="567"/>
      <c r="I70" s="567" t="str">
        <f t="shared" si="20"/>
        <v>attachmenttype[6]</v>
      </c>
      <c r="J70" s="571">
        <f t="shared" si="13"/>
        <v>7</v>
      </c>
      <c r="K70" s="571" t="str">
        <f t="shared" si="21"/>
        <v/>
      </c>
      <c r="L70" s="571" t="str">
        <f t="shared" si="22"/>
        <v/>
      </c>
      <c r="M70" s="571" t="str">
        <f t="shared" si="23"/>
        <v/>
      </c>
      <c r="N70" s="571">
        <f t="shared" si="24"/>
        <v>7</v>
      </c>
    </row>
    <row r="71" spans="1:14" ht="13.5" customHeight="1" x14ac:dyDescent="0.2">
      <c r="A71" s="567" t="str">
        <f t="shared" si="18"/>
        <v>Auxiliar4</v>
      </c>
      <c r="B71" s="567"/>
      <c r="C71" s="567"/>
      <c r="D71" s="567" t="str">
        <f t="shared" si="19"/>
        <v>AA7</v>
      </c>
      <c r="E71" s="567" t="str">
        <f>IF(N70="",IF(J70="j",_xlfn.CONCAT("Load"," ",Results!$C$40,".sim"),IF(K70="k",_xlfn.CONCAT("Load"," ",Results!$C$32,".sim"),"")),"Get Data")</f>
        <v>Get Data</v>
      </c>
      <c r="F71" s="567" t="str">
        <f t="shared" si="12"/>
        <v>Line</v>
      </c>
      <c r="G71" s="567"/>
      <c r="H71" s="567"/>
      <c r="I71" s="567" t="str">
        <f t="shared" si="20"/>
        <v>attachmenttype[7]</v>
      </c>
      <c r="J71" s="571">
        <f t="shared" si="13"/>
        <v>8</v>
      </c>
      <c r="K71" s="571" t="str">
        <f t="shared" si="21"/>
        <v/>
      </c>
      <c r="L71" s="571" t="str">
        <f t="shared" si="22"/>
        <v/>
      </c>
      <c r="M71" s="571" t="str">
        <f t="shared" si="23"/>
        <v/>
      </c>
      <c r="N71" s="571">
        <f t="shared" si="24"/>
        <v>8</v>
      </c>
    </row>
    <row r="72" spans="1:14" ht="13.5" customHeight="1" x14ac:dyDescent="0.2">
      <c r="A72" s="567" t="str">
        <f t="shared" si="18"/>
        <v>Auxiliar4</v>
      </c>
      <c r="B72" s="567"/>
      <c r="C72" s="567"/>
      <c r="D72" s="567" t="str">
        <f t="shared" si="19"/>
        <v>AA8</v>
      </c>
      <c r="E72" s="567" t="str">
        <f>IF(N71="",IF(J71="j",_xlfn.CONCAT("Load"," ",Results!$C$40,".sim"),IF(K71="k",_xlfn.CONCAT("Load"," ",Results!$C$32,".sim"),"")),"Get Data")</f>
        <v>Get Data</v>
      </c>
      <c r="F72" s="567" t="str">
        <f t="shared" si="12"/>
        <v>Line</v>
      </c>
      <c r="G72" s="567"/>
      <c r="H72" s="567"/>
      <c r="I72" s="567" t="str">
        <f t="shared" si="20"/>
        <v>attachmenttype[8]</v>
      </c>
      <c r="J72" s="571">
        <f t="shared" si="13"/>
        <v>9</v>
      </c>
      <c r="K72" s="571" t="str">
        <f t="shared" si="21"/>
        <v/>
      </c>
      <c r="L72" s="571" t="str">
        <f t="shared" si="22"/>
        <v/>
      </c>
      <c r="M72" s="571" t="str">
        <f t="shared" si="23"/>
        <v/>
      </c>
      <c r="N72" s="571">
        <f t="shared" si="24"/>
        <v>9</v>
      </c>
    </row>
    <row r="73" spans="1:14" ht="13.5" customHeight="1" x14ac:dyDescent="0.2">
      <c r="A73" s="567" t="str">
        <f t="shared" si="18"/>
        <v>Auxiliar4</v>
      </c>
      <c r="B73" s="567"/>
      <c r="C73" s="567"/>
      <c r="D73" s="567" t="str">
        <f t="shared" si="19"/>
        <v>AA9</v>
      </c>
      <c r="E73" s="567" t="str">
        <f>IF(N72="",IF(J72="j",_xlfn.CONCAT("Load"," ",Results!$C$40,".sim"),IF(K72="k",_xlfn.CONCAT("Load"," ",Results!$C$32,".sim"),"")),"Get Data")</f>
        <v>Get Data</v>
      </c>
      <c r="F73" s="567" t="str">
        <f t="shared" si="12"/>
        <v>Line</v>
      </c>
      <c r="G73" s="567"/>
      <c r="H73" s="567"/>
      <c r="I73" s="567" t="str">
        <f t="shared" si="20"/>
        <v>attachmenttype[9]</v>
      </c>
      <c r="J73" s="571">
        <f t="shared" si="13"/>
        <v>10</v>
      </c>
      <c r="K73" s="571" t="str">
        <f t="shared" si="21"/>
        <v/>
      </c>
      <c r="L73" s="571" t="str">
        <f t="shared" si="22"/>
        <v/>
      </c>
      <c r="M73" s="571" t="str">
        <f t="shared" si="23"/>
        <v/>
      </c>
      <c r="N73" s="571">
        <f t="shared" si="24"/>
        <v>10</v>
      </c>
    </row>
    <row r="74" spans="1:14" ht="13.5" customHeight="1" x14ac:dyDescent="0.2">
      <c r="A74" s="567" t="str">
        <f t="shared" si="18"/>
        <v>Auxiliar4</v>
      </c>
      <c r="B74" s="567"/>
      <c r="C74" s="567"/>
      <c r="D74" s="567" t="str">
        <f t="shared" si="19"/>
        <v>AA10</v>
      </c>
      <c r="E74" s="567" t="str">
        <f>IF(N73="",IF(J73="j",_xlfn.CONCAT("Load"," ",Results!$C$40,".sim"),IF(K73="k",_xlfn.CONCAT("Load"," ",Results!$C$32,".sim"),"")),"Get Data")</f>
        <v>Get Data</v>
      </c>
      <c r="F74" s="567" t="str">
        <f t="shared" si="12"/>
        <v>Line</v>
      </c>
      <c r="G74" s="567"/>
      <c r="H74" s="567"/>
      <c r="I74" s="567" t="str">
        <f t="shared" si="20"/>
        <v>attachmenttype[10]</v>
      </c>
      <c r="J74" s="571">
        <f t="shared" si="13"/>
        <v>11</v>
      </c>
      <c r="K74" s="571" t="str">
        <f t="shared" si="21"/>
        <v/>
      </c>
      <c r="L74" s="571" t="str">
        <f t="shared" si="22"/>
        <v/>
      </c>
      <c r="M74" s="571" t="str">
        <f t="shared" si="23"/>
        <v/>
      </c>
      <c r="N74" s="571">
        <f t="shared" si="24"/>
        <v>11</v>
      </c>
    </row>
    <row r="75" spans="1:14" ht="13.5" customHeight="1" x14ac:dyDescent="0.2">
      <c r="A75" s="567" t="str">
        <f t="shared" si="18"/>
        <v>Auxiliar4</v>
      </c>
      <c r="B75" s="567"/>
      <c r="C75" s="567"/>
      <c r="D75" s="567" t="str">
        <f t="shared" si="19"/>
        <v>AA11</v>
      </c>
      <c r="E75" s="567" t="str">
        <f>IF(N74="",IF(J74="j",_xlfn.CONCAT("Load"," ",Results!$C$40,".sim"),IF(K74="k",_xlfn.CONCAT("Load"," ",Results!$C$32,".sim"),"")),"Get Data")</f>
        <v>Get Data</v>
      </c>
      <c r="F75" s="567" t="str">
        <f t="shared" si="12"/>
        <v>Line</v>
      </c>
      <c r="G75" s="567"/>
      <c r="H75" s="567"/>
      <c r="I75" s="567" t="str">
        <f t="shared" si="20"/>
        <v>attachmenttype[11]</v>
      </c>
      <c r="J75" s="571">
        <f t="shared" si="13"/>
        <v>12</v>
      </c>
      <c r="K75" s="571" t="str">
        <f t="shared" si="21"/>
        <v/>
      </c>
      <c r="L75" s="571" t="str">
        <f t="shared" si="22"/>
        <v/>
      </c>
      <c r="M75" s="571" t="str">
        <f t="shared" si="23"/>
        <v/>
      </c>
      <c r="N75" s="571">
        <f t="shared" si="24"/>
        <v>12</v>
      </c>
    </row>
    <row r="76" spans="1:14" ht="13.5" customHeight="1" x14ac:dyDescent="0.2">
      <c r="A76" s="567" t="str">
        <f t="shared" si="18"/>
        <v>Auxiliar4</v>
      </c>
      <c r="B76" s="567"/>
      <c r="C76" s="567"/>
      <c r="D76" s="567" t="str">
        <f t="shared" si="19"/>
        <v>AA12</v>
      </c>
      <c r="E76" s="567" t="str">
        <f>IF(N75="",IF(J75="j",_xlfn.CONCAT("Load"," ",Results!$C$40,".sim"),IF(K75="k",_xlfn.CONCAT("Load"," ",Results!$C$32,".sim"),"")),"Get Data")</f>
        <v>Get Data</v>
      </c>
      <c r="F76" s="567" t="str">
        <f t="shared" si="12"/>
        <v>Line</v>
      </c>
      <c r="G76" s="567"/>
      <c r="H76" s="567"/>
      <c r="I76" s="567" t="str">
        <f t="shared" si="20"/>
        <v>attachmenttype[12]</v>
      </c>
      <c r="J76" s="571">
        <f t="shared" si="13"/>
        <v>13</v>
      </c>
      <c r="K76" s="571" t="str">
        <f t="shared" si="21"/>
        <v/>
      </c>
      <c r="L76" s="571" t="str">
        <f t="shared" si="22"/>
        <v/>
      </c>
      <c r="M76" s="571" t="str">
        <f t="shared" si="23"/>
        <v/>
      </c>
      <c r="N76" s="571">
        <f t="shared" si="24"/>
        <v>13</v>
      </c>
    </row>
    <row r="77" spans="1:14" ht="13.5" customHeight="1" x14ac:dyDescent="0.2">
      <c r="A77" s="567" t="str">
        <f t="shared" si="18"/>
        <v>Auxiliar4</v>
      </c>
      <c r="B77" s="567"/>
      <c r="C77" s="567"/>
      <c r="D77" s="567" t="str">
        <f t="shared" si="19"/>
        <v>AA13</v>
      </c>
      <c r="E77" s="567" t="str">
        <f>IF(N76="",IF(J76="j",_xlfn.CONCAT("Load"," ",Results!$C$40,".sim"),IF(K76="k",_xlfn.CONCAT("Load"," ",Results!$C$32,".sim"),"")),"Get Data")</f>
        <v>Get Data</v>
      </c>
      <c r="F77" s="567" t="str">
        <f t="shared" si="12"/>
        <v>Line</v>
      </c>
      <c r="G77" s="567"/>
      <c r="H77" s="567"/>
      <c r="I77" s="567" t="str">
        <f t="shared" si="20"/>
        <v>attachmenttype[13]</v>
      </c>
      <c r="J77" s="571">
        <f t="shared" si="13"/>
        <v>14</v>
      </c>
      <c r="K77" s="571" t="str">
        <f t="shared" si="21"/>
        <v/>
      </c>
      <c r="L77" s="571" t="str">
        <f t="shared" si="22"/>
        <v/>
      </c>
      <c r="M77" s="571" t="str">
        <f t="shared" si="23"/>
        <v/>
      </c>
      <c r="N77" s="571">
        <f t="shared" si="24"/>
        <v>14</v>
      </c>
    </row>
    <row r="78" spans="1:14" ht="13.5" customHeight="1" x14ac:dyDescent="0.2">
      <c r="A78" s="567" t="str">
        <f t="shared" si="18"/>
        <v>Auxiliar4</v>
      </c>
      <c r="B78" s="567"/>
      <c r="C78" s="567"/>
      <c r="D78" s="567" t="str">
        <f t="shared" si="19"/>
        <v>AA14</v>
      </c>
      <c r="E78" s="567" t="str">
        <f>IF(N77="",IF(J77="j",_xlfn.CONCAT("Load"," ",Results!$C$40,".sim"),IF(K77="k",_xlfn.CONCAT("Load"," ",Results!$C$32,".sim"),"")),"Get Data")</f>
        <v>Get Data</v>
      </c>
      <c r="F78" s="567" t="str">
        <f t="shared" si="12"/>
        <v>Line</v>
      </c>
      <c r="G78" s="567"/>
      <c r="H78" s="567"/>
      <c r="I78" s="567" t="str">
        <f t="shared" si="20"/>
        <v>attachmenttype[14]</v>
      </c>
      <c r="J78" s="571">
        <f t="shared" si="13"/>
        <v>15</v>
      </c>
      <c r="K78" s="571" t="str">
        <f t="shared" si="21"/>
        <v/>
      </c>
      <c r="L78" s="571" t="str">
        <f t="shared" si="22"/>
        <v/>
      </c>
      <c r="M78" s="571" t="str">
        <f t="shared" si="23"/>
        <v/>
      </c>
      <c r="N78" s="571">
        <f t="shared" si="24"/>
        <v>15</v>
      </c>
    </row>
    <row r="79" spans="1:14" ht="13.5" customHeight="1" x14ac:dyDescent="0.2">
      <c r="A79" s="567" t="str">
        <f t="shared" si="18"/>
        <v>Auxiliar4</v>
      </c>
      <c r="B79" s="567"/>
      <c r="C79" s="567"/>
      <c r="D79" s="567" t="str">
        <f t="shared" si="19"/>
        <v>AA15</v>
      </c>
      <c r="E79" s="567" t="str">
        <f>IF(N78="",IF(J78="j",_xlfn.CONCAT("Load"," ",Results!$C$40,".sim"),IF(K78="k",_xlfn.CONCAT("Load"," ",Results!$C$32,".sim"),"")),"Get Data")</f>
        <v>Get Data</v>
      </c>
      <c r="F79" s="567" t="str">
        <f t="shared" si="12"/>
        <v>Line</v>
      </c>
      <c r="G79" s="567"/>
      <c r="H79" s="567"/>
      <c r="I79" s="567" t="str">
        <f t="shared" si="20"/>
        <v>attachmenttype[15]</v>
      </c>
      <c r="J79" s="571">
        <f t="shared" si="13"/>
        <v>16</v>
      </c>
      <c r="K79" s="571" t="str">
        <f t="shared" si="21"/>
        <v/>
      </c>
      <c r="L79" s="571" t="str">
        <f t="shared" si="22"/>
        <v/>
      </c>
      <c r="M79" s="571" t="str">
        <f t="shared" si="23"/>
        <v/>
      </c>
      <c r="N79" s="571">
        <f t="shared" si="24"/>
        <v>16</v>
      </c>
    </row>
    <row r="80" spans="1:14" ht="13.5" customHeight="1" x14ac:dyDescent="0.2">
      <c r="A80" s="567" t="str">
        <f t="shared" si="18"/>
        <v>Auxiliar4</v>
      </c>
      <c r="B80" s="567"/>
      <c r="C80" s="567"/>
      <c r="D80" s="567" t="str">
        <f t="shared" si="19"/>
        <v>AA16</v>
      </c>
      <c r="E80" s="567" t="str">
        <f>IF(N79="",IF(J79="j",_xlfn.CONCAT("Load"," ",Results!$C$40,".sim"),IF(K79="k",_xlfn.CONCAT("Load"," ",Results!$C$32,".sim"),"")),"Get Data")</f>
        <v>Get Data</v>
      </c>
      <c r="F80" s="567" t="str">
        <f t="shared" si="12"/>
        <v>Line</v>
      </c>
      <c r="G80" s="567"/>
      <c r="H80" s="567"/>
      <c r="I80" s="567" t="str">
        <f t="shared" si="20"/>
        <v>attachmenttype[16]</v>
      </c>
      <c r="J80" s="571">
        <f t="shared" si="13"/>
        <v>17</v>
      </c>
      <c r="K80" s="571" t="str">
        <f t="shared" si="21"/>
        <v/>
      </c>
      <c r="L80" s="571" t="str">
        <f t="shared" si="22"/>
        <v/>
      </c>
      <c r="M80" s="571" t="str">
        <f t="shared" si="23"/>
        <v/>
      </c>
      <c r="N80" s="571">
        <f t="shared" si="24"/>
        <v>17</v>
      </c>
    </row>
    <row r="81" spans="1:14" ht="13.5" customHeight="1" x14ac:dyDescent="0.2">
      <c r="A81" s="567" t="str">
        <f t="shared" si="18"/>
        <v>Auxiliar4</v>
      </c>
      <c r="B81" s="567"/>
      <c r="C81" s="567"/>
      <c r="D81" s="567" t="str">
        <f t="shared" si="19"/>
        <v>AA17</v>
      </c>
      <c r="E81" s="567" t="str">
        <f>IF(N80="",IF(J80="j",_xlfn.CONCAT("Load"," ",Results!$C$40,".sim"),IF(K80="k",_xlfn.CONCAT("Load"," ",Results!$C$32,".sim"),"")),"Get Data")</f>
        <v>Get Data</v>
      </c>
      <c r="F81" s="567" t="str">
        <f t="shared" si="12"/>
        <v>Line</v>
      </c>
      <c r="G81" s="567"/>
      <c r="H81" s="567"/>
      <c r="I81" s="567" t="str">
        <f t="shared" si="20"/>
        <v>attachmenttype[17]</v>
      </c>
      <c r="J81" s="571">
        <f t="shared" si="13"/>
        <v>18</v>
      </c>
      <c r="K81" s="571" t="str">
        <f t="shared" si="21"/>
        <v/>
      </c>
      <c r="L81" s="571" t="str">
        <f t="shared" si="22"/>
        <v/>
      </c>
      <c r="M81" s="571" t="str">
        <f t="shared" si="23"/>
        <v/>
      </c>
      <c r="N81" s="571">
        <f t="shared" si="24"/>
        <v>18</v>
      </c>
    </row>
    <row r="82" spans="1:14" ht="13.5" customHeight="1" x14ac:dyDescent="0.2">
      <c r="A82" s="567" t="str">
        <f t="shared" si="18"/>
        <v>Auxiliar4</v>
      </c>
      <c r="B82" s="567"/>
      <c r="C82" s="567"/>
      <c r="D82" s="567" t="str">
        <f t="shared" si="19"/>
        <v>AA18</v>
      </c>
      <c r="E82" s="567" t="str">
        <f>IF(N81="",IF(J81="j",_xlfn.CONCAT("Load"," ",Results!$C$40,".sim"),IF(K81="k",_xlfn.CONCAT("Load"," ",Results!$C$32,".sim"),"")),"Get Data")</f>
        <v>Get Data</v>
      </c>
      <c r="F82" s="567" t="str">
        <f t="shared" si="12"/>
        <v>Line</v>
      </c>
      <c r="G82" s="567"/>
      <c r="H82" s="567"/>
      <c r="I82" s="567" t="str">
        <f t="shared" si="20"/>
        <v>attachmenttype[18]</v>
      </c>
      <c r="J82" s="571">
        <f t="shared" si="13"/>
        <v>19</v>
      </c>
      <c r="K82" s="571" t="str">
        <f t="shared" si="21"/>
        <v/>
      </c>
      <c r="L82" s="571" t="str">
        <f t="shared" si="22"/>
        <v/>
      </c>
      <c r="M82" s="571" t="str">
        <f t="shared" si="23"/>
        <v/>
      </c>
      <c r="N82" s="571">
        <f t="shared" si="24"/>
        <v>19</v>
      </c>
    </row>
    <row r="83" spans="1:14" ht="13.5" customHeight="1" x14ac:dyDescent="0.2">
      <c r="A83" s="567" t="str">
        <f t="shared" si="18"/>
        <v>Auxiliar4</v>
      </c>
      <c r="B83" s="567"/>
      <c r="C83" s="567"/>
      <c r="D83" s="567" t="str">
        <f t="shared" si="19"/>
        <v>AA19</v>
      </c>
      <c r="E83" s="567" t="str">
        <f>IF(N82="",IF(J82="j",_xlfn.CONCAT("Load"," ",Results!$C$40,".sim"),IF(K82="k",_xlfn.CONCAT("Load"," ",Results!$C$32,".sim"),"")),"Get Data")</f>
        <v>Get Data</v>
      </c>
      <c r="F83" s="567" t="str">
        <f t="shared" si="12"/>
        <v>Line</v>
      </c>
      <c r="G83" s="567"/>
      <c r="H83" s="567"/>
      <c r="I83" s="567" t="str">
        <f t="shared" si="20"/>
        <v>attachmenttype[19]</v>
      </c>
      <c r="J83" s="571">
        <f t="shared" si="13"/>
        <v>20</v>
      </c>
      <c r="K83" s="571" t="str">
        <f t="shared" si="21"/>
        <v/>
      </c>
      <c r="L83" s="571" t="str">
        <f t="shared" si="22"/>
        <v/>
      </c>
      <c r="M83" s="571" t="str">
        <f t="shared" si="23"/>
        <v/>
      </c>
      <c r="N83" s="571">
        <f t="shared" si="24"/>
        <v>20</v>
      </c>
    </row>
    <row r="84" spans="1:14" ht="13.5" customHeight="1" x14ac:dyDescent="0.2">
      <c r="A84" s="567" t="str">
        <f t="shared" si="18"/>
        <v>Auxiliar4</v>
      </c>
      <c r="B84" s="567"/>
      <c r="C84" s="567"/>
      <c r="D84" s="567" t="str">
        <f t="shared" si="19"/>
        <v>AA20</v>
      </c>
      <c r="E84" s="567" t="str">
        <f>IF(N83="",IF(J83="j",_xlfn.CONCAT("Load"," ",Results!$C$40,".sim"),IF(K83="k",_xlfn.CONCAT("Load"," ",Results!$C$32,".sim"),"")),"Get Data")</f>
        <v>Get Data</v>
      </c>
      <c r="F84" s="567" t="str">
        <f t="shared" si="12"/>
        <v>Line</v>
      </c>
      <c r="G84" s="567"/>
      <c r="H84" s="567"/>
      <c r="I84" s="567" t="str">
        <f t="shared" si="20"/>
        <v>attachmenttype[20]</v>
      </c>
      <c r="J84" s="571">
        <f t="shared" si="13"/>
        <v>21</v>
      </c>
      <c r="K84" s="571" t="str">
        <f t="shared" si="21"/>
        <v/>
      </c>
      <c r="L84" s="571" t="str">
        <f t="shared" si="22"/>
        <v/>
      </c>
      <c r="M84" s="571" t="str">
        <f t="shared" si="23"/>
        <v/>
      </c>
      <c r="N84" s="571">
        <f t="shared" si="24"/>
        <v>21</v>
      </c>
    </row>
    <row r="85" spans="1:14" ht="13.5" customHeight="1" x14ac:dyDescent="0.2">
      <c r="A85" s="567" t="str">
        <f t="shared" si="18"/>
        <v>Auxiliar4</v>
      </c>
      <c r="B85" s="567"/>
      <c r="C85" s="567"/>
      <c r="D85" s="567" t="str">
        <f t="shared" si="19"/>
        <v>AA21</v>
      </c>
      <c r="E85" s="567" t="str">
        <f>IF(N84="",IF(J84="j",_xlfn.CONCAT("Load"," ",Results!$C$40,".sim"),IF(K84="k",_xlfn.CONCAT("Load"," ",Results!$C$32,".sim"),"")),"Get Data")</f>
        <v>Get Data</v>
      </c>
      <c r="F85" s="567" t="str">
        <f t="shared" si="12"/>
        <v>Line</v>
      </c>
      <c r="G85" s="567"/>
      <c r="H85" s="567"/>
      <c r="I85" s="567" t="str">
        <f t="shared" si="20"/>
        <v>attachmenttype[21]</v>
      </c>
      <c r="J85" s="571">
        <f t="shared" si="13"/>
        <v>22</v>
      </c>
      <c r="K85" s="571" t="str">
        <f t="shared" si="21"/>
        <v/>
      </c>
      <c r="L85" s="571" t="str">
        <f t="shared" si="22"/>
        <v/>
      </c>
      <c r="M85" s="571" t="str">
        <f t="shared" si="23"/>
        <v/>
      </c>
      <c r="N85" s="571">
        <f t="shared" si="24"/>
        <v>22</v>
      </c>
    </row>
    <row r="86" spans="1:14" ht="13.5" customHeight="1" x14ac:dyDescent="0.2">
      <c r="A86" s="567" t="str">
        <f t="shared" si="18"/>
        <v>Auxiliar4</v>
      </c>
      <c r="B86" s="567"/>
      <c r="C86" s="567"/>
      <c r="D86" s="567" t="str">
        <f t="shared" si="19"/>
        <v>AA22</v>
      </c>
      <c r="E86" s="567" t="str">
        <f>IF(N85="",IF(J85="j",_xlfn.CONCAT("Load"," ",Results!$C$40,".sim"),IF(K85="k",_xlfn.CONCAT("Load"," ",Results!$C$32,".sim"),"")),"Get Data")</f>
        <v>Get Data</v>
      </c>
      <c r="F86" s="567" t="str">
        <f t="shared" si="12"/>
        <v>Line</v>
      </c>
      <c r="G86" s="567"/>
      <c r="H86" s="567"/>
      <c r="I86" s="567" t="str">
        <f t="shared" si="20"/>
        <v>attachmenttype[22]</v>
      </c>
      <c r="J86" s="571">
        <f t="shared" si="13"/>
        <v>23</v>
      </c>
      <c r="K86" s="571" t="str">
        <f t="shared" si="21"/>
        <v/>
      </c>
      <c r="L86" s="571" t="str">
        <f t="shared" si="22"/>
        <v/>
      </c>
      <c r="M86" s="571" t="str">
        <f t="shared" si="23"/>
        <v/>
      </c>
      <c r="N86" s="571">
        <f t="shared" si="24"/>
        <v>23</v>
      </c>
    </row>
    <row r="87" spans="1:14" ht="13.5" customHeight="1" x14ac:dyDescent="0.2">
      <c r="A87" s="567" t="str">
        <f t="shared" si="18"/>
        <v>Auxiliar4</v>
      </c>
      <c r="B87" s="567"/>
      <c r="C87" s="567"/>
      <c r="D87" s="567" t="str">
        <f t="shared" si="19"/>
        <v>AA23</v>
      </c>
      <c r="E87" s="567" t="str">
        <f>IF(N86="",IF(J86="j",_xlfn.CONCAT("Load"," ",Results!$C$40,".sim"),IF(K86="k",_xlfn.CONCAT("Load"," ",Results!$C$32,".sim"),"")),"Get Data")</f>
        <v>Get Data</v>
      </c>
      <c r="F87" s="567" t="str">
        <f t="shared" si="12"/>
        <v>Line</v>
      </c>
      <c r="G87" s="567"/>
      <c r="H87" s="567"/>
      <c r="I87" s="567" t="str">
        <f t="shared" si="20"/>
        <v>attachmenttype[23]</v>
      </c>
      <c r="J87" s="571">
        <f t="shared" si="13"/>
        <v>24</v>
      </c>
      <c r="K87" s="571" t="str">
        <f t="shared" si="21"/>
        <v/>
      </c>
      <c r="L87" s="571" t="str">
        <f t="shared" si="22"/>
        <v/>
      </c>
      <c r="M87" s="571" t="str">
        <f t="shared" si="23"/>
        <v/>
      </c>
      <c r="N87" s="571">
        <f t="shared" si="24"/>
        <v>24</v>
      </c>
    </row>
    <row r="88" spans="1:14" ht="13.5" customHeight="1" x14ac:dyDescent="0.2">
      <c r="A88" s="567" t="str">
        <f t="shared" si="18"/>
        <v>Auxiliar4</v>
      </c>
      <c r="B88" s="567"/>
      <c r="C88" s="567"/>
      <c r="D88" s="567" t="str">
        <f t="shared" si="19"/>
        <v>AA24</v>
      </c>
      <c r="E88" s="567" t="str">
        <f>IF(N87="",IF(J87="j",_xlfn.CONCAT("Load"," ",Results!$C$40,".sim"),IF(K87="k",_xlfn.CONCAT("Load"," ",Results!$C$32,".sim"),"")),"Get Data")</f>
        <v>Get Data</v>
      </c>
      <c r="F88" s="567" t="str">
        <f t="shared" si="12"/>
        <v>Line</v>
      </c>
      <c r="G88" s="567"/>
      <c r="H88" s="567"/>
      <c r="I88" s="567" t="str">
        <f t="shared" si="20"/>
        <v>attachmenttype[24]</v>
      </c>
      <c r="J88" s="571">
        <f t="shared" si="13"/>
        <v>25</v>
      </c>
      <c r="K88" s="571" t="str">
        <f t="shared" si="21"/>
        <v/>
      </c>
      <c r="L88" s="571" t="str">
        <f t="shared" si="22"/>
        <v/>
      </c>
      <c r="M88" s="571" t="str">
        <f t="shared" si="23"/>
        <v/>
      </c>
      <c r="N88" s="571">
        <f t="shared" si="24"/>
        <v>25</v>
      </c>
    </row>
    <row r="89" spans="1:14" ht="13.5" customHeight="1" x14ac:dyDescent="0.2">
      <c r="A89" s="567" t="str">
        <f t="shared" si="18"/>
        <v>Auxiliar4</v>
      </c>
      <c r="B89" s="567"/>
      <c r="C89" s="567"/>
      <c r="D89" s="567" t="str">
        <f t="shared" si="19"/>
        <v>AA25</v>
      </c>
      <c r="E89" s="567" t="str">
        <f>IF(N88="",IF(J88="j",_xlfn.CONCAT("Load"," ",Results!$C$40,".sim"),IF(K88="k",_xlfn.CONCAT("Load"," ",Results!$C$32,".sim"),"")),"Get Data")</f>
        <v>Get Data</v>
      </c>
      <c r="F89" s="567" t="str">
        <f t="shared" si="12"/>
        <v>Line</v>
      </c>
      <c r="G89" s="567"/>
      <c r="H89" s="567"/>
      <c r="I89" s="567" t="str">
        <f t="shared" si="20"/>
        <v>attachmenttype[25]</v>
      </c>
      <c r="J89" s="571">
        <f t="shared" si="13"/>
        <v>26</v>
      </c>
      <c r="K89" s="571" t="str">
        <f t="shared" si="21"/>
        <v/>
      </c>
      <c r="L89" s="571" t="str">
        <f t="shared" si="22"/>
        <v/>
      </c>
      <c r="M89" s="571" t="str">
        <f t="shared" si="23"/>
        <v/>
      </c>
      <c r="N89" s="571">
        <f t="shared" si="24"/>
        <v>26</v>
      </c>
    </row>
    <row r="90" spans="1:14" ht="13.5" customHeight="1" x14ac:dyDescent="0.2">
      <c r="A90" s="567" t="str">
        <f t="shared" si="18"/>
        <v>Auxiliar4</v>
      </c>
      <c r="B90" s="567"/>
      <c r="C90" s="567"/>
      <c r="D90" s="567" t="str">
        <f t="shared" si="19"/>
        <v>AA26</v>
      </c>
      <c r="E90" s="567" t="str">
        <f>IF(N89="",IF(J89="j",_xlfn.CONCAT("Load"," ",Results!$C$40,".sim"),IF(K89="k",_xlfn.CONCAT("Load"," ",Results!$C$32,".sim"),"")),"Get Data")</f>
        <v>Get Data</v>
      </c>
      <c r="F90" s="567" t="str">
        <f t="shared" si="12"/>
        <v>Line</v>
      </c>
      <c r="G90" s="567"/>
      <c r="H90" s="567"/>
      <c r="I90" s="567" t="str">
        <f t="shared" si="20"/>
        <v>attachmenttype[26]</v>
      </c>
      <c r="J90" s="571">
        <f t="shared" si="13"/>
        <v>27</v>
      </c>
      <c r="K90" s="571" t="str">
        <f t="shared" si="21"/>
        <v/>
      </c>
      <c r="L90" s="571" t="str">
        <f t="shared" si="22"/>
        <v/>
      </c>
      <c r="M90" s="571" t="str">
        <f t="shared" si="23"/>
        <v/>
      </c>
      <c r="N90" s="571">
        <f t="shared" si="24"/>
        <v>27</v>
      </c>
    </row>
    <row r="91" spans="1:14" ht="13.5" customHeight="1" x14ac:dyDescent="0.2">
      <c r="A91" s="567" t="str">
        <f t="shared" si="18"/>
        <v>Auxiliar4</v>
      </c>
      <c r="B91" s="567"/>
      <c r="C91" s="567"/>
      <c r="D91" s="567" t="str">
        <f t="shared" si="19"/>
        <v>AA27</v>
      </c>
      <c r="E91" s="567" t="str">
        <f>IF(N90="",IF(J90="j",_xlfn.CONCAT("Load"," ",Results!$C$40,".sim"),IF(K90="k",_xlfn.CONCAT("Load"," ",Results!$C$32,".sim"),"")),"Get Data")</f>
        <v>Get Data</v>
      </c>
      <c r="F91" s="567" t="str">
        <f t="shared" si="12"/>
        <v>Line</v>
      </c>
      <c r="G91" s="567"/>
      <c r="H91" s="567"/>
      <c r="I91" s="567" t="str">
        <f t="shared" si="20"/>
        <v>attachmenttype[27]</v>
      </c>
      <c r="J91" s="571">
        <f t="shared" si="13"/>
        <v>28</v>
      </c>
      <c r="K91" s="571" t="str">
        <f t="shared" si="21"/>
        <v/>
      </c>
      <c r="L91" s="571" t="str">
        <f t="shared" si="22"/>
        <v/>
      </c>
      <c r="M91" s="571" t="str">
        <f t="shared" si="23"/>
        <v/>
      </c>
      <c r="N91" s="571">
        <f t="shared" si="24"/>
        <v>28</v>
      </c>
    </row>
    <row r="92" spans="1:14" ht="13.5" customHeight="1" x14ac:dyDescent="0.2">
      <c r="A92" s="567" t="str">
        <f t="shared" si="18"/>
        <v>Auxiliar4</v>
      </c>
      <c r="B92" s="567"/>
      <c r="C92" s="567"/>
      <c r="D92" s="567" t="str">
        <f t="shared" si="19"/>
        <v>AA28</v>
      </c>
      <c r="E92" s="567" t="str">
        <f>IF(N91="",IF(J91="j",_xlfn.CONCAT("Load"," ",Results!$C$40,".sim"),IF(K91="k",_xlfn.CONCAT("Load"," ",Results!$C$32,".sim"),"")),"Get Data")</f>
        <v>Get Data</v>
      </c>
      <c r="F92" s="567" t="str">
        <f t="shared" si="12"/>
        <v>Line</v>
      </c>
      <c r="G92" s="567"/>
      <c r="H92" s="567"/>
      <c r="I92" s="567" t="str">
        <f t="shared" si="20"/>
        <v>attachmenttype[28]</v>
      </c>
      <c r="J92" s="571">
        <f t="shared" si="13"/>
        <v>29</v>
      </c>
      <c r="K92" s="571" t="str">
        <f t="shared" si="21"/>
        <v/>
      </c>
      <c r="L92" s="571" t="str">
        <f t="shared" si="22"/>
        <v/>
      </c>
      <c r="M92" s="571" t="str">
        <f t="shared" si="23"/>
        <v/>
      </c>
      <c r="N92" s="571">
        <f t="shared" si="24"/>
        <v>29</v>
      </c>
    </row>
    <row r="93" spans="1:14" ht="13.5" customHeight="1" x14ac:dyDescent="0.2">
      <c r="A93" s="567" t="str">
        <f t="shared" si="18"/>
        <v>Auxiliar4</v>
      </c>
      <c r="B93" s="567"/>
      <c r="C93" s="567"/>
      <c r="D93" s="567" t="str">
        <f t="shared" si="19"/>
        <v>AA29</v>
      </c>
      <c r="E93" s="567" t="str">
        <f>IF(N92="",IF(J92="j",_xlfn.CONCAT("Load"," ",Results!$C$40,".sim"),IF(K92="k",_xlfn.CONCAT("Load"," ",Results!$C$32,".sim"),"")),"Get Data")</f>
        <v>Get Data</v>
      </c>
      <c r="F93" s="567" t="str">
        <f t="shared" si="12"/>
        <v>Line</v>
      </c>
      <c r="G93" s="567"/>
      <c r="H93" s="567"/>
      <c r="I93" s="567" t="str">
        <f t="shared" si="20"/>
        <v>attachmenttype[29]</v>
      </c>
      <c r="J93" s="571">
        <f t="shared" si="13"/>
        <v>30</v>
      </c>
      <c r="K93" s="571" t="str">
        <f t="shared" si="21"/>
        <v/>
      </c>
      <c r="L93" s="571" t="str">
        <f t="shared" si="22"/>
        <v/>
      </c>
      <c r="M93" s="571" t="str">
        <f t="shared" si="23"/>
        <v/>
      </c>
      <c r="N93" s="571">
        <f t="shared" si="24"/>
        <v>30</v>
      </c>
    </row>
    <row r="94" spans="1:14" ht="13.5" customHeight="1" x14ac:dyDescent="0.2">
      <c r="A94" s="567" t="str">
        <f t="shared" si="18"/>
        <v>Auxiliar4</v>
      </c>
      <c r="B94" s="567"/>
      <c r="C94" s="567"/>
      <c r="D94" s="567" t="str">
        <f t="shared" si="19"/>
        <v>AA30</v>
      </c>
      <c r="E94" s="567" t="str">
        <f>IF(N93="",IF(J93="j",_xlfn.CONCAT("Load"," ",Results!$C$40,".sim"),IF(K93="k",_xlfn.CONCAT("Load"," ",Results!$C$32,".sim"),"")),"Get Data")</f>
        <v>Get Data</v>
      </c>
      <c r="F94" s="567" t="str">
        <f t="shared" si="12"/>
        <v>Line</v>
      </c>
      <c r="G94" s="567"/>
      <c r="H94" s="567"/>
      <c r="I94" s="567" t="str">
        <f t="shared" si="20"/>
        <v>attachmenttype[30]</v>
      </c>
      <c r="J94" s="571">
        <f t="shared" si="13"/>
        <v>31</v>
      </c>
      <c r="K94" s="571" t="str">
        <f t="shared" si="21"/>
        <v/>
      </c>
      <c r="L94" s="571" t="str">
        <f t="shared" si="22"/>
        <v/>
      </c>
      <c r="M94" s="571" t="str">
        <f t="shared" si="23"/>
        <v/>
      </c>
      <c r="N94" s="571">
        <f t="shared" si="24"/>
        <v>31</v>
      </c>
    </row>
    <row r="95" spans="1:14" ht="13.5" customHeight="1" x14ac:dyDescent="0.2">
      <c r="A95" s="567" t="str">
        <f t="shared" si="18"/>
        <v>Auxiliar4</v>
      </c>
      <c r="B95" s="567"/>
      <c r="C95" s="567"/>
      <c r="D95" s="567" t="str">
        <f t="shared" si="19"/>
        <v>AA31</v>
      </c>
      <c r="E95" s="567" t="str">
        <f>IF(N94="",IF(J94="j",_xlfn.CONCAT("Load"," ",Results!$C$40,".sim"),IF(K94="k",_xlfn.CONCAT("Load"," ",Results!$C$32,".sim"),"")),"Get Data")</f>
        <v>Get Data</v>
      </c>
      <c r="F95" s="567" t="str">
        <f t="shared" si="12"/>
        <v>Line</v>
      </c>
      <c r="G95" s="567"/>
      <c r="H95" s="567"/>
      <c r="I95" s="567" t="str">
        <f t="shared" si="20"/>
        <v>attachmenttype[31]</v>
      </c>
      <c r="J95" s="571">
        <f t="shared" si="13"/>
        <v>32</v>
      </c>
      <c r="K95" s="571" t="str">
        <f t="shared" si="21"/>
        <v/>
      </c>
      <c r="L95" s="571" t="str">
        <f t="shared" si="22"/>
        <v/>
      </c>
      <c r="M95" s="571" t="str">
        <f t="shared" si="23"/>
        <v/>
      </c>
      <c r="N95" s="571">
        <f t="shared" si="24"/>
        <v>32</v>
      </c>
    </row>
    <row r="96" spans="1:14" ht="13.5" customHeight="1" x14ac:dyDescent="0.2">
      <c r="A96" s="567" t="str">
        <f t="shared" si="18"/>
        <v>Auxiliar4</v>
      </c>
      <c r="B96" s="567"/>
      <c r="C96" s="567"/>
      <c r="D96" s="567" t="str">
        <f t="shared" si="19"/>
        <v>AA32</v>
      </c>
      <c r="E96" s="567" t="str">
        <f>IF(N95="",IF(J95="j",_xlfn.CONCAT("Load"," ",Results!$C$40,".sim"),IF(K95="k",_xlfn.CONCAT("Load"," ",Results!$C$32,".sim"),"")),"Get Data")</f>
        <v>Get Data</v>
      </c>
      <c r="F96" s="567" t="str">
        <f t="shared" si="12"/>
        <v>Line</v>
      </c>
      <c r="G96" s="567"/>
      <c r="H96" s="567"/>
      <c r="I96" s="567" t="str">
        <f t="shared" si="20"/>
        <v>attachmenttype[32]</v>
      </c>
      <c r="J96" s="571">
        <f t="shared" si="13"/>
        <v>33</v>
      </c>
      <c r="K96" s="571" t="str">
        <f t="shared" si="21"/>
        <v/>
      </c>
      <c r="L96" s="571" t="str">
        <f t="shared" si="22"/>
        <v/>
      </c>
      <c r="M96" s="571" t="str">
        <f t="shared" si="23"/>
        <v/>
      </c>
      <c r="N96" s="571">
        <f t="shared" si="24"/>
        <v>33</v>
      </c>
    </row>
    <row r="97" spans="1:14" ht="13.5" customHeight="1" x14ac:dyDescent="0.2">
      <c r="A97" s="567" t="str">
        <f t="shared" si="18"/>
        <v>Auxiliar4</v>
      </c>
      <c r="B97" s="567"/>
      <c r="C97" s="567"/>
      <c r="D97" s="567" t="str">
        <f t="shared" si="19"/>
        <v>AA33</v>
      </c>
      <c r="E97" s="567" t="str">
        <f>IF(N96="",IF(J96="j",_xlfn.CONCAT("Load"," ",Results!$C$40,".sim"),IF(K96="k",_xlfn.CONCAT("Load"," ",Results!$C$32,".sim"),"")),"Get Data")</f>
        <v>Get Data</v>
      </c>
      <c r="F97" s="567" t="str">
        <f t="shared" ref="F97:F116" si="25">IF(N96="","",$L$6)</f>
        <v>Line</v>
      </c>
      <c r="G97" s="567"/>
      <c r="H97" s="567"/>
      <c r="I97" s="567" t="str">
        <f t="shared" si="20"/>
        <v>attachmenttype[33]</v>
      </c>
      <c r="J97" s="571">
        <f t="shared" ref="J97:J115" si="26">IFERROR(IF(J96="",J$23+1,IF(J96=J$61,"j",J96+1)),"jj")</f>
        <v>34</v>
      </c>
      <c r="K97" s="571" t="str">
        <f t="shared" si="21"/>
        <v/>
      </c>
      <c r="L97" s="571" t="str">
        <f t="shared" si="22"/>
        <v/>
      </c>
      <c r="M97" s="571" t="str">
        <f t="shared" si="23"/>
        <v/>
      </c>
      <c r="N97" s="571">
        <f t="shared" si="24"/>
        <v>34</v>
      </c>
    </row>
    <row r="98" spans="1:14" ht="13.5" customHeight="1" x14ac:dyDescent="0.2">
      <c r="A98" s="567" t="str">
        <f t="shared" si="18"/>
        <v>Auxiliar4</v>
      </c>
      <c r="B98" s="567"/>
      <c r="C98" s="567"/>
      <c r="D98" s="567" t="str">
        <f t="shared" si="19"/>
        <v>AA34</v>
      </c>
      <c r="E98" s="567" t="str">
        <f>IF(N97="",IF(J97="j",_xlfn.CONCAT("Load"," ",Results!$C$40,".sim"),IF(K97="k",_xlfn.CONCAT("Load"," ",Results!$C$32,".sim"),"")),"Get Data")</f>
        <v>Get Data</v>
      </c>
      <c r="F98" s="567" t="str">
        <f t="shared" si="25"/>
        <v>Line</v>
      </c>
      <c r="G98" s="567"/>
      <c r="H98" s="567"/>
      <c r="I98" s="567" t="str">
        <f t="shared" si="20"/>
        <v>attachmenttype[34]</v>
      </c>
      <c r="J98" s="571">
        <f t="shared" si="26"/>
        <v>35</v>
      </c>
      <c r="K98" s="571" t="str">
        <f t="shared" si="21"/>
        <v/>
      </c>
      <c r="L98" s="571" t="str">
        <f t="shared" si="22"/>
        <v/>
      </c>
      <c r="M98" s="571" t="str">
        <f t="shared" si="23"/>
        <v/>
      </c>
      <c r="N98" s="571">
        <f t="shared" si="24"/>
        <v>35</v>
      </c>
    </row>
    <row r="99" spans="1:14" ht="13.5" customHeight="1" x14ac:dyDescent="0.2">
      <c r="A99" s="567" t="str">
        <f t="shared" si="18"/>
        <v>Auxiliar4</v>
      </c>
      <c r="B99" s="567"/>
      <c r="C99" s="567"/>
      <c r="D99" s="567" t="str">
        <f t="shared" si="19"/>
        <v>AA35</v>
      </c>
      <c r="E99" s="567" t="str">
        <f>IF(N98="",IF(J98="j",_xlfn.CONCAT("Load"," ",Results!$C$40,".sim"),IF(K98="k",_xlfn.CONCAT("Load"," ",Results!$C$32,".sim"),"")),"Get Data")</f>
        <v>Get Data</v>
      </c>
      <c r="F99" s="567" t="str">
        <f t="shared" si="25"/>
        <v>Line</v>
      </c>
      <c r="G99" s="567"/>
      <c r="H99" s="567"/>
      <c r="I99" s="567" t="str">
        <f t="shared" si="20"/>
        <v>attachmenttype[35]</v>
      </c>
      <c r="J99" s="571">
        <f t="shared" si="26"/>
        <v>36</v>
      </c>
      <c r="K99" s="571" t="str">
        <f t="shared" si="21"/>
        <v/>
      </c>
      <c r="L99" s="571" t="str">
        <f t="shared" si="22"/>
        <v/>
      </c>
      <c r="M99" s="571" t="str">
        <f t="shared" si="23"/>
        <v/>
      </c>
      <c r="N99" s="571">
        <f t="shared" si="24"/>
        <v>36</v>
      </c>
    </row>
    <row r="100" spans="1:14" ht="13.5" customHeight="1" x14ac:dyDescent="0.2">
      <c r="A100" s="567" t="str">
        <f t="shared" si="18"/>
        <v>Auxiliar4</v>
      </c>
      <c r="B100" s="567"/>
      <c r="C100" s="567"/>
      <c r="D100" s="567" t="str">
        <f t="shared" si="19"/>
        <v>AA36</v>
      </c>
      <c r="E100" s="567" t="str">
        <f>IF(N99="",IF(J99="j",_xlfn.CONCAT("Load"," ",Results!$C$40,".sim"),IF(K99="k",_xlfn.CONCAT("Load"," ",Results!$C$32,".sim"),"")),"Get Data")</f>
        <v>Get Data</v>
      </c>
      <c r="F100" s="567" t="str">
        <f t="shared" si="25"/>
        <v>Line</v>
      </c>
      <c r="G100" s="567"/>
      <c r="H100" s="567"/>
      <c r="I100" s="567" t="str">
        <f t="shared" si="20"/>
        <v>attachmenttype[36]</v>
      </c>
      <c r="J100" s="571">
        <f t="shared" si="26"/>
        <v>37</v>
      </c>
      <c r="K100" s="571" t="str">
        <f t="shared" si="21"/>
        <v/>
      </c>
      <c r="L100" s="571" t="str">
        <f t="shared" si="22"/>
        <v/>
      </c>
      <c r="M100" s="571" t="str">
        <f t="shared" si="23"/>
        <v/>
      </c>
      <c r="N100" s="571">
        <f t="shared" si="24"/>
        <v>37</v>
      </c>
    </row>
    <row r="101" spans="1:14" ht="13.5" customHeight="1" x14ac:dyDescent="0.2">
      <c r="A101" s="567" t="str">
        <f t="shared" si="18"/>
        <v>Auxiliar4</v>
      </c>
      <c r="B101" s="567"/>
      <c r="C101" s="567"/>
      <c r="D101" s="567" t="str">
        <f t="shared" si="19"/>
        <v>AA37</v>
      </c>
      <c r="E101" s="567" t="str">
        <f>IF(N100="",IF(J100="j",_xlfn.CONCAT("Load"," ",Results!$C$40,".sim"),IF(K100="k",_xlfn.CONCAT("Load"," ",Results!$C$32,".sim"),"")),"Get Data")</f>
        <v>Get Data</v>
      </c>
      <c r="F101" s="567" t="str">
        <f t="shared" si="25"/>
        <v>Line</v>
      </c>
      <c r="G101" s="567"/>
      <c r="H101" s="567"/>
      <c r="I101" s="567" t="str">
        <f t="shared" si="20"/>
        <v>attachmenttype[37]</v>
      </c>
      <c r="J101" s="571">
        <f t="shared" si="26"/>
        <v>38</v>
      </c>
      <c r="K101" s="571" t="str">
        <f t="shared" si="21"/>
        <v/>
      </c>
      <c r="L101" s="571" t="str">
        <f t="shared" si="22"/>
        <v/>
      </c>
      <c r="M101" s="571" t="str">
        <f t="shared" si="23"/>
        <v/>
      </c>
      <c r="N101" s="571">
        <f t="shared" si="24"/>
        <v>38</v>
      </c>
    </row>
    <row r="102" spans="1:14" ht="13.5" customHeight="1" x14ac:dyDescent="0.2">
      <c r="A102" s="567" t="str">
        <f t="shared" si="18"/>
        <v>Auxiliar4</v>
      </c>
      <c r="B102" s="567"/>
      <c r="C102" s="567"/>
      <c r="D102" s="567" t="str">
        <f t="shared" si="19"/>
        <v>AA38</v>
      </c>
      <c r="E102" s="567" t="str">
        <f>IF(N101="",IF(J101="j",_xlfn.CONCAT("Load"," ",Results!$C$40,".sim"),IF(K101="k",_xlfn.CONCAT("Load"," ",Results!$C$32,".sim"),"")),"Get Data")</f>
        <v>Get Data</v>
      </c>
      <c r="F102" s="567" t="str">
        <f t="shared" si="25"/>
        <v>Line</v>
      </c>
      <c r="G102" s="567"/>
      <c r="H102" s="567"/>
      <c r="I102" s="567" t="str">
        <f t="shared" si="20"/>
        <v>attachmenttype[38]</v>
      </c>
      <c r="J102" s="571">
        <f t="shared" si="26"/>
        <v>39</v>
      </c>
      <c r="K102" s="571" t="str">
        <f t="shared" si="21"/>
        <v/>
      </c>
      <c r="L102" s="571" t="str">
        <f t="shared" si="22"/>
        <v/>
      </c>
      <c r="M102" s="571" t="str">
        <f t="shared" si="23"/>
        <v/>
      </c>
      <c r="N102" s="571">
        <f t="shared" si="24"/>
        <v>39</v>
      </c>
    </row>
    <row r="103" spans="1:14" ht="13.5" customHeight="1" x14ac:dyDescent="0.2">
      <c r="A103" s="567" t="str">
        <f t="shared" si="18"/>
        <v>Auxiliar4</v>
      </c>
      <c r="B103" s="567"/>
      <c r="C103" s="567"/>
      <c r="D103" s="567" t="str">
        <f t="shared" si="19"/>
        <v>AA39</v>
      </c>
      <c r="E103" s="567" t="str">
        <f>IF(N102="",IF(J102="j",_xlfn.CONCAT("Load"," ",Results!$C$40,".sim"),IF(K102="k",_xlfn.CONCAT("Load"," ",Results!$C$32,".sim"),"")),"Get Data")</f>
        <v>Get Data</v>
      </c>
      <c r="F103" s="567" t="str">
        <f t="shared" si="25"/>
        <v>Line</v>
      </c>
      <c r="G103" s="567"/>
      <c r="H103" s="567"/>
      <c r="I103" s="567" t="str">
        <f t="shared" si="20"/>
        <v>attachmenttype[39]</v>
      </c>
      <c r="J103" s="571">
        <f t="shared" si="26"/>
        <v>40</v>
      </c>
      <c r="K103" s="571" t="str">
        <f t="shared" si="21"/>
        <v/>
      </c>
      <c r="L103" s="571" t="str">
        <f t="shared" si="22"/>
        <v/>
      </c>
      <c r="M103" s="571" t="str">
        <f t="shared" si="23"/>
        <v/>
      </c>
      <c r="N103" s="571">
        <f t="shared" si="24"/>
        <v>40</v>
      </c>
    </row>
    <row r="104" spans="1:14" ht="13.5" customHeight="1" x14ac:dyDescent="0.2">
      <c r="A104" s="567" t="str">
        <f t="shared" si="18"/>
        <v>Auxiliar4</v>
      </c>
      <c r="B104" s="567"/>
      <c r="C104" s="567"/>
      <c r="D104" s="567" t="str">
        <f t="shared" si="19"/>
        <v>AA40</v>
      </c>
      <c r="E104" s="567" t="str">
        <f>IF(N103="",IF(J103="j",_xlfn.CONCAT("Load"," ",Results!$C$40,".sim"),IF(K103="k",_xlfn.CONCAT("Load"," ",Results!$C$32,".sim"),"")),"Get Data")</f>
        <v>Get Data</v>
      </c>
      <c r="F104" s="567" t="str">
        <f t="shared" si="25"/>
        <v>Line</v>
      </c>
      <c r="G104" s="567"/>
      <c r="H104" s="567"/>
      <c r="I104" s="567" t="str">
        <f t="shared" si="20"/>
        <v>attachmenttype[40]</v>
      </c>
      <c r="J104" s="571">
        <f t="shared" si="26"/>
        <v>41</v>
      </c>
      <c r="K104" s="571" t="str">
        <f t="shared" si="21"/>
        <v/>
      </c>
      <c r="L104" s="571" t="str">
        <f t="shared" si="22"/>
        <v/>
      </c>
      <c r="M104" s="571" t="str">
        <f t="shared" si="23"/>
        <v/>
      </c>
      <c r="N104" s="571">
        <f t="shared" si="24"/>
        <v>41</v>
      </c>
    </row>
    <row r="105" spans="1:14" ht="13.5" customHeight="1" x14ac:dyDescent="0.2">
      <c r="A105" s="567" t="str">
        <f t="shared" si="18"/>
        <v>Auxiliar4</v>
      </c>
      <c r="B105" s="567"/>
      <c r="C105" s="567"/>
      <c r="D105" s="567" t="str">
        <f t="shared" si="19"/>
        <v>AA41</v>
      </c>
      <c r="E105" s="567" t="str">
        <f>IF(N104="",IF(J104="j",_xlfn.CONCAT("Load"," ",Results!$C$40,".sim"),IF(K104="k",_xlfn.CONCAT("Load"," ",Results!$C$32,".sim"),"")),"Get Data")</f>
        <v>Get Data</v>
      </c>
      <c r="F105" s="567" t="str">
        <f t="shared" si="25"/>
        <v>Line</v>
      </c>
      <c r="G105" s="567"/>
      <c r="H105" s="567"/>
      <c r="I105" s="567" t="str">
        <f t="shared" si="20"/>
        <v>attachmenttype[41]</v>
      </c>
      <c r="J105" s="571">
        <f t="shared" si="26"/>
        <v>42</v>
      </c>
      <c r="K105" s="571" t="str">
        <f t="shared" si="21"/>
        <v/>
      </c>
      <c r="L105" s="571" t="str">
        <f t="shared" si="22"/>
        <v/>
      </c>
      <c r="M105" s="571" t="str">
        <f t="shared" si="23"/>
        <v/>
      </c>
      <c r="N105" s="571">
        <f t="shared" si="24"/>
        <v>42</v>
      </c>
    </row>
    <row r="106" spans="1:14" ht="13.5" customHeight="1" x14ac:dyDescent="0.2">
      <c r="A106" s="567" t="str">
        <f t="shared" si="18"/>
        <v>Auxiliar4</v>
      </c>
      <c r="B106" s="567"/>
      <c r="C106" s="567"/>
      <c r="D106" s="567" t="str">
        <f t="shared" si="19"/>
        <v>AA42</v>
      </c>
      <c r="E106" s="567" t="str">
        <f>IF(N105="",IF(J105="j",_xlfn.CONCAT("Load"," ",Results!$C$40,".sim"),IF(K105="k",_xlfn.CONCAT("Load"," ",Results!$C$32,".sim"),"")),"Get Data")</f>
        <v>Get Data</v>
      </c>
      <c r="F106" s="567" t="str">
        <f t="shared" si="25"/>
        <v>Line</v>
      </c>
      <c r="G106" s="567"/>
      <c r="H106" s="567"/>
      <c r="I106" s="567" t="str">
        <f t="shared" si="20"/>
        <v>attachmenttype[42]</v>
      </c>
      <c r="J106" s="571">
        <f t="shared" si="26"/>
        <v>43</v>
      </c>
      <c r="K106" s="571" t="str">
        <f t="shared" si="21"/>
        <v/>
      </c>
      <c r="L106" s="571" t="str">
        <f t="shared" si="22"/>
        <v/>
      </c>
      <c r="M106" s="571" t="str">
        <f t="shared" si="23"/>
        <v/>
      </c>
      <c r="N106" s="571">
        <f t="shared" si="24"/>
        <v>43</v>
      </c>
    </row>
    <row r="107" spans="1:14" ht="13.5" customHeight="1" x14ac:dyDescent="0.2">
      <c r="A107" s="567" t="str">
        <f t="shared" si="18"/>
        <v>Auxiliar4</v>
      </c>
      <c r="B107" s="567"/>
      <c r="C107" s="567"/>
      <c r="D107" s="567" t="str">
        <f t="shared" si="19"/>
        <v>AA43</v>
      </c>
      <c r="E107" s="567" t="str">
        <f>IF(N106="",IF(J106="j",_xlfn.CONCAT("Load"," ",Results!$C$40,".sim"),IF(K106="k",_xlfn.CONCAT("Load"," ",Results!$C$32,".sim"),"")),"Get Data")</f>
        <v>Get Data</v>
      </c>
      <c r="F107" s="567" t="str">
        <f t="shared" si="25"/>
        <v>Line</v>
      </c>
      <c r="G107" s="567"/>
      <c r="H107" s="567"/>
      <c r="I107" s="567" t="str">
        <f t="shared" si="20"/>
        <v>attachmenttype[43]</v>
      </c>
      <c r="J107" s="571">
        <f t="shared" si="26"/>
        <v>44</v>
      </c>
      <c r="K107" s="571" t="str">
        <f t="shared" si="21"/>
        <v/>
      </c>
      <c r="L107" s="571" t="str">
        <f t="shared" si="22"/>
        <v/>
      </c>
      <c r="M107" s="571" t="str">
        <f t="shared" si="23"/>
        <v/>
      </c>
      <c r="N107" s="571">
        <f t="shared" si="24"/>
        <v>44</v>
      </c>
    </row>
    <row r="108" spans="1:14" ht="13.5" customHeight="1" x14ac:dyDescent="0.2">
      <c r="A108" s="567" t="str">
        <f t="shared" si="18"/>
        <v>Auxiliar4</v>
      </c>
      <c r="B108" s="567"/>
      <c r="C108" s="567"/>
      <c r="D108" s="567" t="str">
        <f t="shared" si="19"/>
        <v>AA44</v>
      </c>
      <c r="E108" s="567" t="str">
        <f>IF(N107="",IF(J107="j",_xlfn.CONCAT("Load"," ",Results!$C$40,".sim"),IF(K107="k",_xlfn.CONCAT("Load"," ",Results!$C$32,".sim"),"")),"Get Data")</f>
        <v>Get Data</v>
      </c>
      <c r="F108" s="567" t="str">
        <f t="shared" si="25"/>
        <v>Line</v>
      </c>
      <c r="G108" s="567"/>
      <c r="H108" s="567"/>
      <c r="I108" s="567" t="str">
        <f t="shared" si="20"/>
        <v>attachmenttype[44]</v>
      </c>
      <c r="J108" s="571">
        <f t="shared" si="26"/>
        <v>45</v>
      </c>
      <c r="K108" s="571" t="str">
        <f t="shared" si="21"/>
        <v/>
      </c>
      <c r="L108" s="571" t="str">
        <f t="shared" si="22"/>
        <v/>
      </c>
      <c r="M108" s="571" t="str">
        <f t="shared" si="23"/>
        <v/>
      </c>
      <c r="N108" s="571">
        <f t="shared" si="24"/>
        <v>45</v>
      </c>
    </row>
    <row r="109" spans="1:14" ht="13.5" customHeight="1" x14ac:dyDescent="0.2">
      <c r="A109" s="567" t="str">
        <f t="shared" si="18"/>
        <v>Auxiliar4</v>
      </c>
      <c r="B109" s="567"/>
      <c r="C109" s="567"/>
      <c r="D109" s="567" t="str">
        <f t="shared" si="19"/>
        <v>AA45</v>
      </c>
      <c r="E109" s="567" t="str">
        <f>IF(N108="",IF(J108="j",_xlfn.CONCAT("Load"," ",Results!$C$40,".sim"),IF(K108="k",_xlfn.CONCAT("Load"," ",Results!$C$32,".sim"),"")),"Get Data")</f>
        <v>Get Data</v>
      </c>
      <c r="F109" s="567" t="str">
        <f t="shared" si="25"/>
        <v>Line</v>
      </c>
      <c r="G109" s="567"/>
      <c r="H109" s="567"/>
      <c r="I109" s="567" t="str">
        <f t="shared" si="20"/>
        <v>attachmenttype[45]</v>
      </c>
      <c r="J109" s="571">
        <f t="shared" si="26"/>
        <v>46</v>
      </c>
      <c r="K109" s="571" t="str">
        <f t="shared" si="21"/>
        <v/>
      </c>
      <c r="L109" s="571" t="str">
        <f t="shared" si="22"/>
        <v/>
      </c>
      <c r="M109" s="571" t="str">
        <f t="shared" si="23"/>
        <v/>
      </c>
      <c r="N109" s="571">
        <f t="shared" si="24"/>
        <v>46</v>
      </c>
    </row>
    <row r="110" spans="1:14" ht="13.5" customHeight="1" x14ac:dyDescent="0.2">
      <c r="A110" s="567" t="str">
        <f t="shared" si="18"/>
        <v>Auxiliar4</v>
      </c>
      <c r="B110" s="565"/>
      <c r="C110" s="565"/>
      <c r="D110" s="567" t="str">
        <f t="shared" si="19"/>
        <v>AA46</v>
      </c>
      <c r="E110" s="567" t="str">
        <f>IF(N109="",IF(J109="j",_xlfn.CONCAT("Load"," ",Results!$C$40,".sim"),IF(K109="k",_xlfn.CONCAT("Load"," ",Results!$C$32,".sim"),"")),"Get Data")</f>
        <v>Get Data</v>
      </c>
      <c r="F110" s="567" t="str">
        <f t="shared" si="25"/>
        <v>Line</v>
      </c>
      <c r="G110" s="565"/>
      <c r="H110" s="565"/>
      <c r="I110" s="567" t="str">
        <f t="shared" si="20"/>
        <v>attachmenttype[46]</v>
      </c>
      <c r="J110" s="571">
        <f t="shared" si="26"/>
        <v>47</v>
      </c>
      <c r="K110" s="571" t="str">
        <f t="shared" si="21"/>
        <v/>
      </c>
      <c r="L110" s="571" t="str">
        <f t="shared" si="22"/>
        <v/>
      </c>
      <c r="M110" s="571" t="str">
        <f t="shared" si="23"/>
        <v/>
      </c>
      <c r="N110" s="571">
        <f t="shared" si="24"/>
        <v>47</v>
      </c>
    </row>
    <row r="111" spans="1:14" ht="13.5" customHeight="1" x14ac:dyDescent="0.2">
      <c r="A111" s="567" t="str">
        <f t="shared" si="18"/>
        <v>Auxiliar4</v>
      </c>
      <c r="B111" s="565"/>
      <c r="C111" s="565"/>
      <c r="D111" s="567" t="str">
        <f t="shared" si="19"/>
        <v>AA47</v>
      </c>
      <c r="E111" s="567" t="str">
        <f>IF(N110="",IF(J110="j",_xlfn.CONCAT("Load"," ",Results!$C$40,".sim"),IF(K110="k",_xlfn.CONCAT("Load"," ",Results!$C$32,".sim"),"")),"Get Data")</f>
        <v>Get Data</v>
      </c>
      <c r="F111" s="567" t="str">
        <f t="shared" si="25"/>
        <v>Line</v>
      </c>
      <c r="G111" s="565"/>
      <c r="H111" s="565"/>
      <c r="I111" s="567" t="str">
        <f t="shared" si="20"/>
        <v>attachmenttype[47]</v>
      </c>
      <c r="J111" s="571">
        <f t="shared" si="26"/>
        <v>48</v>
      </c>
      <c r="K111" s="571" t="str">
        <f t="shared" si="21"/>
        <v/>
      </c>
      <c r="L111" s="571" t="str">
        <f t="shared" si="22"/>
        <v/>
      </c>
      <c r="M111" s="571" t="str">
        <f t="shared" si="23"/>
        <v/>
      </c>
      <c r="N111" s="571">
        <f t="shared" si="24"/>
        <v>48</v>
      </c>
    </row>
    <row r="112" spans="1:14" ht="13.5" customHeight="1" x14ac:dyDescent="0.2">
      <c r="A112" s="567" t="str">
        <f t="shared" si="18"/>
        <v>Auxiliar4</v>
      </c>
      <c r="B112" s="565"/>
      <c r="C112" s="565"/>
      <c r="D112" s="567" t="str">
        <f t="shared" si="19"/>
        <v>AA48</v>
      </c>
      <c r="E112" s="567" t="str">
        <f>IF(N111="",IF(J111="j",_xlfn.CONCAT("Load"," ",Results!$C$40,".sim"),IF(K111="k",_xlfn.CONCAT("Load"," ",Results!$C$32,".sim"),"")),"Get Data")</f>
        <v>Get Data</v>
      </c>
      <c r="F112" s="567" t="str">
        <f t="shared" si="25"/>
        <v>Line</v>
      </c>
      <c r="G112" s="565"/>
      <c r="H112" s="565"/>
      <c r="I112" s="567" t="str">
        <f t="shared" si="20"/>
        <v>attachmenttype[48]</v>
      </c>
      <c r="J112" s="571">
        <f t="shared" si="26"/>
        <v>49</v>
      </c>
      <c r="K112" s="571" t="str">
        <f t="shared" si="21"/>
        <v/>
      </c>
      <c r="L112" s="571" t="str">
        <f t="shared" si="22"/>
        <v/>
      </c>
      <c r="M112" s="571" t="str">
        <f t="shared" si="23"/>
        <v/>
      </c>
      <c r="N112" s="571">
        <f t="shared" si="24"/>
        <v>49</v>
      </c>
    </row>
    <row r="113" spans="1:14" ht="13.5" customHeight="1" x14ac:dyDescent="0.2">
      <c r="A113" s="567" t="str">
        <f t="shared" si="18"/>
        <v>Auxiliar4</v>
      </c>
      <c r="B113" s="565"/>
      <c r="C113" s="565"/>
      <c r="D113" s="567" t="str">
        <f t="shared" si="19"/>
        <v>AA49</v>
      </c>
      <c r="E113" s="567" t="str">
        <f>IF(N112="",IF(J112="j",_xlfn.CONCAT("Load"," ",Results!$C$40,".sim"),IF(K112="k",_xlfn.CONCAT("Load"," ",Results!$C$32,".sim"),"")),"Get Data")</f>
        <v>Get Data</v>
      </c>
      <c r="F113" s="567" t="str">
        <f t="shared" si="25"/>
        <v>Line</v>
      </c>
      <c r="G113" s="565"/>
      <c r="H113" s="565"/>
      <c r="I113" s="567" t="str">
        <f t="shared" si="20"/>
        <v>attachmenttype[49]</v>
      </c>
      <c r="J113" s="571">
        <f t="shared" si="26"/>
        <v>50</v>
      </c>
      <c r="K113" s="571" t="str">
        <f t="shared" si="21"/>
        <v/>
      </c>
      <c r="L113" s="571" t="str">
        <f t="shared" si="22"/>
        <v/>
      </c>
      <c r="M113" s="571" t="str">
        <f t="shared" si="23"/>
        <v/>
      </c>
      <c r="N113" s="571">
        <f t="shared" si="24"/>
        <v>50</v>
      </c>
    </row>
    <row r="114" spans="1:14" ht="13.5" customHeight="1" x14ac:dyDescent="0.2">
      <c r="A114" s="567" t="str">
        <f t="shared" si="18"/>
        <v>Auxiliar4</v>
      </c>
      <c r="B114" s="565"/>
      <c r="C114" s="565"/>
      <c r="D114" s="567" t="str">
        <f t="shared" si="19"/>
        <v>AA50</v>
      </c>
      <c r="E114" s="567" t="str">
        <f>IF(N113="",IF(J113="j",_xlfn.CONCAT("Load"," ",Results!$C$40,".sim"),IF(K113="k",_xlfn.CONCAT("Load"," ",Results!$C$32,".sim"),"")),"Get Data")</f>
        <v>Get Data</v>
      </c>
      <c r="F114" s="567" t="str">
        <f t="shared" si="25"/>
        <v>Line</v>
      </c>
      <c r="G114" s="565"/>
      <c r="H114" s="565"/>
      <c r="I114" s="567" t="str">
        <f t="shared" si="20"/>
        <v>attachmenttype[50]</v>
      </c>
      <c r="J114" s="571">
        <f t="shared" si="26"/>
        <v>51</v>
      </c>
      <c r="K114" s="571" t="str">
        <f t="shared" si="21"/>
        <v/>
      </c>
      <c r="L114" s="571" t="str">
        <f t="shared" si="22"/>
        <v/>
      </c>
      <c r="M114" s="571" t="str">
        <f t="shared" si="23"/>
        <v/>
      </c>
      <c r="N114" s="571">
        <f t="shared" si="24"/>
        <v>51</v>
      </c>
    </row>
    <row r="115" spans="1:14" ht="13.5" customHeight="1" x14ac:dyDescent="0.2">
      <c r="A115" s="567" t="str">
        <f t="shared" si="18"/>
        <v>Auxiliar4</v>
      </c>
      <c r="B115" s="565"/>
      <c r="C115" s="565"/>
      <c r="D115" s="567" t="str">
        <f t="shared" si="19"/>
        <v>AA51</v>
      </c>
      <c r="E115" s="567" t="str">
        <f>IF(N114="",IF(J114="j",_xlfn.CONCAT("Load"," ",Results!$C$40,".sim"),IF(K114="k",_xlfn.CONCAT("Load"," ",Results!$C$32,".sim"),"")),"Get Data")</f>
        <v>Get Data</v>
      </c>
      <c r="F115" s="567" t="str">
        <f t="shared" si="25"/>
        <v>Line</v>
      </c>
      <c r="G115" s="565"/>
      <c r="H115" s="565"/>
      <c r="I115" s="567" t="str">
        <f t="shared" si="20"/>
        <v>attachmenttype[51]</v>
      </c>
      <c r="J115" s="571">
        <f t="shared" si="26"/>
        <v>52</v>
      </c>
      <c r="K115" s="571" t="str">
        <f t="shared" si="21"/>
        <v/>
      </c>
      <c r="L115" s="571" t="str">
        <f t="shared" si="22"/>
        <v/>
      </c>
      <c r="M115" s="571" t="str">
        <f t="shared" si="23"/>
        <v/>
      </c>
      <c r="N115" s="571">
        <f t="shared" si="24"/>
        <v>52</v>
      </c>
    </row>
    <row r="116" spans="1:14" ht="13.5" customHeight="1" x14ac:dyDescent="0.2">
      <c r="A116" s="567" t="str">
        <f t="shared" si="18"/>
        <v>Auxiliar4</v>
      </c>
      <c r="B116" s="565"/>
      <c r="C116" s="565"/>
      <c r="D116" s="567" t="str">
        <f t="shared" si="19"/>
        <v>AA52</v>
      </c>
      <c r="E116" s="567" t="str">
        <f>IF(N115="",IF(J115="j",_xlfn.CONCAT("Load"," ",Results!$C$40,".sim"),IF(K115="k",_xlfn.CONCAT("Load"," ",Results!$C$32,".sim"),"")),"Get Data")</f>
        <v>Get Data</v>
      </c>
      <c r="F116" s="567" t="str">
        <f t="shared" si="25"/>
        <v>Line</v>
      </c>
      <c r="G116" s="565"/>
      <c r="H116" s="565"/>
      <c r="I116" s="567" t="str">
        <f t="shared" si="20"/>
        <v>attachmenttype[52]</v>
      </c>
    </row>
  </sheetData>
  <dataConsolidate link="1"/>
  <mergeCells count="2">
    <mergeCell ref="J63:N63"/>
    <mergeCell ref="K5:L5"/>
  </mergeCells>
  <phoneticPr fontId="25" type="noConversion"/>
  <dataValidations disablePrompts="1" count="1">
    <dataValidation allowBlank="1" showErrorMessage="1" prompt="O conteúdo desta célula não deve ser alterado." sqref="L6:L9" xr:uid="{B0C0BC25-EB5B-4380-9DB0-E2F7024971F6}"/>
  </dataValidations>
  <pageMargins left="0.75" right="0.75" top="1" bottom="1" header="0.5" footer="0.5"/>
  <pageSetup paperSize="9" orientation="portrait" r:id="rId1"/>
  <headerFooter alignWithMargins="0"/>
  <ignoredErrors>
    <ignoredError sqref="C32 C60 C63" formula="1"/>
    <ignoredError sqref="C33 H33" evalError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criptSheet">
    <tabColor rgb="FF512D6D"/>
  </sheetPr>
  <dimension ref="A1:O145"/>
  <sheetViews>
    <sheetView showGridLines="0" workbookViewId="0"/>
  </sheetViews>
  <sheetFormatPr defaultColWidth="0" defaultRowHeight="12.75" x14ac:dyDescent="0.2"/>
  <cols>
    <col min="1" max="1" width="17.5703125" style="76" customWidth="1"/>
    <col min="2" max="2" width="10.28515625" style="76" bestFit="1" customWidth="1"/>
    <col min="3" max="3" width="24.7109375" style="77" bestFit="1" customWidth="1"/>
    <col min="4" max="4" width="39.42578125" style="77" bestFit="1" customWidth="1"/>
    <col min="5" max="5" width="40.7109375" style="278" customWidth="1"/>
    <col min="6" max="6" width="2.7109375" style="267" customWidth="1"/>
    <col min="7" max="7" width="2.7109375" style="208" customWidth="1"/>
    <col min="8" max="8" width="38.7109375" style="208" customWidth="1"/>
    <col min="9" max="9" width="5.7109375" style="208" customWidth="1"/>
    <col min="10" max="10" width="2.7109375" style="76" customWidth="1"/>
    <col min="11" max="15" width="9.140625" style="76" customWidth="1"/>
    <col min="16" max="16384" width="9.140625" style="76" hidden="1"/>
  </cols>
  <sheetData>
    <row r="1" spans="1:10" ht="15" customHeight="1" thickBot="1" x14ac:dyDescent="0.25">
      <c r="D1" s="418" t="s">
        <v>1756</v>
      </c>
      <c r="E1" s="78"/>
      <c r="F1" s="78"/>
    </row>
    <row r="2" spans="1:10" ht="15" customHeight="1" thickBot="1" x14ac:dyDescent="0.25">
      <c r="A2" s="234" t="s">
        <v>337</v>
      </c>
      <c r="B2" s="235" t="s">
        <v>338</v>
      </c>
      <c r="C2" s="236"/>
      <c r="D2" s="237"/>
      <c r="E2" s="77"/>
      <c r="F2" s="77"/>
    </row>
    <row r="3" spans="1:10" ht="15" customHeight="1" x14ac:dyDescent="0.2">
      <c r="A3" s="238" t="s">
        <v>339</v>
      </c>
      <c r="B3" s="239"/>
      <c r="C3" s="240" t="s">
        <v>340</v>
      </c>
      <c r="D3" s="239"/>
      <c r="E3" s="241"/>
      <c r="F3" s="242"/>
      <c r="J3" s="243"/>
    </row>
    <row r="4" spans="1:10" ht="15" customHeight="1" x14ac:dyDescent="0.2">
      <c r="A4" s="244" t="s">
        <v>341</v>
      </c>
      <c r="B4" s="302" t="s">
        <v>342</v>
      </c>
      <c r="C4" s="245" t="s">
        <v>343</v>
      </c>
      <c r="D4" s="246"/>
      <c r="E4" s="247"/>
      <c r="F4" s="242"/>
      <c r="J4" s="243"/>
    </row>
    <row r="5" spans="1:10" ht="15" customHeight="1" thickBot="1" x14ac:dyDescent="0.25">
      <c r="A5" s="244"/>
      <c r="B5" s="248"/>
      <c r="C5" s="248"/>
      <c r="D5" s="248"/>
      <c r="E5" s="249"/>
      <c r="F5" s="242"/>
      <c r="J5" s="243"/>
    </row>
    <row r="6" spans="1:10" ht="15" customHeight="1" thickBot="1" x14ac:dyDescent="0.25">
      <c r="A6" s="250"/>
      <c r="B6" s="251"/>
      <c r="C6" s="252"/>
      <c r="D6" s="253" t="s">
        <v>345</v>
      </c>
      <c r="E6" s="254">
        <v>1</v>
      </c>
      <c r="F6" s="242"/>
      <c r="H6" s="230" t="s">
        <v>1621</v>
      </c>
      <c r="I6" s="230" t="s">
        <v>2</v>
      </c>
    </row>
    <row r="7" spans="1:10" ht="15" customHeight="1" thickTop="1" x14ac:dyDescent="0.2">
      <c r="A7" s="255"/>
      <c r="B7" s="256"/>
      <c r="C7" s="257"/>
      <c r="D7" s="258" t="s">
        <v>346</v>
      </c>
      <c r="E7" s="56" t="s">
        <v>1816</v>
      </c>
      <c r="F7" s="242"/>
      <c r="H7" s="280" t="s">
        <v>1783</v>
      </c>
      <c r="I7" s="232">
        <f>COUNTA(tab_new_bs_curve_lan[IndependentValue])</f>
        <v>25</v>
      </c>
      <c r="J7" s="77"/>
    </row>
    <row r="8" spans="1:10" ht="15" customHeight="1" x14ac:dyDescent="0.2">
      <c r="A8" s="149"/>
      <c r="B8" s="150" t="s">
        <v>347</v>
      </c>
      <c r="C8" s="256" t="s">
        <v>348</v>
      </c>
      <c r="D8" s="258" t="s">
        <v>349</v>
      </c>
      <c r="E8" s="259">
        <f>Values!C8</f>
        <v>0.29076297180076899</v>
      </c>
      <c r="F8" s="242"/>
      <c r="H8" s="279" t="s">
        <v>1784</v>
      </c>
      <c r="I8" s="228">
        <f>MATCH("NumberOfRows =", D:D, 0) + 1</f>
        <v>96</v>
      </c>
      <c r="J8" s="77"/>
    </row>
    <row r="9" spans="1:10" ht="15" customHeight="1" x14ac:dyDescent="0.2">
      <c r="A9" s="149"/>
      <c r="B9" s="150" t="s">
        <v>347</v>
      </c>
      <c r="C9" s="256" t="s">
        <v>348</v>
      </c>
      <c r="D9" s="258" t="s">
        <v>350</v>
      </c>
      <c r="E9" s="259">
        <f>Values!C9</f>
        <v>0.15996565064685772</v>
      </c>
      <c r="F9" s="242"/>
      <c r="H9" s="279" t="s">
        <v>1785</v>
      </c>
      <c r="I9" s="228">
        <f>COUNTA(tab_new_bs_curve_hid[IndependentValue])</f>
        <v>25</v>
      </c>
      <c r="J9" s="77"/>
    </row>
    <row r="10" spans="1:10" ht="15" customHeight="1" x14ac:dyDescent="0.2">
      <c r="A10" s="149"/>
      <c r="B10" s="150" t="s">
        <v>347</v>
      </c>
      <c r="C10" s="256" t="s">
        <v>348</v>
      </c>
      <c r="D10" s="151" t="s">
        <v>351</v>
      </c>
      <c r="E10" s="259">
        <f>Values!C4/1000</f>
        <v>0.16619999999999999</v>
      </c>
      <c r="F10" s="260"/>
      <c r="H10" s="279" t="s">
        <v>1786</v>
      </c>
      <c r="I10" s="228">
        <f>script_table_2nd_lan_start_row + 2*I7 - 1</f>
        <v>145</v>
      </c>
      <c r="J10" s="77"/>
    </row>
    <row r="11" spans="1:10" ht="15" customHeight="1" x14ac:dyDescent="0.2">
      <c r="A11" s="149"/>
      <c r="B11" s="150" t="s">
        <v>347</v>
      </c>
      <c r="C11" s="256" t="s">
        <v>348</v>
      </c>
      <c r="D11" s="153" t="s">
        <v>352</v>
      </c>
      <c r="E11" s="259">
        <f>Values!C17</f>
        <v>563380</v>
      </c>
      <c r="F11" s="260"/>
      <c r="H11" s="279" t="s">
        <v>1787</v>
      </c>
      <c r="I11" s="228">
        <f>COUNTA(tab_new_bs_curve_ope[IndependentValue])</f>
        <v>25</v>
      </c>
      <c r="J11" s="77"/>
    </row>
    <row r="12" spans="1:10" ht="15" customHeight="1" x14ac:dyDescent="0.2">
      <c r="A12" s="149"/>
      <c r="B12" s="150" t="s">
        <v>347</v>
      </c>
      <c r="C12" s="256" t="s">
        <v>348</v>
      </c>
      <c r="D12" s="153" t="s">
        <v>354</v>
      </c>
      <c r="E12" s="154">
        <f>Values!C13</f>
        <v>2.4</v>
      </c>
      <c r="F12" s="260"/>
      <c r="H12" s="279" t="s">
        <v>1788</v>
      </c>
      <c r="I12" s="228">
        <f>script_table_2nd_hid_start_row + 2*I11 - 1</f>
        <v>194</v>
      </c>
      <c r="J12" s="233"/>
    </row>
    <row r="13" spans="1:10" ht="15" customHeight="1" x14ac:dyDescent="0.2">
      <c r="A13" s="149"/>
      <c r="B13" s="150" t="s">
        <v>347</v>
      </c>
      <c r="C13" s="256" t="s">
        <v>348</v>
      </c>
      <c r="D13" s="153" t="s">
        <v>355</v>
      </c>
      <c r="E13" s="259">
        <f>Values!C10/1000</f>
        <v>0.29133999999999999</v>
      </c>
      <c r="F13" s="260"/>
      <c r="H13" s="279" t="s">
        <v>1789</v>
      </c>
      <c r="I13" s="228">
        <f>COUNTA(tab_bs_bend_restrictor[IndependentValue])</f>
        <v>3</v>
      </c>
      <c r="J13" s="233"/>
    </row>
    <row r="14" spans="1:10" ht="15" customHeight="1" x14ac:dyDescent="0.2">
      <c r="A14" s="149"/>
      <c r="B14" s="150" t="s">
        <v>347</v>
      </c>
      <c r="C14" s="256" t="s">
        <v>348</v>
      </c>
      <c r="D14" s="153" t="s">
        <v>356</v>
      </c>
      <c r="E14" s="259">
        <f>Values!C10/1000</f>
        <v>0.29133999999999999</v>
      </c>
      <c r="F14" s="260"/>
      <c r="I14" s="233"/>
      <c r="J14" s="233"/>
    </row>
    <row r="15" spans="1:10" ht="15" customHeight="1" thickBot="1" x14ac:dyDescent="0.25">
      <c r="A15" s="149"/>
      <c r="B15" s="150" t="s">
        <v>347</v>
      </c>
      <c r="C15" s="256" t="s">
        <v>348</v>
      </c>
      <c r="D15" s="153" t="s">
        <v>357</v>
      </c>
      <c r="E15" s="259">
        <f>Values!C10/1000</f>
        <v>0.29133999999999999</v>
      </c>
      <c r="F15" s="260"/>
      <c r="H15" s="230" t="s">
        <v>1620</v>
      </c>
      <c r="I15" s="233"/>
      <c r="J15" s="233"/>
    </row>
    <row r="16" spans="1:10" ht="15" customHeight="1" thickTop="1" x14ac:dyDescent="0.2">
      <c r="A16" s="149"/>
      <c r="B16" s="150" t="s">
        <v>347</v>
      </c>
      <c r="C16" s="256" t="s">
        <v>348</v>
      </c>
      <c r="D16" s="153" t="s">
        <v>358</v>
      </c>
      <c r="E16" s="259">
        <f>Values!C15</f>
        <v>1685</v>
      </c>
      <c r="F16" s="260"/>
      <c r="H16" s="232" t="s">
        <v>344</v>
      </c>
      <c r="I16" s="233"/>
      <c r="J16" s="233"/>
    </row>
    <row r="17" spans="1:10" ht="15" customHeight="1" x14ac:dyDescent="0.2">
      <c r="A17" s="149"/>
      <c r="B17" s="150" t="s">
        <v>347</v>
      </c>
      <c r="C17" s="256" t="s">
        <v>359</v>
      </c>
      <c r="D17" s="258" t="s">
        <v>349</v>
      </c>
      <c r="E17" s="259">
        <f>Values!C23</f>
        <v>0.37592807806225836</v>
      </c>
      <c r="F17" s="260"/>
      <c r="H17" s="228" t="s">
        <v>342</v>
      </c>
      <c r="I17" s="233"/>
      <c r="J17" s="233"/>
    </row>
    <row r="18" spans="1:10" ht="15" customHeight="1" x14ac:dyDescent="0.2">
      <c r="A18" s="149"/>
      <c r="B18" s="150" t="s">
        <v>347</v>
      </c>
      <c r="C18" s="256" t="s">
        <v>359</v>
      </c>
      <c r="D18" s="258" t="s">
        <v>350</v>
      </c>
      <c r="E18" s="154">
        <f>Values!C25/1000</f>
        <v>0.313</v>
      </c>
      <c r="F18" s="260"/>
      <c r="I18" s="233"/>
      <c r="J18" s="233"/>
    </row>
    <row r="19" spans="1:10" ht="15" customHeight="1" thickBot="1" x14ac:dyDescent="0.25">
      <c r="A19" s="149"/>
      <c r="B19" s="150" t="s">
        <v>347</v>
      </c>
      <c r="C19" s="256" t="s">
        <v>359</v>
      </c>
      <c r="D19" s="151" t="s">
        <v>351</v>
      </c>
      <c r="E19" s="259">
        <f>Values!C21</f>
        <v>0.26846566338003808</v>
      </c>
      <c r="F19" s="260"/>
      <c r="H19" s="230" t="s">
        <v>1619</v>
      </c>
      <c r="I19" s="233"/>
      <c r="J19" s="233"/>
    </row>
    <row r="20" spans="1:10" ht="15" customHeight="1" thickTop="1" x14ac:dyDescent="0.2">
      <c r="A20" s="149"/>
      <c r="B20" s="150" t="s">
        <v>347</v>
      </c>
      <c r="C20" s="256" t="s">
        <v>359</v>
      </c>
      <c r="D20" s="153" t="s">
        <v>352</v>
      </c>
      <c r="E20" s="261">
        <f>Values!C32</f>
        <v>10</v>
      </c>
      <c r="F20" s="260"/>
      <c r="H20" s="229" t="str">
        <f xml:space="preserve"> TEXT(9 - IF(Values!$A$66 = "", 1, 0) - IF(Values!$A$53 = "", 1, 0),0)</f>
        <v>7</v>
      </c>
      <c r="I20" s="233"/>
      <c r="J20" s="233"/>
    </row>
    <row r="21" spans="1:10" ht="15" customHeight="1" x14ac:dyDescent="0.2">
      <c r="A21" s="149"/>
      <c r="B21" s="150" t="s">
        <v>347</v>
      </c>
      <c r="C21" s="256" t="s">
        <v>359</v>
      </c>
      <c r="D21" s="153" t="s">
        <v>354</v>
      </c>
      <c r="E21" s="154">
        <f>Values!C27</f>
        <v>4.1399999999999997</v>
      </c>
      <c r="F21" s="260"/>
      <c r="J21" s="233"/>
    </row>
    <row r="22" spans="1:10" ht="15" customHeight="1" thickBot="1" x14ac:dyDescent="0.25">
      <c r="A22" s="149"/>
      <c r="B22" s="150" t="s">
        <v>347</v>
      </c>
      <c r="C22" s="256" t="s">
        <v>359</v>
      </c>
      <c r="D22" s="153" t="s">
        <v>355</v>
      </c>
      <c r="E22" s="154">
        <f>Values!C26/1000</f>
        <v>0.33800000000000002</v>
      </c>
      <c r="F22" s="260"/>
      <c r="H22" s="411" t="s">
        <v>1905</v>
      </c>
      <c r="J22" s="233"/>
    </row>
    <row r="23" spans="1:10" ht="15" customHeight="1" thickBot="1" x14ac:dyDescent="0.25">
      <c r="A23" s="149"/>
      <c r="B23" s="150" t="s">
        <v>347</v>
      </c>
      <c r="C23" s="256" t="s">
        <v>359</v>
      </c>
      <c r="D23" s="153" t="s">
        <v>356</v>
      </c>
      <c r="E23" s="154">
        <f>Values!C26/1000</f>
        <v>0.33800000000000002</v>
      </c>
      <c r="F23" s="260"/>
      <c r="H23" s="231" t="str" cm="1">
        <f t="array" ref="H23">IF(B4="Umbilical", "A curva de rigidez não é necessária para linhas UEH!", IF(ISBLANK((INDEX(D:D,SUM(106, I7),1))), "A curva de Lançamento NÃO foi inserida!", "A curva de Lançamento foi inserida!"))</f>
        <v>A curva de Lançamento NÃO foi inserida!</v>
      </c>
      <c r="J23" s="233"/>
    </row>
    <row r="24" spans="1:10" ht="15" customHeight="1" x14ac:dyDescent="0.2">
      <c r="A24" s="149"/>
      <c r="B24" s="150" t="s">
        <v>347</v>
      </c>
      <c r="C24" s="256" t="s">
        <v>359</v>
      </c>
      <c r="D24" s="153" t="s">
        <v>357</v>
      </c>
      <c r="E24" s="154">
        <f>Values!C26/1000</f>
        <v>0.33800000000000002</v>
      </c>
      <c r="F24" s="260"/>
      <c r="J24" s="233"/>
    </row>
    <row r="25" spans="1:10" ht="15" customHeight="1" thickBot="1" x14ac:dyDescent="0.25">
      <c r="A25" s="149"/>
      <c r="B25" s="150" t="s">
        <v>347</v>
      </c>
      <c r="C25" s="256" t="s">
        <v>359</v>
      </c>
      <c r="D25" s="153" t="s">
        <v>358</v>
      </c>
      <c r="E25" s="154">
        <f>Values!C33</f>
        <v>10</v>
      </c>
      <c r="F25" s="260"/>
      <c r="H25" s="411" t="s">
        <v>1906</v>
      </c>
      <c r="J25" s="233"/>
    </row>
    <row r="26" spans="1:10" ht="15" customHeight="1" thickBot="1" x14ac:dyDescent="0.25">
      <c r="A26" s="149"/>
      <c r="B26" s="150" t="s">
        <v>347</v>
      </c>
      <c r="C26" s="256" t="s">
        <v>360</v>
      </c>
      <c r="D26" s="258" t="s">
        <v>349</v>
      </c>
      <c r="E26" s="259">
        <f>Values!C43</f>
        <v>0.46090827946403307</v>
      </c>
      <c r="F26" s="260"/>
      <c r="H26" s="231" t="str" cm="1">
        <f t="array" ref="H26">IF(B4="Umbilical", "A curva de rigidez não é necessária para linhas UEH!", IF(ISBLANK((INDEX(D:D,SUM(106, I7, I9),1))), "A curva de Teste NÃO foi inserida!", "A curva de Teste foi inserida!"))</f>
        <v>A curva de Teste NÃO foi inserida!</v>
      </c>
      <c r="J26" s="233"/>
    </row>
    <row r="27" spans="1:10" ht="15" customHeight="1" x14ac:dyDescent="0.2">
      <c r="A27" s="149"/>
      <c r="B27" s="150" t="s">
        <v>347</v>
      </c>
      <c r="C27" s="256" t="s">
        <v>360</v>
      </c>
      <c r="D27" s="258" t="s">
        <v>350</v>
      </c>
      <c r="E27" s="259">
        <f>Values!C45/1000</f>
        <v>0.15240000000000001</v>
      </c>
      <c r="F27" s="260"/>
      <c r="J27" s="233"/>
    </row>
    <row r="28" spans="1:10" ht="15" customHeight="1" thickBot="1" x14ac:dyDescent="0.25">
      <c r="A28" s="149"/>
      <c r="B28" s="150" t="s">
        <v>347</v>
      </c>
      <c r="C28" s="256" t="s">
        <v>360</v>
      </c>
      <c r="D28" s="151" t="s">
        <v>351</v>
      </c>
      <c r="E28" s="259">
        <f>Values!C41</f>
        <v>1.1716989634970709</v>
      </c>
      <c r="F28" s="260"/>
      <c r="H28" s="411" t="s">
        <v>1907</v>
      </c>
      <c r="J28" s="233"/>
    </row>
    <row r="29" spans="1:10" ht="15" customHeight="1" thickBot="1" x14ac:dyDescent="0.25">
      <c r="A29" s="149"/>
      <c r="B29" s="150" t="s">
        <v>347</v>
      </c>
      <c r="C29" s="256" t="s">
        <v>360</v>
      </c>
      <c r="D29" s="153" t="s">
        <v>361</v>
      </c>
      <c r="E29" s="261">
        <f>Values!C48</f>
        <v>78816.727166176031</v>
      </c>
      <c r="F29" s="260"/>
      <c r="H29" s="231" t="str" cm="1">
        <f t="array" ref="H29">IF(B4="Umbilical", "A curva de rigidez não é necessária para linhas UEH!", IF(ISBLANK((INDEX(D:D,SUM(106, I7, I9, I11),1))), "A curva de Operação NÃO foi inserida!", "A curva de Operação foi inserida!"))</f>
        <v>A curva de Operação NÃO foi inserida!</v>
      </c>
      <c r="J29" s="233"/>
    </row>
    <row r="30" spans="1:10" ht="15" customHeight="1" x14ac:dyDescent="0.2">
      <c r="A30" s="149"/>
      <c r="B30" s="150" t="s">
        <v>347</v>
      </c>
      <c r="C30" s="256" t="s">
        <v>360</v>
      </c>
      <c r="D30" s="153" t="s">
        <v>352</v>
      </c>
      <c r="E30" s="259">
        <f>Values!C49</f>
        <v>11032094.014109271</v>
      </c>
      <c r="F30" s="260"/>
      <c r="J30" s="233"/>
    </row>
    <row r="31" spans="1:10" ht="15" customHeight="1" x14ac:dyDescent="0.2">
      <c r="A31" s="149"/>
      <c r="B31" s="150" t="s">
        <v>347</v>
      </c>
      <c r="C31" s="256" t="s">
        <v>360</v>
      </c>
      <c r="D31" s="153" t="s">
        <v>354</v>
      </c>
      <c r="E31" s="154">
        <f>Values!C27</f>
        <v>4.1399999999999997</v>
      </c>
      <c r="F31" s="260"/>
      <c r="J31" s="233"/>
    </row>
    <row r="32" spans="1:10" ht="15" customHeight="1" x14ac:dyDescent="0.2">
      <c r="A32" s="149"/>
      <c r="B32" s="150" t="s">
        <v>347</v>
      </c>
      <c r="C32" s="256" t="s">
        <v>360</v>
      </c>
      <c r="D32" s="153" t="s">
        <v>355</v>
      </c>
      <c r="E32" s="154">
        <f>Values!C46/1000</f>
        <v>0.59</v>
      </c>
      <c r="F32" s="260"/>
      <c r="J32" s="233"/>
    </row>
    <row r="33" spans="1:10" ht="15" customHeight="1" x14ac:dyDescent="0.2">
      <c r="A33" s="149"/>
      <c r="B33" s="150" t="s">
        <v>347</v>
      </c>
      <c r="C33" s="256" t="s">
        <v>360</v>
      </c>
      <c r="D33" s="153" t="s">
        <v>356</v>
      </c>
      <c r="E33" s="154">
        <f>Values!C46/1000</f>
        <v>0.59</v>
      </c>
      <c r="F33" s="260"/>
      <c r="H33" s="76"/>
      <c r="I33" s="76"/>
      <c r="J33" s="233"/>
    </row>
    <row r="34" spans="1:10" ht="15" customHeight="1" x14ac:dyDescent="0.2">
      <c r="A34" s="149"/>
      <c r="B34" s="150" t="s">
        <v>347</v>
      </c>
      <c r="C34" s="256" t="s">
        <v>360</v>
      </c>
      <c r="D34" s="153" t="s">
        <v>357</v>
      </c>
      <c r="E34" s="154">
        <f>Values!C46/1000</f>
        <v>0.59</v>
      </c>
      <c r="F34" s="260"/>
      <c r="H34" s="76"/>
      <c r="I34" s="76"/>
      <c r="J34" s="233"/>
    </row>
    <row r="35" spans="1:10" ht="15" customHeight="1" x14ac:dyDescent="0.2">
      <c r="A35" s="149"/>
      <c r="B35" s="150" t="s">
        <v>347</v>
      </c>
      <c r="C35" s="256" t="s">
        <v>360</v>
      </c>
      <c r="D35" s="153" t="s">
        <v>358</v>
      </c>
      <c r="E35" s="259">
        <f>Values!C50</f>
        <v>60628.251666289252</v>
      </c>
      <c r="F35" s="260"/>
      <c r="H35" s="76"/>
      <c r="I35" s="76"/>
      <c r="J35" s="233"/>
    </row>
    <row r="36" spans="1:10" ht="15" customHeight="1" x14ac:dyDescent="0.2">
      <c r="A36" s="149"/>
      <c r="B36" s="150" t="s">
        <v>347</v>
      </c>
      <c r="C36" s="256" t="str">
        <f>IF(Values!$A$66="","Select Line","Select ZR_Vertebra")</f>
        <v>Select Line</v>
      </c>
      <c r="D36" s="258" t="str">
        <f>IF(Values!$A$66="","NumberOfSections =","OD =")</f>
        <v>NumberOfSections =</v>
      </c>
      <c r="E36" s="154" t="str">
        <f>IF(Values!$A$66="",H$20,Values!C69)</f>
        <v>7</v>
      </c>
      <c r="F36" s="260"/>
      <c r="H36" s="76"/>
      <c r="I36" s="76"/>
      <c r="J36" s="233"/>
    </row>
    <row r="37" spans="1:10" ht="15" customHeight="1" x14ac:dyDescent="0.2">
      <c r="A37" s="149"/>
      <c r="B37" s="150" t="s">
        <v>347</v>
      </c>
      <c r="C37" s="256" t="str">
        <f>IF(Values!$A$66="","Select Line","Select ZR_Vertebra")</f>
        <v>Select Line</v>
      </c>
      <c r="D37" s="258" t="str">
        <f>IF(Values!$A$66="","NumberOfSections =","ID =")</f>
        <v>NumberOfSections =</v>
      </c>
      <c r="E37" s="154" t="str">
        <f>IF(Values!$A$66="",H$20,Values!C71/1000)</f>
        <v>7</v>
      </c>
      <c r="F37" s="260"/>
      <c r="J37" s="233"/>
    </row>
    <row r="38" spans="1:10" ht="15" customHeight="1" x14ac:dyDescent="0.2">
      <c r="A38" s="149"/>
      <c r="B38" s="150" t="s">
        <v>347</v>
      </c>
      <c r="C38" s="256" t="str">
        <f>IF(Values!$A$66="","Select Line","Select ZR_Vertebra")</f>
        <v>Select Line</v>
      </c>
      <c r="D38" s="151" t="str">
        <f>IF(Values!$A$66="","NumberOfSections =","MassPerUnitLength =")</f>
        <v>NumberOfSections =</v>
      </c>
      <c r="E38" s="154" t="str">
        <f>IF(Values!$A$66="",H$20,Values!C67)</f>
        <v>7</v>
      </c>
      <c r="F38" s="260"/>
      <c r="J38" s="233"/>
    </row>
    <row r="39" spans="1:10" ht="15" customHeight="1" x14ac:dyDescent="0.2">
      <c r="A39" s="149"/>
      <c r="B39" s="150" t="s">
        <v>347</v>
      </c>
      <c r="C39" s="256" t="str">
        <f>IF(Values!$A$66="","Select Line","Select ZR_Vertebra")</f>
        <v>Select Line</v>
      </c>
      <c r="D39" s="153" t="str">
        <f>IF(Values!$A$66="","NumberOfSections =","EIx =")</f>
        <v>NumberOfSections =</v>
      </c>
      <c r="E39" s="154" t="str">
        <f>IF(Values!$A$66="",H$20,Values!C73)</f>
        <v>7</v>
      </c>
      <c r="F39" s="260"/>
      <c r="J39" s="233"/>
    </row>
    <row r="40" spans="1:10" ht="15" customHeight="1" x14ac:dyDescent="0.2">
      <c r="A40" s="149"/>
      <c r="B40" s="150" t="s">
        <v>347</v>
      </c>
      <c r="C40" s="256" t="str">
        <f>IF(Values!$A$66="","Select Line","Select ZR_Vertebra")</f>
        <v>Select Line</v>
      </c>
      <c r="D40" s="153" t="str">
        <f>IF(Values!$A$66="","NumberOfSections =","EA =")</f>
        <v>NumberOfSections =</v>
      </c>
      <c r="E40" s="154" t="str">
        <f>IF(Values!$A$66="",H$20,Values!C74)</f>
        <v>7</v>
      </c>
      <c r="F40" s="260"/>
      <c r="J40" s="233"/>
    </row>
    <row r="41" spans="1:10" ht="15" customHeight="1" x14ac:dyDescent="0.2">
      <c r="A41" s="149"/>
      <c r="B41" s="150" t="s">
        <v>347</v>
      </c>
      <c r="C41" s="256" t="str">
        <f>IF(Values!$A$66="","Select Line","Select ZR_Vertebra")</f>
        <v>Select Line</v>
      </c>
      <c r="D41" s="153" t="str">
        <f>IF(Values!$A$66="","NumberOfSections =","xMinRadius =")</f>
        <v>NumberOfSections =</v>
      </c>
      <c r="E41" s="154" t="str">
        <f>IF(Values!$A$66="",H$20,Values!C26)</f>
        <v>7</v>
      </c>
      <c r="F41" s="260"/>
      <c r="J41" s="233"/>
    </row>
    <row r="42" spans="1:10" ht="15" customHeight="1" x14ac:dyDescent="0.2">
      <c r="A42" s="149"/>
      <c r="B42" s="150" t="s">
        <v>347</v>
      </c>
      <c r="C42" s="256" t="str">
        <f>IF(Values!$A$66="","Select Line","Select ZR_Vertebra")</f>
        <v>Select Line</v>
      </c>
      <c r="D42" s="153" t="str">
        <f>IF(Values!$A$66="","NumberOfSections =","NormalDragLiftDiameter =")</f>
        <v>NumberOfSections =</v>
      </c>
      <c r="E42" s="154" t="str">
        <f>IF(Values!$A$66="",H$20,Values!C71/1000)</f>
        <v>7</v>
      </c>
      <c r="F42" s="260"/>
      <c r="J42" s="233"/>
    </row>
    <row r="43" spans="1:10" ht="15" customHeight="1" x14ac:dyDescent="0.2">
      <c r="A43" s="149"/>
      <c r="B43" s="150" t="s">
        <v>347</v>
      </c>
      <c r="C43" s="256" t="str">
        <f>IF(Values!$A$66="","Select Line","Select ZR_Vertebra")</f>
        <v>Select Line</v>
      </c>
      <c r="D43" s="153" t="str">
        <f>IF(Values!$A$66="","NumberOfSections =","AxialDragLiftDiameter =")</f>
        <v>NumberOfSections =</v>
      </c>
      <c r="E43" s="154" t="str">
        <f>IF(Values!$A$66="",H$20,Values!C71/1000)</f>
        <v>7</v>
      </c>
      <c r="F43" s="260"/>
      <c r="J43" s="233"/>
    </row>
    <row r="44" spans="1:10" ht="15" customHeight="1" x14ac:dyDescent="0.2">
      <c r="A44" s="149"/>
      <c r="B44" s="150" t="s">
        <v>347</v>
      </c>
      <c r="C44" s="256" t="str">
        <f>IF(Values!$A$66="","Select Line","Select ZR_Vertebra")</f>
        <v>Select Line</v>
      </c>
      <c r="D44" s="153" t="str">
        <f>IF(Values!$A$66="","NumberOfSections =","ContactDiameter =")</f>
        <v>NumberOfSections =</v>
      </c>
      <c r="E44" s="154" t="str">
        <f>IF(Values!$A$66="",H$20,Values!C72/1000)</f>
        <v>7</v>
      </c>
      <c r="F44" s="260"/>
      <c r="J44" s="233"/>
    </row>
    <row r="45" spans="1:10" ht="15" customHeight="1" x14ac:dyDescent="0.2">
      <c r="A45" s="149"/>
      <c r="B45" s="150" t="s">
        <v>347</v>
      </c>
      <c r="C45" s="256" t="str">
        <f>IF(Values!$A$66="","Select Line","Select ZR_Vertebra")</f>
        <v>Select Line</v>
      </c>
      <c r="D45" s="153" t="str">
        <f>IF(Values!$A$66="","NumberOfSections =","GJ =")</f>
        <v>NumberOfSections =</v>
      </c>
      <c r="E45" s="154" t="str">
        <f>IF(Values!$A$66="",H$20,Values!C75)</f>
        <v>7</v>
      </c>
      <c r="F45" s="260"/>
      <c r="J45" s="233"/>
    </row>
    <row r="46" spans="1:10" ht="15" customHeight="1" x14ac:dyDescent="0.2">
      <c r="A46" s="149"/>
      <c r="B46" s="150" t="str">
        <f>IF(Values!$A$53="","","Select Line")</f>
        <v/>
      </c>
      <c r="C46" s="256" t="str">
        <f>IF(Values!$A$53="","Select Line","Select Adaptador")</f>
        <v>Select Line</v>
      </c>
      <c r="D46" s="258" t="str">
        <f>IF(Values!$A$53="","NumberOfSections =","OD =")</f>
        <v>NumberOfSections =</v>
      </c>
      <c r="E46" s="154" t="str">
        <f>IF(Values!$A$53="",H$20,Values!C56)</f>
        <v>7</v>
      </c>
      <c r="F46" s="260"/>
      <c r="J46" s="233"/>
    </row>
    <row r="47" spans="1:10" ht="15" customHeight="1" x14ac:dyDescent="0.2">
      <c r="A47" s="149"/>
      <c r="B47" s="150" t="str">
        <f>IF(Values!$A$53="","","Select Line")</f>
        <v/>
      </c>
      <c r="C47" s="256" t="str">
        <f>IF(Values!$A$53="","Select Line","Select Adaptador")</f>
        <v>Select Line</v>
      </c>
      <c r="D47" s="258" t="str">
        <f>IF(Values!$A$53="","NumberOfSections =","ID =")</f>
        <v>NumberOfSections =</v>
      </c>
      <c r="E47" s="154" t="str">
        <f>IF(Values!$A$53="",H$20,Values!C58/1000)</f>
        <v>7</v>
      </c>
      <c r="F47" s="260"/>
      <c r="J47" s="233"/>
    </row>
    <row r="48" spans="1:10" ht="15" customHeight="1" x14ac:dyDescent="0.2">
      <c r="A48" s="149"/>
      <c r="B48" s="150" t="str">
        <f>IF(Values!$A$53="","","Select Line")</f>
        <v/>
      </c>
      <c r="C48" s="256" t="str">
        <f>IF(Values!$A$53="","Select Line","Select Adaptador")</f>
        <v>Select Line</v>
      </c>
      <c r="D48" s="151" t="str">
        <f>IF(Values!$A$53="","NumberOfSections =","MassPerUnitLength =")</f>
        <v>NumberOfSections =</v>
      </c>
      <c r="E48" s="154" t="str">
        <f>IF(Values!$A$53="",H$20,Values!C54)</f>
        <v>7</v>
      </c>
      <c r="F48" s="260"/>
      <c r="J48" s="233"/>
    </row>
    <row r="49" spans="1:10" ht="15" customHeight="1" x14ac:dyDescent="0.2">
      <c r="A49" s="149"/>
      <c r="B49" s="150" t="str">
        <f>IF(Values!$A$53="","","Select Line")</f>
        <v/>
      </c>
      <c r="C49" s="256" t="str">
        <f>IF(Values!$A$53="","Select Line","Select Adaptador")</f>
        <v>Select Line</v>
      </c>
      <c r="D49" s="153" t="str">
        <f>IF(Values!$A$53="","NumberOfSections =","EIx =")</f>
        <v>NumberOfSections =</v>
      </c>
      <c r="E49" s="154" t="str">
        <f>IF(Values!$A$53="",H$20,Values!C61)</f>
        <v>7</v>
      </c>
      <c r="F49" s="260"/>
      <c r="J49" s="233"/>
    </row>
    <row r="50" spans="1:10" ht="15" customHeight="1" x14ac:dyDescent="0.2">
      <c r="A50" s="149"/>
      <c r="B50" s="150" t="str">
        <f>IF(Values!$A$53="","","Select Line")</f>
        <v/>
      </c>
      <c r="C50" s="256" t="str">
        <f>IF(Values!$A$53="","Select Line","Select Adaptador")</f>
        <v>Select Line</v>
      </c>
      <c r="D50" s="153" t="str">
        <f>IF(Values!$A$53="","NumberOfSections =","EA =")</f>
        <v>NumberOfSections =</v>
      </c>
      <c r="E50" s="154" t="str">
        <f>IF(Values!$A$53="",H$20,Values!C62)</f>
        <v>7</v>
      </c>
      <c r="F50" s="260"/>
      <c r="J50" s="233"/>
    </row>
    <row r="51" spans="1:10" ht="15" customHeight="1" x14ac:dyDescent="0.2">
      <c r="A51" s="149"/>
      <c r="B51" s="150" t="str">
        <f>IF(Values!$A$53="","","Select Line")</f>
        <v/>
      </c>
      <c r="C51" s="256" t="str">
        <f>IF(Values!$A$53="","Select Line","Select Adaptador")</f>
        <v>Select Line</v>
      </c>
      <c r="D51" s="153" t="str">
        <f>IF(Values!$A$53="","NumberOfSections =","xMinRadius =")</f>
        <v>NumberOfSections =</v>
      </c>
      <c r="E51" s="154" t="str">
        <f>IF(Values!$A$53="",H$20,Values!C27)</f>
        <v>7</v>
      </c>
      <c r="F51" s="260"/>
      <c r="J51" s="233"/>
    </row>
    <row r="52" spans="1:10" ht="15" customHeight="1" x14ac:dyDescent="0.2">
      <c r="A52" s="149"/>
      <c r="B52" s="150" t="str">
        <f>IF(Values!$A$53="","","Select Line")</f>
        <v/>
      </c>
      <c r="C52" s="256" t="str">
        <f>IF(Values!$A$53="","Select Line","Select Adaptador")</f>
        <v>Select Line</v>
      </c>
      <c r="D52" s="153" t="str">
        <f>IF(Values!$A$53="","NumberOfSections =","NormalDragLiftDiameter =")</f>
        <v>NumberOfSections =</v>
      </c>
      <c r="E52" s="154" t="str">
        <f>IF(Values!$A$53="",H$20,Values!C59/1000)</f>
        <v>7</v>
      </c>
      <c r="F52" s="260"/>
      <c r="J52" s="233"/>
    </row>
    <row r="53" spans="1:10" ht="15" customHeight="1" x14ac:dyDescent="0.2">
      <c r="A53" s="149"/>
      <c r="B53" s="150" t="str">
        <f>IF(Values!$A$53="","","Select Line")</f>
        <v/>
      </c>
      <c r="C53" s="256" t="str">
        <f>IF(Values!$A$53="","Select Line","Select Adaptador")</f>
        <v>Select Line</v>
      </c>
      <c r="D53" s="153" t="str">
        <f>IF(Values!$A$53="","NumberOfSections =","AxialDragLiftDiameter =")</f>
        <v>NumberOfSections =</v>
      </c>
      <c r="E53" s="154" t="str">
        <f>IF(Values!$A$53="",H$20,Values!C59/1000)</f>
        <v>7</v>
      </c>
      <c r="F53" s="260"/>
      <c r="J53" s="233"/>
    </row>
    <row r="54" spans="1:10" ht="15" customHeight="1" x14ac:dyDescent="0.2">
      <c r="A54" s="149"/>
      <c r="B54" s="150" t="str">
        <f>IF(Values!$A$53="","","Select Line")</f>
        <v/>
      </c>
      <c r="C54" s="256" t="str">
        <f>IF(Values!$A$53="","Select Line","Select Adaptador")</f>
        <v>Select Line</v>
      </c>
      <c r="D54" s="153" t="str">
        <f>IF(Values!$A$53="","NumberOfSections =","ContactDiameter =")</f>
        <v>NumberOfSections =</v>
      </c>
      <c r="E54" s="154" t="str">
        <f>IF(Values!$A$53="",H$20,Values!C59/1000)</f>
        <v>7</v>
      </c>
      <c r="F54" s="260"/>
      <c r="J54" s="233"/>
    </row>
    <row r="55" spans="1:10" ht="15" customHeight="1" x14ac:dyDescent="0.2">
      <c r="A55" s="149"/>
      <c r="B55" s="150" t="str">
        <f>IF(Values!$A$53="","","Select Line")</f>
        <v/>
      </c>
      <c r="C55" s="256" t="str">
        <f>IF(Values!$A$53="","Select Line","Select Adaptador")</f>
        <v>Select Line</v>
      </c>
      <c r="D55" s="153" t="str">
        <f>IF(Values!$A$53="","NumberOfSections =","GJ =")</f>
        <v>NumberOfSections =</v>
      </c>
      <c r="E55" s="154" t="str">
        <f>IF(Values!$A$53="",H$20,Values!C63)</f>
        <v>7</v>
      </c>
      <c r="F55" s="260"/>
      <c r="J55" s="233"/>
    </row>
    <row r="56" spans="1:10" ht="15" customHeight="1" x14ac:dyDescent="0.2">
      <c r="A56" s="149"/>
      <c r="B56" s="155"/>
      <c r="C56" s="155" t="s">
        <v>362</v>
      </c>
      <c r="D56" s="153" t="s">
        <v>363</v>
      </c>
      <c r="E56" s="262">
        <f>'MCV e Guindaste'!C18/1000</f>
        <v>5.0430000000000001</v>
      </c>
      <c r="F56" s="260"/>
      <c r="J56" s="233"/>
    </row>
    <row r="57" spans="1:10" ht="15" customHeight="1" x14ac:dyDescent="0.2">
      <c r="A57" s="149"/>
      <c r="B57" s="155"/>
      <c r="C57" s="155" t="s">
        <v>362</v>
      </c>
      <c r="D57" s="153" t="s">
        <v>364</v>
      </c>
      <c r="E57" s="262">
        <f>('MCV e Guindaste'!B13/1000)+('MCV e Guindaste'!B9/1000)</f>
        <v>2.5389999999999997</v>
      </c>
      <c r="F57" s="260"/>
      <c r="J57" s="233"/>
    </row>
    <row r="58" spans="1:10" ht="15" customHeight="1" x14ac:dyDescent="0.2">
      <c r="A58" s="263"/>
      <c r="B58" s="155"/>
      <c r="C58" s="155" t="s">
        <v>362</v>
      </c>
      <c r="D58" s="153" t="s">
        <v>365</v>
      </c>
      <c r="E58" s="264">
        <f>('MCV e Guindaste'!C30*(-1))</f>
        <v>-2238.2269999999999</v>
      </c>
      <c r="F58" s="260"/>
      <c r="J58" s="233"/>
    </row>
    <row r="59" spans="1:10" ht="15" customHeight="1" x14ac:dyDescent="0.2">
      <c r="A59" s="265"/>
      <c r="B59" s="155"/>
      <c r="C59" s="155" t="s">
        <v>362</v>
      </c>
      <c r="D59" s="153" t="s">
        <v>366</v>
      </c>
      <c r="E59" s="266">
        <f>'MCV e Guindaste'!C23</f>
        <v>-2.5000000000000022E-2</v>
      </c>
      <c r="J59" s="233"/>
    </row>
    <row r="60" spans="1:10" ht="15" customHeight="1" x14ac:dyDescent="0.2">
      <c r="A60" s="265"/>
      <c r="B60" s="155"/>
      <c r="C60" s="155" t="s">
        <v>362</v>
      </c>
      <c r="D60" s="153" t="s">
        <v>2175</v>
      </c>
      <c r="E60" s="266">
        <f>'MCV e Guindaste'!C22</f>
        <v>0</v>
      </c>
      <c r="J60" s="233"/>
    </row>
    <row r="61" spans="1:10" ht="15" customHeight="1" x14ac:dyDescent="0.2">
      <c r="A61" s="265"/>
      <c r="B61" s="155"/>
      <c r="C61" s="155" t="s">
        <v>362</v>
      </c>
      <c r="D61" s="153" t="s">
        <v>367</v>
      </c>
      <c r="E61" s="266">
        <f>'MCV e Guindaste'!C21</f>
        <v>1.3559999999999999</v>
      </c>
      <c r="J61" s="233"/>
    </row>
    <row r="62" spans="1:10" ht="15" customHeight="1" x14ac:dyDescent="0.2">
      <c r="A62" s="265"/>
      <c r="B62" s="155"/>
      <c r="C62" s="155" t="s">
        <v>362</v>
      </c>
      <c r="D62" s="153" t="s">
        <v>368</v>
      </c>
      <c r="E62" s="266">
        <f>'MCV e Guindaste'!C23</f>
        <v>-2.5000000000000022E-2</v>
      </c>
      <c r="J62" s="233"/>
    </row>
    <row r="63" spans="1:10" ht="15" customHeight="1" x14ac:dyDescent="0.2">
      <c r="A63" s="265"/>
      <c r="B63" s="155"/>
      <c r="C63" s="155" t="s">
        <v>362</v>
      </c>
      <c r="D63" s="153" t="s">
        <v>2176</v>
      </c>
      <c r="E63" s="266">
        <f>'MCV e Guindaste'!C22</f>
        <v>0</v>
      </c>
      <c r="J63" s="233"/>
    </row>
    <row r="64" spans="1:10" ht="15" customHeight="1" x14ac:dyDescent="0.2">
      <c r="A64" s="265"/>
      <c r="B64" s="155"/>
      <c r="C64" s="155" t="s">
        <v>362</v>
      </c>
      <c r="D64" s="153" t="s">
        <v>369</v>
      </c>
      <c r="E64" s="266">
        <f>'MCV e Guindaste'!C21</f>
        <v>1.3559999999999999</v>
      </c>
      <c r="J64" s="233"/>
    </row>
    <row r="65" spans="1:10" ht="15" customHeight="1" x14ac:dyDescent="0.2">
      <c r="A65" s="263"/>
      <c r="B65" s="155"/>
      <c r="C65" s="155" t="s">
        <v>370</v>
      </c>
      <c r="D65" s="153" t="s">
        <v>371</v>
      </c>
      <c r="E65" s="268">
        <f>Values!C18/1000</f>
        <v>5.7809999999999997</v>
      </c>
      <c r="F65" s="260"/>
      <c r="J65" s="233"/>
    </row>
    <row r="66" spans="1:10" ht="15" customHeight="1" x14ac:dyDescent="0.2">
      <c r="A66" s="149"/>
      <c r="B66" s="150"/>
      <c r="C66" s="150" t="s">
        <v>347</v>
      </c>
      <c r="D66" s="151" t="s">
        <v>372</v>
      </c>
      <c r="E66" s="152">
        <f>Values!C18/1000</f>
        <v>5.7809999999999997</v>
      </c>
      <c r="F66" s="260"/>
      <c r="J66" s="233"/>
    </row>
    <row r="67" spans="1:10" ht="15" customHeight="1" x14ac:dyDescent="0.2">
      <c r="A67" s="149"/>
      <c r="B67" s="150"/>
      <c r="C67" s="150" t="s">
        <v>347</v>
      </c>
      <c r="D67" s="153" t="str">
        <f>IF(Values!$A$66="", "LineType[7] =", "Attachmentz[1] =")</f>
        <v>LineType[7] =</v>
      </c>
      <c r="E67" s="154" t="str">
        <f>IF(Values!$A$66="", "Conector", 0)</f>
        <v>Conector</v>
      </c>
      <c r="F67" s="260"/>
      <c r="J67" s="233"/>
    </row>
    <row r="68" spans="1:10" ht="15" customHeight="1" x14ac:dyDescent="0.2">
      <c r="A68" s="149"/>
      <c r="B68" s="150"/>
      <c r="C68" s="150" t="s">
        <v>347</v>
      </c>
      <c r="D68" s="153" t="str">
        <f>IF(AND(Values!$A$66="",NOT(Values!$A$53="")), "LineType[8] =", "Attachmentz[1] =")</f>
        <v>Attachmentz[1] =</v>
      </c>
      <c r="E68" s="154">
        <f>IF(AND(Values!$A$66="",NOT(Values!$A$53="")), "Adaptador", 0)</f>
        <v>0</v>
      </c>
      <c r="F68" s="260"/>
      <c r="J68" s="233"/>
    </row>
    <row r="69" spans="1:10" ht="15" customHeight="1" x14ac:dyDescent="0.2">
      <c r="A69" s="149"/>
      <c r="B69" s="150"/>
      <c r="C69" s="150" t="s">
        <v>347</v>
      </c>
      <c r="D69" s="153" t="str">
        <f>IF(Values!$A$66="","Attachmentz[1] =","Length[7] =")</f>
        <v>Attachmentz[1] =</v>
      </c>
      <c r="E69" s="154">
        <f>IF(Values!$A$66="",0, Values!C64/1000)</f>
        <v>0</v>
      </c>
      <c r="F69" s="260"/>
      <c r="J69" s="233"/>
    </row>
    <row r="70" spans="1:10" ht="15" customHeight="1" x14ac:dyDescent="0.2">
      <c r="A70" s="149"/>
      <c r="B70" s="150"/>
      <c r="C70" s="150" t="s">
        <v>347</v>
      </c>
      <c r="D70" s="153" t="str">
        <f>IF(Values!$A$66="", "Length[7] =", "Length[8] =")</f>
        <v>Length[7] =</v>
      </c>
      <c r="E70" s="154">
        <f xml:space="preserve"> Values!C38/1000</f>
        <v>2.2189999999999999</v>
      </c>
      <c r="F70" s="260"/>
      <c r="J70" s="233"/>
    </row>
    <row r="71" spans="1:10" ht="15" customHeight="1" x14ac:dyDescent="0.2">
      <c r="A71" s="149"/>
      <c r="B71" s="150"/>
      <c r="C71" s="150" t="s">
        <v>347</v>
      </c>
      <c r="D71" s="153" t="str" cm="1">
        <f t="array" ref="D71">_xlfn.IFS(AND(Values!$A$66="",NOT(Values!$A$53="")), "Length[8] =", AND(NOT(Values!$A$66=""),NOT(Values!$A$53="")),"Length[9] =",TRUE, "Attachmentz[1] =")</f>
        <v>Attachmentz[1] =</v>
      </c>
      <c r="E71" s="154" cm="1">
        <f t="array" ref="E71">_xlfn.IFS(AND(Values!$A$66="",NOT(Values!$A$53="")), Values!C51/1000, AND(NOT(Values!$A$66=""),NOT(Values!$A$53="")),Values!C51/1000,TRUE,0)</f>
        <v>0</v>
      </c>
      <c r="F71" s="260"/>
      <c r="J71" s="233"/>
    </row>
    <row r="72" spans="1:10" ht="15" customHeight="1" x14ac:dyDescent="0.2">
      <c r="A72" s="149"/>
      <c r="B72" s="155"/>
      <c r="C72" s="150" t="s">
        <v>347</v>
      </c>
      <c r="D72" s="151" t="s">
        <v>373</v>
      </c>
      <c r="E72" s="154">
        <f>E69+E70+E71</f>
        <v>2.2189999999999999</v>
      </c>
      <c r="F72" s="260"/>
      <c r="J72" s="233"/>
    </row>
    <row r="73" spans="1:10" ht="15" customHeight="1" x14ac:dyDescent="0.2">
      <c r="A73" s="263"/>
      <c r="B73" s="155"/>
      <c r="C73" s="155" t="s">
        <v>347</v>
      </c>
      <c r="D73" s="153" t="s">
        <v>374</v>
      </c>
      <c r="E73" s="268">
        <f>'MCV e Guindaste'!C29</f>
        <v>0.83899999999999997</v>
      </c>
      <c r="F73" s="260"/>
      <c r="J73" s="233"/>
    </row>
    <row r="74" spans="1:10" ht="15" customHeight="1" x14ac:dyDescent="0.2">
      <c r="A74" s="263"/>
      <c r="B74" s="155"/>
      <c r="C74" s="155" t="s">
        <v>347</v>
      </c>
      <c r="D74" s="153" t="s">
        <v>375</v>
      </c>
      <c r="E74" s="268">
        <f>'MCV e Guindaste'!C27</f>
        <v>2.0369999999999999</v>
      </c>
      <c r="F74" s="260"/>
      <c r="J74" s="233"/>
    </row>
    <row r="75" spans="1:10" ht="15" customHeight="1" x14ac:dyDescent="0.2">
      <c r="A75" s="263"/>
      <c r="B75" s="155"/>
      <c r="C75" s="155" t="s">
        <v>347</v>
      </c>
      <c r="D75" s="153" t="s">
        <v>376</v>
      </c>
      <c r="E75" s="268">
        <f>'MCV e Guindaste'!C31</f>
        <v>60</v>
      </c>
      <c r="F75" s="260"/>
      <c r="J75" s="233"/>
    </row>
    <row r="76" spans="1:10" ht="15" customHeight="1" x14ac:dyDescent="0.2">
      <c r="A76" s="263"/>
      <c r="B76" s="155"/>
      <c r="C76" s="155" t="s">
        <v>377</v>
      </c>
      <c r="D76" s="155" t="s">
        <v>378</v>
      </c>
      <c r="E76" s="268">
        <f>'MCV e Guindaste'!C26</f>
        <v>-6.800000000000006E-2</v>
      </c>
      <c r="F76" s="260"/>
      <c r="J76" s="233"/>
    </row>
    <row r="77" spans="1:10" ht="15" customHeight="1" x14ac:dyDescent="0.2">
      <c r="A77" s="263"/>
      <c r="B77" s="155"/>
      <c r="C77" s="155" t="s">
        <v>377</v>
      </c>
      <c r="D77" s="155" t="s">
        <v>379</v>
      </c>
      <c r="E77" s="268">
        <f>'MCV e Guindaste'!C24</f>
        <v>2.5389999999999997</v>
      </c>
      <c r="F77" s="260"/>
      <c r="J77" s="233"/>
    </row>
    <row r="78" spans="1:10" ht="15" customHeight="1" x14ac:dyDescent="0.2">
      <c r="A78" s="263"/>
      <c r="B78" s="155"/>
      <c r="C78" s="155" t="s">
        <v>377</v>
      </c>
      <c r="D78" s="155" t="s">
        <v>380</v>
      </c>
      <c r="E78" s="269">
        <f>'MCV e Guindaste'!H19</f>
        <v>2235.6880000000001</v>
      </c>
      <c r="F78" s="260"/>
      <c r="J78" s="233"/>
    </row>
    <row r="79" spans="1:10" ht="15" customHeight="1" x14ac:dyDescent="0.2">
      <c r="A79" s="263"/>
      <c r="B79" s="155"/>
      <c r="C79" s="155" t="s">
        <v>362</v>
      </c>
      <c r="D79" s="153" t="s">
        <v>381</v>
      </c>
      <c r="E79" s="269" t="str">
        <f>IF(TRIM('MCV e Guindaste'!B6)="","MCV",SUBSTITUTE(TRIM('MCV e Guindaste'!B6)," ","_"))</f>
        <v>P7000048060</v>
      </c>
      <c r="F79" s="260"/>
      <c r="J79" s="233"/>
    </row>
    <row r="80" spans="1:10" ht="15" customHeight="1" x14ac:dyDescent="0.2">
      <c r="A80" s="149"/>
      <c r="B80" s="150"/>
      <c r="C80" s="256" t="str">
        <f>IF(Values!$A$53="","Select Line","Select Adaptador")</f>
        <v>Select Line</v>
      </c>
      <c r="D80" s="153" t="str">
        <f>IF(Values!$A$53="","NumberOfSections =","Name =")</f>
        <v>NumberOfSections =</v>
      </c>
      <c r="E80" s="154" t="str">
        <f>IF(TRIM(Values!$A$53)="",H$20,SUBSTITUTE(TRIM(Values!$A$53)," ","_"))</f>
        <v>7</v>
      </c>
      <c r="F80" s="260"/>
      <c r="J80" s="233"/>
    </row>
    <row r="81" spans="1:10" ht="15" customHeight="1" x14ac:dyDescent="0.2">
      <c r="A81" s="263"/>
      <c r="B81" s="155"/>
      <c r="C81" s="155" t="s">
        <v>360</v>
      </c>
      <c r="D81" s="153" t="s">
        <v>381</v>
      </c>
      <c r="E81" s="269" t="str">
        <f>IF(TRIM(Values!$A$40)="","Conector",SUBSTITUTE(TRIM(Values!$A$40)," ","_"))</f>
        <v>CB-EF1522540-00-05</v>
      </c>
      <c r="F81" s="260"/>
      <c r="J81" s="233"/>
    </row>
    <row r="82" spans="1:10" ht="15" customHeight="1" x14ac:dyDescent="0.2">
      <c r="A82" s="149"/>
      <c r="B82" s="150"/>
      <c r="C82" s="256" t="str">
        <f>IF(Values!$A$66="","Select Line","Select ZR_Vertebra")</f>
        <v>Select Line</v>
      </c>
      <c r="D82" s="153" t="str">
        <f>IF(Values!$A$66="","NumberOfSections =","Name =")</f>
        <v>NumberOfSections =</v>
      </c>
      <c r="E82" s="154" t="str">
        <f>IF(TRIM(Values!$A$66)="",H$20,SUBSTITUTE(TRIM(Values!$A$66)," ","_"))</f>
        <v>7</v>
      </c>
      <c r="F82" s="260"/>
      <c r="J82" s="233"/>
    </row>
    <row r="83" spans="1:10" ht="15" customHeight="1" x14ac:dyDescent="0.2">
      <c r="A83" s="263"/>
      <c r="B83" s="155"/>
      <c r="C83" s="155" t="s">
        <v>359</v>
      </c>
      <c r="D83" s="153" t="s">
        <v>381</v>
      </c>
      <c r="E83" s="269" t="str">
        <f>IF(TRIM(Values!$A$20)="","Vértebra",SUBSTITUTE(TRIM(Values!$A$20)," ","_"))</f>
        <v>CB-BR1522553-00-01</v>
      </c>
      <c r="F83" s="260"/>
      <c r="J83" s="233"/>
    </row>
    <row r="84" spans="1:10" ht="15" customHeight="1" x14ac:dyDescent="0.2">
      <c r="A84" s="263"/>
      <c r="B84" s="155"/>
      <c r="C84" s="155" t="s">
        <v>348</v>
      </c>
      <c r="D84" s="153" t="s">
        <v>381</v>
      </c>
      <c r="E84" s="269" t="str">
        <f>IF(TRIM(Values!$A$5)="","Linha",SUBSTITUTE(TRIM(Values!$A$5)," ","_"))</f>
        <v>WSI_152.2553-RD-4042-6</v>
      </c>
      <c r="F84" s="260"/>
      <c r="J84" s="233"/>
    </row>
    <row r="85" spans="1:10" ht="15" customHeight="1" x14ac:dyDescent="0.2">
      <c r="A85" s="263"/>
      <c r="B85" s="155"/>
      <c r="C85" s="155" t="s">
        <v>382</v>
      </c>
      <c r="D85" s="153" t="s">
        <v>383</v>
      </c>
      <c r="E85" s="268" t="s">
        <v>384</v>
      </c>
      <c r="F85" s="260"/>
      <c r="J85" s="233"/>
    </row>
    <row r="86" spans="1:10" ht="15" customHeight="1" x14ac:dyDescent="0.2">
      <c r="A86" s="263"/>
      <c r="B86" s="155"/>
      <c r="C86" s="155" t="s">
        <v>382</v>
      </c>
      <c r="D86" s="153" t="s">
        <v>385</v>
      </c>
      <c r="E86" s="270">
        <v>4</v>
      </c>
      <c r="F86" s="260"/>
      <c r="J86" s="233"/>
    </row>
    <row r="87" spans="1:10" ht="15" customHeight="1" x14ac:dyDescent="0.2">
      <c r="A87" s="263"/>
      <c r="B87" s="155"/>
      <c r="C87" s="155" t="s">
        <v>382</v>
      </c>
      <c r="D87" s="153" t="s">
        <v>386</v>
      </c>
      <c r="E87" s="268">
        <v>0</v>
      </c>
      <c r="F87" s="260"/>
      <c r="J87" s="233"/>
    </row>
    <row r="88" spans="1:10" ht="15" customHeight="1" x14ac:dyDescent="0.2">
      <c r="A88" s="263"/>
      <c r="B88" s="155"/>
      <c r="C88" s="155" t="s">
        <v>382</v>
      </c>
      <c r="D88" s="153" t="s">
        <v>387</v>
      </c>
      <c r="E88" s="268">
        <f>'MCV e Guindaste'!I22</f>
        <v>2240</v>
      </c>
      <c r="F88" s="260"/>
      <c r="J88" s="233"/>
    </row>
    <row r="89" spans="1:10" ht="15" customHeight="1" x14ac:dyDescent="0.2">
      <c r="A89" s="263"/>
      <c r="B89" s="155"/>
      <c r="C89" s="155" t="s">
        <v>382</v>
      </c>
      <c r="D89" s="153" t="s">
        <v>388</v>
      </c>
      <c r="E89" s="264">
        <f>IF('MCV e Guindaste'!G23="",E87,'MCV e Guindaste'!G23)</f>
        <v>5</v>
      </c>
      <c r="F89" s="260"/>
      <c r="J89" s="233"/>
    </row>
    <row r="90" spans="1:10" ht="15" customHeight="1" x14ac:dyDescent="0.2">
      <c r="A90" s="263"/>
      <c r="B90" s="155"/>
      <c r="C90" s="155" t="s">
        <v>382</v>
      </c>
      <c r="D90" s="153" t="s">
        <v>389</v>
      </c>
      <c r="E90" s="264">
        <f>'MCV e Guindaste'!I23</f>
        <v>2240</v>
      </c>
      <c r="F90" s="260"/>
      <c r="J90" s="233"/>
    </row>
    <row r="91" spans="1:10" ht="15" customHeight="1" x14ac:dyDescent="0.2">
      <c r="A91" s="263"/>
      <c r="B91" s="155"/>
      <c r="C91" s="155" t="s">
        <v>382</v>
      </c>
      <c r="D91" s="153" t="s">
        <v>390</v>
      </c>
      <c r="E91" s="264">
        <f>IF('MCV e Guindaste'!G24="",E89,'MCV e Guindaste'!G24)</f>
        <v>10</v>
      </c>
      <c r="F91" s="260"/>
      <c r="J91" s="233"/>
    </row>
    <row r="92" spans="1:10" ht="15" customHeight="1" x14ac:dyDescent="0.2">
      <c r="A92" s="263"/>
      <c r="B92" s="155"/>
      <c r="C92" s="155" t="s">
        <v>382</v>
      </c>
      <c r="D92" s="153" t="s">
        <v>391</v>
      </c>
      <c r="E92" s="264">
        <f>'MCV e Guindaste'!I24</f>
        <v>2240</v>
      </c>
      <c r="F92" s="260"/>
      <c r="J92" s="233"/>
    </row>
    <row r="93" spans="1:10" ht="15" customHeight="1" x14ac:dyDescent="0.2">
      <c r="A93" s="263"/>
      <c r="B93" s="155"/>
      <c r="C93" s="155" t="s">
        <v>382</v>
      </c>
      <c r="D93" s="153" t="s">
        <v>392</v>
      </c>
      <c r="E93" s="264">
        <f>IF('MCV e Guindaste'!G25="",E91,'MCV e Guindaste'!G25)</f>
        <v>15</v>
      </c>
      <c r="F93" s="260"/>
      <c r="J93" s="233"/>
    </row>
    <row r="94" spans="1:10" ht="15" customHeight="1" x14ac:dyDescent="0.2">
      <c r="A94" s="263"/>
      <c r="B94" s="155"/>
      <c r="C94" s="155" t="s">
        <v>382</v>
      </c>
      <c r="D94" s="153" t="s">
        <v>393</v>
      </c>
      <c r="E94" s="264">
        <f>'MCV e Guindaste'!I25</f>
        <v>2240</v>
      </c>
      <c r="F94" s="260"/>
      <c r="J94" s="233"/>
    </row>
    <row r="95" spans="1:10" ht="15" customHeight="1" x14ac:dyDescent="0.2">
      <c r="A95" s="263"/>
      <c r="B95" s="155" t="str">
        <f>IF($B$4="Umbilical","Select Line","")</f>
        <v/>
      </c>
      <c r="C95" s="155" t="str">
        <f>IF($B$4="Umbilical",_xlfn.CONCAT("Select ",E84),"Select Stiffness_Lançamento")</f>
        <v>Select Stiffness_Lançamento</v>
      </c>
      <c r="D95" s="153" t="str">
        <f>IF($B$4="Umbilical","EIx=","NumberOfRows =")</f>
        <v>NumberOfRows =</v>
      </c>
      <c r="E95" s="271">
        <f>IF($B$4="Umbilical", Values!C14, I7)</f>
        <v>25</v>
      </c>
      <c r="F95" s="260"/>
      <c r="J95" s="233"/>
    </row>
    <row r="96" spans="1:10" ht="15" customHeight="1" x14ac:dyDescent="0.2">
      <c r="A96" s="263"/>
      <c r="B96" s="155"/>
      <c r="C96" s="155" t="str">
        <f>IF($B$4="Umbilical",_xlfn.CONCAT("Select ",E85),"Select Stiffness_Teste")</f>
        <v>Select Stiffness_Teste</v>
      </c>
      <c r="D96" s="153" t="str">
        <f t="shared" ref="D96:D97" si="0">IF($B$4="Umbilical","EIx=","NumberOfRows =")</f>
        <v>NumberOfRows =</v>
      </c>
      <c r="E96" s="271">
        <f>IF($B$4="Umbilical", Values!C15, I9)</f>
        <v>25</v>
      </c>
      <c r="F96" s="260"/>
      <c r="J96" s="233"/>
    </row>
    <row r="97" spans="1:10" ht="15" customHeight="1" x14ac:dyDescent="0.2">
      <c r="A97" s="263"/>
      <c r="B97" s="155"/>
      <c r="C97" s="155" t="str">
        <f>IF($B$4="Umbilical",_xlfn.CONCAT("Select ",E86),"Select Stiffness_Operação")</f>
        <v>Select Stiffness_Operação</v>
      </c>
      <c r="D97" s="153" t="str">
        <f t="shared" si="0"/>
        <v>NumberOfRows =</v>
      </c>
      <c r="E97" s="271">
        <f>IF($B$4="Umbilical", Values!C16, I11)</f>
        <v>25</v>
      </c>
      <c r="F97" s="260"/>
      <c r="J97" s="233"/>
    </row>
    <row r="98" spans="1:10" ht="15" customHeight="1" x14ac:dyDescent="0.2">
      <c r="A98" s="263"/>
      <c r="B98" s="155"/>
      <c r="C98" s="155" t="s">
        <v>1771</v>
      </c>
      <c r="D98" s="153" t="s">
        <v>394</v>
      </c>
      <c r="E98" s="270">
        <f>I13</f>
        <v>3</v>
      </c>
      <c r="F98" s="260"/>
      <c r="J98" s="233"/>
    </row>
    <row r="99" spans="1:10" ht="15" customHeight="1" x14ac:dyDescent="0.2">
      <c r="A99" s="263"/>
      <c r="B99" s="155"/>
      <c r="C99" s="155" t="s">
        <v>1771</v>
      </c>
      <c r="D99" s="153" t="s">
        <v>395</v>
      </c>
      <c r="E99" s="272">
        <f>'Bending Stiffness'!W19</f>
        <v>0.24154589371980678</v>
      </c>
      <c r="F99" s="260"/>
      <c r="J99" s="233"/>
    </row>
    <row r="100" spans="1:10" ht="15" customHeight="1" x14ac:dyDescent="0.2">
      <c r="A100" s="263"/>
      <c r="B100" s="155"/>
      <c r="C100" s="155" t="s">
        <v>1771</v>
      </c>
      <c r="D100" s="153" t="s">
        <v>396</v>
      </c>
      <c r="E100" s="272">
        <f>'Bending Stiffness'!W20</f>
        <v>1.2415458937198067</v>
      </c>
      <c r="F100" s="260"/>
      <c r="J100" s="233"/>
    </row>
    <row r="101" spans="1:10" ht="15" customHeight="1" x14ac:dyDescent="0.2">
      <c r="A101" s="263"/>
      <c r="B101" s="155"/>
      <c r="C101" s="155" t="s">
        <v>1771</v>
      </c>
      <c r="D101" s="153" t="s">
        <v>397</v>
      </c>
      <c r="E101" s="262">
        <f>'Bending Stiffness'!X19</f>
        <v>0.01</v>
      </c>
      <c r="F101" s="260"/>
      <c r="J101" s="233"/>
    </row>
    <row r="102" spans="1:10" ht="15" customHeight="1" x14ac:dyDescent="0.2">
      <c r="A102" s="263"/>
      <c r="B102" s="155"/>
      <c r="C102" s="155" t="s">
        <v>1771</v>
      </c>
      <c r="D102" s="153" t="s">
        <v>398</v>
      </c>
      <c r="E102" s="270">
        <f>'Bending Stiffness'!X20</f>
        <v>406797.02009192057</v>
      </c>
      <c r="F102" s="260"/>
      <c r="J102" s="233"/>
    </row>
    <row r="103" spans="1:10" ht="15" customHeight="1" x14ac:dyDescent="0.2">
      <c r="A103" s="263"/>
      <c r="B103" s="155"/>
      <c r="C103" s="155" t="s">
        <v>399</v>
      </c>
      <c r="D103" s="155" t="s">
        <v>380</v>
      </c>
      <c r="E103" s="268">
        <f>'MCV e Guindaste'!H18</f>
        <v>2240</v>
      </c>
      <c r="F103" s="260"/>
      <c r="J103" s="233"/>
    </row>
    <row r="104" spans="1:10" ht="15" customHeight="1" x14ac:dyDescent="0.2">
      <c r="A104" s="263"/>
      <c r="B104" s="155"/>
      <c r="C104" s="155" t="s">
        <v>400</v>
      </c>
      <c r="D104" s="153" t="s">
        <v>365</v>
      </c>
      <c r="E104" s="268">
        <f>('MCV e Guindaste'!H18-5)*(-1)</f>
        <v>-2235</v>
      </c>
      <c r="F104" s="260"/>
      <c r="J104" s="233"/>
    </row>
    <row r="105" spans="1:10" ht="15" customHeight="1" thickBot="1" x14ac:dyDescent="0.25">
      <c r="A105" s="273"/>
      <c r="B105" s="274"/>
      <c r="C105" s="275"/>
      <c r="D105" s="276" t="s">
        <v>401</v>
      </c>
      <c r="E105" s="277" t="str">
        <f>_xlfn.CONCAT(Results!$C$32,".dat")</f>
        <v>Estatico.dat</v>
      </c>
      <c r="F105" s="260"/>
      <c r="J105" s="233"/>
    </row>
    <row r="106" spans="1:10" ht="15" customHeight="1" x14ac:dyDescent="0.2">
      <c r="J106" s="233"/>
    </row>
    <row r="107" spans="1:10" ht="15" customHeight="1" x14ac:dyDescent="0.2">
      <c r="J107" s="233"/>
    </row>
    <row r="108" spans="1:10" ht="15" customHeight="1" x14ac:dyDescent="0.2">
      <c r="J108" s="233"/>
    </row>
    <row r="109" spans="1:10" ht="15" customHeight="1" x14ac:dyDescent="0.2">
      <c r="J109" s="233"/>
    </row>
    <row r="110" spans="1:10" ht="15" customHeight="1" x14ac:dyDescent="0.2">
      <c r="J110" s="233"/>
    </row>
    <row r="111" spans="1:10" ht="15" customHeight="1" x14ac:dyDescent="0.2">
      <c r="J111" s="233"/>
    </row>
    <row r="112" spans="1:10" ht="15" customHeight="1" x14ac:dyDescent="0.2">
      <c r="J112" s="233"/>
    </row>
    <row r="113" spans="10:10" ht="15" customHeight="1" x14ac:dyDescent="0.2">
      <c r="J113" s="233"/>
    </row>
    <row r="114" spans="10:10" ht="15" customHeight="1" x14ac:dyDescent="0.2">
      <c r="J114" s="233"/>
    </row>
    <row r="115" spans="10:10" ht="15" customHeight="1" x14ac:dyDescent="0.2">
      <c r="J115" s="233"/>
    </row>
    <row r="116" spans="10:10" ht="15" customHeight="1" x14ac:dyDescent="0.2">
      <c r="J116" s="233"/>
    </row>
    <row r="117" spans="10:10" ht="15" customHeight="1" x14ac:dyDescent="0.2">
      <c r="J117" s="233"/>
    </row>
    <row r="118" spans="10:10" ht="15" customHeight="1" x14ac:dyDescent="0.2">
      <c r="J118" s="233"/>
    </row>
    <row r="119" spans="10:10" ht="15" customHeight="1" x14ac:dyDescent="0.2">
      <c r="J119" s="233"/>
    </row>
    <row r="120" spans="10:10" ht="15" customHeight="1" x14ac:dyDescent="0.2">
      <c r="J120" s="233"/>
    </row>
    <row r="121" spans="10:10" ht="15" customHeight="1" x14ac:dyDescent="0.2">
      <c r="J121" s="233"/>
    </row>
    <row r="122" spans="10:10" ht="15" customHeight="1" x14ac:dyDescent="0.2">
      <c r="J122" s="233"/>
    </row>
    <row r="123" spans="10:10" ht="15" customHeight="1" x14ac:dyDescent="0.2">
      <c r="J123" s="233"/>
    </row>
    <row r="124" spans="10:10" ht="15" customHeight="1" x14ac:dyDescent="0.2">
      <c r="J124" s="233"/>
    </row>
    <row r="125" spans="10:10" ht="15" customHeight="1" x14ac:dyDescent="0.2">
      <c r="J125" s="233"/>
    </row>
    <row r="126" spans="10:10" ht="15" customHeight="1" x14ac:dyDescent="0.2">
      <c r="J126" s="233"/>
    </row>
    <row r="127" spans="10:10" ht="15" customHeight="1" x14ac:dyDescent="0.2">
      <c r="J127" s="233"/>
    </row>
    <row r="128" spans="10:10" ht="15" customHeight="1" x14ac:dyDescent="0.2">
      <c r="J128" s="233"/>
    </row>
    <row r="129" spans="6:10" ht="15" customHeight="1" x14ac:dyDescent="0.2">
      <c r="J129" s="233"/>
    </row>
    <row r="130" spans="6:10" ht="15" customHeight="1" x14ac:dyDescent="0.2">
      <c r="J130" s="233"/>
    </row>
    <row r="131" spans="6:10" ht="15" customHeight="1" x14ac:dyDescent="0.2">
      <c r="J131" s="233"/>
    </row>
    <row r="132" spans="6:10" ht="15" customHeight="1" x14ac:dyDescent="0.2">
      <c r="J132" s="233"/>
    </row>
    <row r="133" spans="6:10" ht="15" customHeight="1" x14ac:dyDescent="0.2">
      <c r="J133" s="233"/>
    </row>
    <row r="134" spans="6:10" ht="15" customHeight="1" x14ac:dyDescent="0.2">
      <c r="J134" s="233"/>
    </row>
    <row r="135" spans="6:10" ht="15" customHeight="1" x14ac:dyDescent="0.2">
      <c r="J135" s="233"/>
    </row>
    <row r="136" spans="6:10" ht="15" customHeight="1" x14ac:dyDescent="0.2">
      <c r="J136" s="233"/>
    </row>
    <row r="137" spans="6:10" ht="15" customHeight="1" x14ac:dyDescent="0.2">
      <c r="J137" s="233"/>
    </row>
    <row r="138" spans="6:10" ht="15" customHeight="1" x14ac:dyDescent="0.2">
      <c r="J138" s="233"/>
    </row>
    <row r="139" spans="6:10" ht="15" customHeight="1" x14ac:dyDescent="0.2">
      <c r="J139" s="233"/>
    </row>
    <row r="140" spans="6:10" ht="15" customHeight="1" x14ac:dyDescent="0.2">
      <c r="J140" s="233"/>
    </row>
    <row r="141" spans="6:10" ht="15" customHeight="1" x14ac:dyDescent="0.2">
      <c r="F141" s="77"/>
      <c r="J141" s="233"/>
    </row>
    <row r="142" spans="6:10" x14ac:dyDescent="0.2">
      <c r="J142" s="233"/>
    </row>
    <row r="143" spans="6:10" x14ac:dyDescent="0.2">
      <c r="J143" s="233"/>
    </row>
    <row r="144" spans="6:10" x14ac:dyDescent="0.2">
      <c r="J144" s="233"/>
    </row>
    <row r="145" spans="10:10" x14ac:dyDescent="0.2">
      <c r="J145" s="77"/>
    </row>
  </sheetData>
  <dataConsolidate/>
  <conditionalFormatting sqref="H23">
    <cfRule type="containsText" dxfId="202" priority="5" operator="containsText" text="Lançamento foi">
      <formula>NOT(ISERROR(SEARCH("Lançamento foi",H23)))</formula>
    </cfRule>
    <cfRule type="containsText" dxfId="201" priority="8" operator="containsText" text="Lançamento NÃO foi">
      <formula>NOT(ISERROR(SEARCH("Lançamento NÃO foi",H23)))</formula>
    </cfRule>
  </conditionalFormatting>
  <conditionalFormatting sqref="H26">
    <cfRule type="containsText" dxfId="200" priority="2" operator="containsText" text="Teste foi">
      <formula>NOT(ISERROR(SEARCH("Teste foi",H26)))</formula>
    </cfRule>
    <cfRule type="containsText" dxfId="199" priority="7" operator="containsText" text="Teste NÃO foi">
      <formula>NOT(ISERROR(SEARCH("Teste NÃO foi",H26)))</formula>
    </cfRule>
  </conditionalFormatting>
  <conditionalFormatting sqref="H29">
    <cfRule type="containsText" dxfId="198" priority="1" operator="containsText" text="Operação foi">
      <formula>NOT(ISERROR(SEARCH("Operação foi",H29)))</formula>
    </cfRule>
    <cfRule type="containsText" dxfId="197" priority="6" operator="containsText" text="Operação NÃO foi">
      <formula>NOT(ISERROR(SEARCH("Operação NÃO foi",H29)))</formula>
    </cfRule>
  </conditionalFormatting>
  <dataValidations count="3">
    <dataValidation type="list" allowBlank="1" showInputMessage="1" showErrorMessage="1" sqref="B4" xr:uid="{00000000-0002-0000-0500-000000000000}">
      <formula1>script_table_linhas</formula1>
    </dataValidation>
    <dataValidation allowBlank="1" showErrorMessage="1" prompt="O conteúdo desta célula não deve ser alterado." sqref="E15:E16 A86:B86 A87:C88 E87:E88 D88 A6:E12 A16:E35 D95:D98 A85:E85 A73:E83 H16:H18 E95:E97 C95:C105 A89:B105 D99:E105 D65:E65 D56:E58 A56:C65" xr:uid="{00000000-0002-0000-0500-000001000000}"/>
    <dataValidation allowBlank="1" showErrorMessage="1" prompt="O conteúdo desta célula pode estar oculto, porém não deve ser alterado." sqref="C86:E86 D87 D97:D98 E89:E98 C89:D97" xr:uid="{00000000-0002-0000-0500-000002000000}"/>
  </dataValidations>
  <pageMargins left="0.75" right="0.75" top="1" bottom="1" header="0.5" footer="0.5"/>
  <pageSetup paperSize="9" orientation="portrait" r:id="rId1"/>
  <headerFooter alignWithMargins="0"/>
  <ignoredErrors>
    <ignoredError sqref="E100 E102 E11 E17 E19 E26 E28 E99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7" r:id="rId4" name="Button 9">
              <controlPr defaultSize="0" print="0" autoFill="0" autoPict="0" macro="[0]!GetBsCurve">
                <anchor moveWithCells="1">
                  <from>
                    <xdr:col>4</xdr:col>
                    <xdr:colOff>523875</xdr:colOff>
                    <xdr:row>2</xdr:row>
                    <xdr:rowOff>38100</xdr:rowOff>
                  </from>
                  <to>
                    <xdr:col>4</xdr:col>
                    <xdr:colOff>2686050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rgb="FF512D6D"/>
    <pageSetUpPr fitToPage="1"/>
  </sheetPr>
  <dimension ref="A2:O317"/>
  <sheetViews>
    <sheetView topLeftCell="A19" workbookViewId="0"/>
  </sheetViews>
  <sheetFormatPr defaultColWidth="0" defaultRowHeight="13.5" customHeight="1" x14ac:dyDescent="0.2"/>
  <cols>
    <col min="1" max="1" width="15.7109375" style="572" customWidth="1"/>
    <col min="2" max="2" width="7.7109375" style="572" customWidth="1"/>
    <col min="3" max="3" width="79.7109375" style="572" customWidth="1"/>
    <col min="4" max="4" width="7.7109375" style="572" customWidth="1"/>
    <col min="5" max="8" width="20.7109375" style="572" customWidth="1"/>
    <col min="9" max="9" width="40.7109375" style="559" customWidth="1"/>
    <col min="10" max="10" width="6.7109375" style="559" customWidth="1"/>
    <col min="11" max="14" width="16.7109375" style="559" customWidth="1"/>
    <col min="15" max="15" width="2.7109375" style="559" customWidth="1"/>
    <col min="16" max="17" width="9.140625" style="559" hidden="1" customWidth="1"/>
    <col min="18" max="16384" width="9.140625" style="559" hidden="1"/>
  </cols>
  <sheetData>
    <row r="2" spans="1:12" ht="13.5" customHeight="1" x14ac:dyDescent="0.2">
      <c r="A2" s="559"/>
      <c r="B2" s="559"/>
      <c r="C2" s="559"/>
      <c r="D2" s="559"/>
      <c r="E2" s="559"/>
      <c r="F2" s="559"/>
      <c r="G2" s="559"/>
      <c r="H2" s="559"/>
    </row>
    <row r="3" spans="1:12" ht="13.5" customHeight="1" x14ac:dyDescent="0.2">
      <c r="A3" s="573" t="s">
        <v>402</v>
      </c>
      <c r="B3" s="573" t="s">
        <v>403</v>
      </c>
      <c r="C3" s="573"/>
      <c r="D3" s="573" t="s">
        <v>404</v>
      </c>
      <c r="E3" s="574"/>
      <c r="F3" s="573" t="s">
        <v>405</v>
      </c>
      <c r="G3" s="573" t="s">
        <v>406</v>
      </c>
      <c r="H3" s="573" t="s">
        <v>407</v>
      </c>
      <c r="I3" s="573"/>
    </row>
    <row r="4" spans="1:12" ht="13.5" customHeight="1" x14ac:dyDescent="0.2">
      <c r="A4" s="573" t="s">
        <v>408</v>
      </c>
      <c r="B4" s="573" t="s">
        <v>409</v>
      </c>
      <c r="C4" s="573" t="s">
        <v>403</v>
      </c>
      <c r="D4" s="573" t="s">
        <v>409</v>
      </c>
      <c r="E4" s="573" t="s">
        <v>410</v>
      </c>
      <c r="F4" s="573" t="s">
        <v>408</v>
      </c>
      <c r="G4" s="573" t="s">
        <v>2</v>
      </c>
      <c r="H4" s="573" t="s">
        <v>411</v>
      </c>
      <c r="I4" s="573" t="s">
        <v>412</v>
      </c>
    </row>
    <row r="5" spans="1:12" ht="13.5" customHeight="1" thickBot="1" x14ac:dyDescent="0.25">
      <c r="A5" s="723"/>
      <c r="B5" s="561"/>
      <c r="C5" s="561"/>
      <c r="D5" s="561"/>
      <c r="E5" s="178" t="str">
        <f>CONCATENATE("Load ",Results!C32,".sim")</f>
        <v>Load Estatico.sim</v>
      </c>
      <c r="F5" s="561"/>
      <c r="G5" s="561"/>
      <c r="H5" s="561"/>
      <c r="I5" s="561"/>
      <c r="K5" s="806" t="s">
        <v>1622</v>
      </c>
      <c r="L5" s="808"/>
    </row>
    <row r="6" spans="1:12" ht="13.5" customHeight="1" thickTop="1" x14ac:dyDescent="0.2">
      <c r="A6" s="207" t="s">
        <v>2</v>
      </c>
      <c r="B6" s="207" t="s">
        <v>1681</v>
      </c>
      <c r="C6" s="207" t="s">
        <v>1596</v>
      </c>
      <c r="D6" s="207" t="str">
        <f>SUBSTITUTE(B6, "B", "C")</f>
        <v>C26</v>
      </c>
      <c r="E6" s="207" t="s">
        <v>1596</v>
      </c>
      <c r="F6" s="207"/>
      <c r="G6" s="207"/>
      <c r="H6" s="207"/>
      <c r="I6" s="207"/>
      <c r="K6" s="423" t="s">
        <v>460</v>
      </c>
      <c r="L6" s="564" t="s">
        <v>484</v>
      </c>
    </row>
    <row r="7" spans="1:12" ht="13.5" customHeight="1" x14ac:dyDescent="0.2">
      <c r="A7" s="562" t="s">
        <v>2</v>
      </c>
      <c r="B7" s="207" t="s">
        <v>1682</v>
      </c>
      <c r="C7" s="562" t="str">
        <f>CONCATENATE(I7," - ",F7)</f>
        <v>Rotation 2 - P7000048060</v>
      </c>
      <c r="D7" s="207" t="str">
        <f t="shared" ref="D7:D16" si="0">SUBSTITUTE(B7, "B", "C")</f>
        <v>C27</v>
      </c>
      <c r="E7" s="562" t="s">
        <v>419</v>
      </c>
      <c r="F7" s="563" t="str">
        <f>'2nd_Post_Processing'!$L$8</f>
        <v>P7000048060</v>
      </c>
      <c r="G7" s="562"/>
      <c r="H7" s="562"/>
      <c r="I7" s="562" t="s">
        <v>422</v>
      </c>
      <c r="K7" s="424" t="s">
        <v>283</v>
      </c>
      <c r="L7" s="565" t="s">
        <v>1870</v>
      </c>
    </row>
    <row r="8" spans="1:12" ht="13.5" customHeight="1" x14ac:dyDescent="0.2">
      <c r="A8" s="562" t="s">
        <v>2</v>
      </c>
      <c r="B8" s="207" t="s">
        <v>1683</v>
      </c>
      <c r="C8" s="562" t="str">
        <f t="shared" ref="C8" si="1">CONCATENATE(I8," - ",F8)</f>
        <v>Depth - Environment</v>
      </c>
      <c r="D8" s="207" t="str">
        <f t="shared" si="0"/>
        <v>C28</v>
      </c>
      <c r="E8" s="562" t="s">
        <v>416</v>
      </c>
      <c r="F8" s="562" t="s">
        <v>417</v>
      </c>
      <c r="G8" s="562"/>
      <c r="H8" s="562"/>
      <c r="I8" s="562" t="s">
        <v>418</v>
      </c>
      <c r="K8" s="424" t="s">
        <v>1258</v>
      </c>
      <c r="L8" s="566" t="str">
        <f>IF(TRIM('MCV e Guindaste'!B6)="","MCV",SUBSTITUTE(TRIM('MCV e Guindaste'!B6)," ","_"))</f>
        <v>P7000048060</v>
      </c>
    </row>
    <row r="9" spans="1:12" ht="13.5" customHeight="1" x14ac:dyDescent="0.2">
      <c r="A9" s="177" t="s">
        <v>2</v>
      </c>
      <c r="B9" s="207" t="s">
        <v>1684</v>
      </c>
      <c r="C9" s="565" t="str">
        <f>CONCATENATE(I9," - ",F9, " - ",G9)</f>
        <v>Z - Line - End B</v>
      </c>
      <c r="D9" s="207" t="str">
        <f>SUBSTITUTE(B9, "B", "C")</f>
        <v>C29</v>
      </c>
      <c r="E9" s="562" t="s">
        <v>419</v>
      </c>
      <c r="F9" s="562" t="s">
        <v>484</v>
      </c>
      <c r="G9" s="177" t="s">
        <v>420</v>
      </c>
      <c r="H9" s="562"/>
      <c r="I9" s="562" t="s">
        <v>421</v>
      </c>
      <c r="J9" s="560"/>
      <c r="K9" s="425" t="s">
        <v>1266</v>
      </c>
      <c r="L9" s="565" t="s">
        <v>1266</v>
      </c>
    </row>
    <row r="10" spans="1:12" ht="13.5" customHeight="1" x14ac:dyDescent="0.2">
      <c r="A10" s="562" t="s">
        <v>2</v>
      </c>
      <c r="B10" s="207" t="s">
        <v>1685</v>
      </c>
      <c r="C10" s="562" t="str">
        <f>CONCATENATE(I10," - ",F10," - ",G10)</f>
        <v>End Ez-Force - Line - End B</v>
      </c>
      <c r="D10" s="207" t="str">
        <f t="shared" si="0"/>
        <v>C30</v>
      </c>
      <c r="E10" s="562" t="s">
        <v>419</v>
      </c>
      <c r="F10" s="562" t="str">
        <f>'2nd_Post_Processing'!$L$6</f>
        <v>Line</v>
      </c>
      <c r="G10" s="562" t="s">
        <v>420</v>
      </c>
      <c r="H10" s="562"/>
      <c r="I10" s="562" t="s">
        <v>425</v>
      </c>
      <c r="K10" s="425" t="s">
        <v>1625</v>
      </c>
      <c r="L10" s="565" t="s">
        <v>1263</v>
      </c>
    </row>
    <row r="11" spans="1:12" ht="13.5" customHeight="1" x14ac:dyDescent="0.2">
      <c r="A11" s="562" t="s">
        <v>2</v>
      </c>
      <c r="B11" s="207" t="s">
        <v>1686</v>
      </c>
      <c r="C11" s="562" t="str">
        <f>CONCATENATE(I11," - ",F11," - ",G11)</f>
        <v>End Ex-Force - Line - End B</v>
      </c>
      <c r="D11" s="207" t="str">
        <f t="shared" si="0"/>
        <v>C31</v>
      </c>
      <c r="E11" s="562" t="s">
        <v>419</v>
      </c>
      <c r="F11" s="562" t="str">
        <f>'2nd_Post_Processing'!$L$6</f>
        <v>Line</v>
      </c>
      <c r="G11" s="562" t="s">
        <v>420</v>
      </c>
      <c r="H11" s="562"/>
      <c r="I11" s="562" t="s">
        <v>424</v>
      </c>
      <c r="J11" s="560"/>
      <c r="K11" s="425" t="s">
        <v>1626</v>
      </c>
      <c r="L11" s="565" t="s">
        <v>482</v>
      </c>
    </row>
    <row r="12" spans="1:12" ht="13.5" customHeight="1" x14ac:dyDescent="0.2">
      <c r="A12" s="562" t="s">
        <v>2</v>
      </c>
      <c r="B12" s="207" t="s">
        <v>145</v>
      </c>
      <c r="C12" s="562" t="str">
        <f>CONCATENATE(I12," - ",F12," - ",G12)</f>
        <v>End Ey-Moment - Line - End B</v>
      </c>
      <c r="D12" s="207" t="str">
        <f t="shared" si="0"/>
        <v>C32</v>
      </c>
      <c r="E12" s="562" t="s">
        <v>419</v>
      </c>
      <c r="F12" s="562" t="str">
        <f>'2nd_Post_Processing'!$L$6</f>
        <v>Line</v>
      </c>
      <c r="G12" s="562" t="s">
        <v>420</v>
      </c>
      <c r="H12" s="562"/>
      <c r="I12" s="562" t="s">
        <v>423</v>
      </c>
      <c r="J12" s="560"/>
      <c r="K12" s="425" t="s">
        <v>1627</v>
      </c>
      <c r="L12" s="565" t="s">
        <v>483</v>
      </c>
    </row>
    <row r="13" spans="1:12" ht="13.5" customHeight="1" x14ac:dyDescent="0.2">
      <c r="A13" s="562" t="s">
        <v>2</v>
      </c>
      <c r="B13" s="207" t="s">
        <v>1687</v>
      </c>
      <c r="C13" s="562" t="str">
        <f>CONCATENATE(I13," - ",F13)</f>
        <v>Bend Radius - Line</v>
      </c>
      <c r="D13" s="207" t="str">
        <f t="shared" si="0"/>
        <v>C33</v>
      </c>
      <c r="E13" s="562" t="s">
        <v>413</v>
      </c>
      <c r="F13" s="562" t="str">
        <f>'2nd_Post_Processing'!$L$6</f>
        <v>Line</v>
      </c>
      <c r="G13" s="562"/>
      <c r="H13" s="562" t="s">
        <v>414</v>
      </c>
      <c r="I13" s="562" t="s">
        <v>415</v>
      </c>
    </row>
    <row r="14" spans="1:12" ht="13.5" customHeight="1" x14ac:dyDescent="0.2">
      <c r="A14" s="562" t="s">
        <v>2</v>
      </c>
      <c r="B14" s="207" t="s">
        <v>1688</v>
      </c>
      <c r="C14" s="562" t="str">
        <f t="shared" ref="C14:C24" si="2">CONCATENATE(I14," - ",F14)</f>
        <v>Bend Radius - Stiffener1</v>
      </c>
      <c r="D14" s="207" t="str">
        <f t="shared" si="0"/>
        <v>C34</v>
      </c>
      <c r="E14" s="562" t="s">
        <v>413</v>
      </c>
      <c r="F14" s="562" t="str">
        <f>'2nd_Post_Processing'!$L$7</f>
        <v>Stiffener1</v>
      </c>
      <c r="G14" s="562"/>
      <c r="H14" s="562" t="s">
        <v>414</v>
      </c>
      <c r="I14" s="562" t="s">
        <v>415</v>
      </c>
    </row>
    <row r="15" spans="1:12" ht="13.5" customHeight="1" x14ac:dyDescent="0.2">
      <c r="A15" s="562" t="s">
        <v>2</v>
      </c>
      <c r="B15" s="207" t="s">
        <v>1689</v>
      </c>
      <c r="C15" s="562" t="str">
        <f t="shared" si="2"/>
        <v>Bend Moment - Stiffener1</v>
      </c>
      <c r="D15" s="207" t="str">
        <f t="shared" si="0"/>
        <v>C35</v>
      </c>
      <c r="E15" s="562" t="s">
        <v>437</v>
      </c>
      <c r="F15" s="562" t="str">
        <f>'2nd_Post_Processing'!$L$7</f>
        <v>Stiffener1</v>
      </c>
      <c r="G15" s="562"/>
      <c r="H15" s="562" t="s">
        <v>414</v>
      </c>
      <c r="I15" s="562" t="s">
        <v>438</v>
      </c>
    </row>
    <row r="16" spans="1:12" ht="13.5" customHeight="1" x14ac:dyDescent="0.2">
      <c r="A16" s="177" t="s">
        <v>2</v>
      </c>
      <c r="B16" s="207" t="s">
        <v>204</v>
      </c>
      <c r="C16" s="562" t="str">
        <f t="shared" si="2"/>
        <v>Shear Force - Stiffener1</v>
      </c>
      <c r="D16" s="207" t="str">
        <f t="shared" si="0"/>
        <v>C36</v>
      </c>
      <c r="E16" s="562" t="s">
        <v>437</v>
      </c>
      <c r="F16" s="562" t="str">
        <f>'2nd_Post_Processing'!$L$7</f>
        <v>Stiffener1</v>
      </c>
      <c r="G16" s="177"/>
      <c r="H16" s="562" t="s">
        <v>414</v>
      </c>
      <c r="I16" s="562" t="s">
        <v>440</v>
      </c>
    </row>
    <row r="17" spans="1:10" ht="13.5" customHeight="1" x14ac:dyDescent="0.2">
      <c r="A17" s="562" t="s">
        <v>2</v>
      </c>
      <c r="B17" s="207" t="s">
        <v>1690</v>
      </c>
      <c r="C17" s="565" t="str">
        <f>CONCATENATE(I17," - ",F17)</f>
        <v>EndBZ - Cabrestante 1</v>
      </c>
      <c r="D17" s="207" t="str">
        <f>SUBSTITUTE(B17, "B", "C")</f>
        <v>C37</v>
      </c>
      <c r="E17" s="562" t="s">
        <v>416</v>
      </c>
      <c r="F17" s="562" t="str">
        <f>'2nd_Post_Processing'!$L$11</f>
        <v>Cabrestante 1</v>
      </c>
      <c r="G17" s="562"/>
      <c r="H17" s="562"/>
      <c r="I17" s="562" t="s">
        <v>426</v>
      </c>
    </row>
    <row r="18" spans="1:10" ht="13.5" customHeight="1" x14ac:dyDescent="0.2">
      <c r="A18" s="562" t="s">
        <v>2</v>
      </c>
      <c r="B18" s="207" t="s">
        <v>1691</v>
      </c>
      <c r="C18" s="565" t="str">
        <f>CONCATENATE(I18," - ",F18)</f>
        <v>EndBZ - Cabrestante 2</v>
      </c>
      <c r="D18" s="207" t="str">
        <f>SUBSTITUTE(B18, "B", "C")</f>
        <v>C38</v>
      </c>
      <c r="E18" s="562" t="s">
        <v>416</v>
      </c>
      <c r="F18" s="724" t="str">
        <f>'2nd_Post_Processing'!$L$12</f>
        <v>Cabrestante 2</v>
      </c>
      <c r="G18" s="562"/>
      <c r="H18" s="562"/>
      <c r="I18" s="562" t="s">
        <v>426</v>
      </c>
    </row>
    <row r="19" spans="1:10" ht="13.5" customHeight="1" x14ac:dyDescent="0.2">
      <c r="A19" s="177" t="s">
        <v>2</v>
      </c>
      <c r="B19" s="207" t="s">
        <v>156</v>
      </c>
      <c r="C19" s="565" t="str">
        <f>CONCATENATE(I19," - ",F19)</f>
        <v>StageValue[1] - A/R</v>
      </c>
      <c r="D19" s="207" t="str">
        <f>SUBSTITUTE(B19, "B", "C")</f>
        <v>C39</v>
      </c>
      <c r="E19" s="177" t="s">
        <v>416</v>
      </c>
      <c r="F19" s="562" t="str">
        <f>'2nd_Post_Processing'!$L$9</f>
        <v>A/R</v>
      </c>
      <c r="G19" s="177"/>
      <c r="H19" s="177"/>
      <c r="I19" s="177" t="s">
        <v>439</v>
      </c>
      <c r="J19" s="560"/>
    </row>
    <row r="20" spans="1:10" ht="13.5" customHeight="1" x14ac:dyDescent="0.2">
      <c r="A20" s="177" t="s">
        <v>2</v>
      </c>
      <c r="B20" s="207" t="s">
        <v>1692</v>
      </c>
      <c r="C20" s="565" t="str">
        <f>CONCATENATE(I20," - ",F20)</f>
        <v>Length - Cabrestante 1</v>
      </c>
      <c r="D20" s="207" t="str">
        <f>SUBSTITUTE(B20, "B", "C")</f>
        <v>C40</v>
      </c>
      <c r="E20" s="562" t="s">
        <v>419</v>
      </c>
      <c r="F20" s="562" t="str">
        <f>'2nd_Post_Processing'!$L$11</f>
        <v>Cabrestante 1</v>
      </c>
      <c r="G20" s="177"/>
      <c r="H20" s="562"/>
      <c r="I20" s="562" t="s">
        <v>353</v>
      </c>
      <c r="J20" s="560"/>
    </row>
    <row r="21" spans="1:10" ht="13.5" customHeight="1" x14ac:dyDescent="0.2">
      <c r="A21" s="177" t="s">
        <v>2</v>
      </c>
      <c r="B21" s="207" t="s">
        <v>2137</v>
      </c>
      <c r="C21" s="565" t="str">
        <f>CONCATENATE(I21," - ",F21)</f>
        <v>Length - Cabrestante 2</v>
      </c>
      <c r="D21" s="207" t="str">
        <f>SUBSTITUTE(B21, "B", "C")</f>
        <v>C41</v>
      </c>
      <c r="E21" s="562" t="s">
        <v>419</v>
      </c>
      <c r="F21" s="562" t="str">
        <f>'2nd_Post_Processing'!$L$12</f>
        <v>Cabrestante 2</v>
      </c>
      <c r="G21" s="177"/>
      <c r="H21" s="562"/>
      <c r="I21" s="562" t="s">
        <v>353</v>
      </c>
    </row>
    <row r="22" spans="1:10" ht="13.5" customHeight="1" x14ac:dyDescent="0.2">
      <c r="A22" s="562" t="s">
        <v>427</v>
      </c>
      <c r="B22" s="562" t="s">
        <v>429</v>
      </c>
      <c r="C22" s="562" t="str">
        <f t="shared" si="2"/>
        <v>X - Line</v>
      </c>
      <c r="D22" s="562" t="s">
        <v>430</v>
      </c>
      <c r="E22" s="562" t="s">
        <v>428</v>
      </c>
      <c r="F22" s="562" t="str">
        <f>'2nd_Post_Processing'!$L$6</f>
        <v>Line</v>
      </c>
      <c r="G22" s="562"/>
      <c r="H22" s="562" t="s">
        <v>414</v>
      </c>
      <c r="I22" s="562" t="s">
        <v>431</v>
      </c>
    </row>
    <row r="23" spans="1:10" ht="13.5" customHeight="1" x14ac:dyDescent="0.2">
      <c r="A23" s="562" t="s">
        <v>427</v>
      </c>
      <c r="B23" s="562" t="s">
        <v>432</v>
      </c>
      <c r="C23" s="562" t="str">
        <f t="shared" si="2"/>
        <v>Vertical Seabed Clearance - Line</v>
      </c>
      <c r="D23" s="562" t="s">
        <v>433</v>
      </c>
      <c r="E23" s="562" t="s">
        <v>428</v>
      </c>
      <c r="F23" s="562" t="str">
        <f>'2nd_Post_Processing'!$L$6</f>
        <v>Line</v>
      </c>
      <c r="G23" s="562"/>
      <c r="H23" s="562" t="s">
        <v>414</v>
      </c>
      <c r="I23" s="562" t="s">
        <v>434</v>
      </c>
      <c r="J23" s="560"/>
    </row>
    <row r="24" spans="1:10" ht="13.5" customHeight="1" x14ac:dyDescent="0.2">
      <c r="A24" s="562" t="s">
        <v>427</v>
      </c>
      <c r="B24" s="562" t="s">
        <v>435</v>
      </c>
      <c r="C24" s="562" t="str">
        <f t="shared" si="2"/>
        <v>Vertical Seabed Clearance - Stiffener1</v>
      </c>
      <c r="D24" s="562" t="s">
        <v>436</v>
      </c>
      <c r="E24" s="562" t="s">
        <v>428</v>
      </c>
      <c r="F24" s="562" t="str">
        <f>'2nd_Post_Processing'!$L$7</f>
        <v>Stiffener1</v>
      </c>
      <c r="G24" s="562"/>
      <c r="H24" s="562" t="s">
        <v>414</v>
      </c>
      <c r="I24" s="562" t="s">
        <v>434</v>
      </c>
    </row>
    <row r="25" spans="1:10" ht="13.5" customHeight="1" x14ac:dyDescent="0.2">
      <c r="A25" s="723"/>
      <c r="B25" s="561"/>
      <c r="C25" s="561"/>
      <c r="D25" s="561"/>
      <c r="E25" s="178" t="str">
        <f>CONCATENATE("Load ",Results!C33,".sim")</f>
        <v>Load Dinamico.sim</v>
      </c>
      <c r="F25" s="561"/>
      <c r="G25" s="561"/>
      <c r="H25" s="561"/>
      <c r="I25" s="561"/>
    </row>
    <row r="26" spans="1:10" ht="13.5" customHeight="1" x14ac:dyDescent="0.2">
      <c r="A26" s="562" t="s">
        <v>2</v>
      </c>
      <c r="B26" s="562" t="s">
        <v>198</v>
      </c>
      <c r="C26" s="562" t="str">
        <f>CONCATENATE(I26," - ",F26)</f>
        <v>StageValue[3] - A/R</v>
      </c>
      <c r="D26" s="562" t="str">
        <f>SUBSTITUTE(B26, "H", "I")</f>
        <v>I26</v>
      </c>
      <c r="E26" s="562" t="s">
        <v>416</v>
      </c>
      <c r="F26" s="562" t="str">
        <f>'2nd_Post_Processing'!$L$9</f>
        <v>A/R</v>
      </c>
      <c r="G26" s="562"/>
      <c r="H26" s="562"/>
      <c r="I26" s="562" t="s">
        <v>441</v>
      </c>
      <c r="J26" s="725">
        <f>Data!$I$27</f>
        <v>0</v>
      </c>
    </row>
    <row r="27" spans="1:10" ht="13.5" customHeight="1" x14ac:dyDescent="0.2">
      <c r="A27" s="562" t="s">
        <v>2</v>
      </c>
      <c r="B27" s="562" t="s">
        <v>212</v>
      </c>
      <c r="C27" s="562" t="str">
        <f>CONCATENATE(I27," - ",F27)</f>
        <v>NumberOfAttachments - Line</v>
      </c>
      <c r="D27" s="562" t="str">
        <f t="shared" ref="D27:D33" si="3">SUBSTITUTE(B27, "H", "I")</f>
        <v>I27</v>
      </c>
      <c r="E27" s="562" t="s">
        <v>416</v>
      </c>
      <c r="F27" s="562" t="str">
        <f>'2nd_Post_Processing'!$L$6</f>
        <v>Line</v>
      </c>
      <c r="G27" s="562"/>
      <c r="H27" s="562"/>
      <c r="I27" s="562" t="s">
        <v>442</v>
      </c>
      <c r="J27" s="560"/>
    </row>
    <row r="28" spans="1:10" ht="13.5" customHeight="1" x14ac:dyDescent="0.2">
      <c r="A28" s="562" t="s">
        <v>2</v>
      </c>
      <c r="B28" s="562" t="s">
        <v>1693</v>
      </c>
      <c r="C28" s="562" t="str">
        <f>CONCATENATE(I28," - ",F28)</f>
        <v>Bend Radius - Line</v>
      </c>
      <c r="D28" s="562" t="str">
        <f t="shared" si="3"/>
        <v>I28</v>
      </c>
      <c r="E28" s="562" t="s">
        <v>413</v>
      </c>
      <c r="F28" s="562" t="str">
        <f>'2nd_Post_Processing'!$L$6</f>
        <v>Line</v>
      </c>
      <c r="G28" s="562"/>
      <c r="H28" s="338" t="s">
        <v>1868</v>
      </c>
      <c r="I28" s="562" t="s">
        <v>415</v>
      </c>
    </row>
    <row r="29" spans="1:10" ht="13.5" customHeight="1" x14ac:dyDescent="0.2">
      <c r="A29" s="562" t="s">
        <v>2</v>
      </c>
      <c r="B29" s="562" t="s">
        <v>199</v>
      </c>
      <c r="C29" s="562" t="str">
        <f>CONCATENATE(I29," - ",F29)</f>
        <v>Bend Radius - Stiffener1</v>
      </c>
      <c r="D29" s="562" t="str">
        <f t="shared" si="3"/>
        <v>I29</v>
      </c>
      <c r="E29" s="562" t="s">
        <v>413</v>
      </c>
      <c r="F29" s="562" t="str">
        <f>'2nd_Post_Processing'!$L$7</f>
        <v>Stiffener1</v>
      </c>
      <c r="G29" s="562"/>
      <c r="H29" s="338" t="s">
        <v>1868</v>
      </c>
      <c r="I29" s="562" t="s">
        <v>415</v>
      </c>
      <c r="J29" s="560"/>
    </row>
    <row r="30" spans="1:10" ht="13.5" customHeight="1" x14ac:dyDescent="0.2">
      <c r="A30" s="562" t="s">
        <v>2</v>
      </c>
      <c r="B30" s="562" t="s">
        <v>1694</v>
      </c>
      <c r="C30" s="562" t="str">
        <f>_xlfn.CONCAT(I30," - ",F30)</f>
        <v>Bend Moment - Stiffener1</v>
      </c>
      <c r="D30" s="562" t="str">
        <f t="shared" si="3"/>
        <v>I30</v>
      </c>
      <c r="E30" s="562" t="s">
        <v>437</v>
      </c>
      <c r="F30" s="562" t="str">
        <f>'2nd_Post_Processing'!$L$7</f>
        <v>Stiffener1</v>
      </c>
      <c r="G30" s="562"/>
      <c r="H30" s="562" t="s">
        <v>444</v>
      </c>
      <c r="I30" s="562" t="s">
        <v>438</v>
      </c>
      <c r="J30" s="560"/>
    </row>
    <row r="31" spans="1:10" ht="13.5" customHeight="1" x14ac:dyDescent="0.2">
      <c r="A31" s="562" t="s">
        <v>2</v>
      </c>
      <c r="B31" s="562" t="s">
        <v>1695</v>
      </c>
      <c r="C31" s="562" t="str">
        <f>_xlfn.CONCAT(I31," - ",F31)</f>
        <v>Shear Force - Stiffener1</v>
      </c>
      <c r="D31" s="562" t="str">
        <f t="shared" si="3"/>
        <v>I31</v>
      </c>
      <c r="E31" s="562" t="s">
        <v>437</v>
      </c>
      <c r="F31" s="562" t="str">
        <f>'2nd_Post_Processing'!$L$7</f>
        <v>Stiffener1</v>
      </c>
      <c r="G31" s="562"/>
      <c r="H31" s="562" t="s">
        <v>444</v>
      </c>
      <c r="I31" s="562" t="s">
        <v>440</v>
      </c>
      <c r="J31" s="560"/>
    </row>
    <row r="32" spans="1:10" ht="13.5" customHeight="1" x14ac:dyDescent="0.2">
      <c r="A32" s="562" t="s">
        <v>2</v>
      </c>
      <c r="B32" s="562" t="s">
        <v>1696</v>
      </c>
      <c r="C32" s="562" t="str">
        <f t="shared" ref="C32:C33" si="4">CONCATENATE(I32," - ",F32)</f>
        <v>Tension - Cabrestante 1</v>
      </c>
      <c r="D32" s="562" t="str">
        <f t="shared" si="3"/>
        <v>I32</v>
      </c>
      <c r="E32" s="562" t="s">
        <v>443</v>
      </c>
      <c r="F32" s="562" t="str">
        <f>'2nd_Post_Processing'!$L$11</f>
        <v>Cabrestante 1</v>
      </c>
      <c r="G32" s="562"/>
      <c r="H32" s="562" t="s">
        <v>444</v>
      </c>
      <c r="I32" s="562" t="s">
        <v>445</v>
      </c>
      <c r="J32" s="560"/>
    </row>
    <row r="33" spans="1:14" ht="13.5" customHeight="1" x14ac:dyDescent="0.2">
      <c r="A33" s="562" t="s">
        <v>2</v>
      </c>
      <c r="B33" s="562" t="s">
        <v>1697</v>
      </c>
      <c r="C33" s="562" t="str">
        <f t="shared" si="4"/>
        <v>Tension - Cabrestante 2</v>
      </c>
      <c r="D33" s="562" t="str">
        <f t="shared" si="3"/>
        <v>I33</v>
      </c>
      <c r="E33" s="562" t="s">
        <v>443</v>
      </c>
      <c r="F33" s="724" t="str">
        <f>'2nd_Post_Processing'!$L$12</f>
        <v>Cabrestante 2</v>
      </c>
      <c r="G33" s="562"/>
      <c r="H33" s="562" t="s">
        <v>444</v>
      </c>
      <c r="I33" s="562" t="s">
        <v>445</v>
      </c>
      <c r="J33" s="560"/>
    </row>
    <row r="34" spans="1:14" ht="13.5" customHeight="1" x14ac:dyDescent="0.2">
      <c r="A34" s="562" t="s">
        <v>446</v>
      </c>
      <c r="B34" s="562" t="s">
        <v>153</v>
      </c>
      <c r="C34" s="562" t="str">
        <f>CONCATENATE(E34," - ",F34," - ",G34," - ",H34," - ",I34)</f>
        <v>Linked Statistics - Line - End B - 0 to 32,15 - End Ex-Force,End Ez-Force,End Ey-Moment</v>
      </c>
      <c r="D34" s="562" t="s">
        <v>211</v>
      </c>
      <c r="E34" s="562" t="s">
        <v>447</v>
      </c>
      <c r="F34" s="562" t="str">
        <f>'2nd_Post_Processing'!$L$6</f>
        <v>Line</v>
      </c>
      <c r="G34" s="562" t="s">
        <v>420</v>
      </c>
      <c r="H34" s="338" t="s">
        <v>1868</v>
      </c>
      <c r="I34" s="562" t="s">
        <v>448</v>
      </c>
      <c r="J34" s="51"/>
      <c r="K34" s="51"/>
      <c r="L34" s="51"/>
      <c r="M34" s="51"/>
      <c r="N34" s="51"/>
    </row>
    <row r="35" spans="1:14" ht="13.5" customHeight="1" x14ac:dyDescent="0.2">
      <c r="A35" s="562" t="s">
        <v>446</v>
      </c>
      <c r="B35" s="565" t="s">
        <v>1804</v>
      </c>
      <c r="C35" s="565" t="str">
        <f t="shared" ref="C35:C36" si="5">CONCATENATE(E35," - ",F35," - ",G35," - ",H35," - ",I35)</f>
        <v>Time History - Line - Touchdown - Whole Simulation - Arc Length</v>
      </c>
      <c r="D35" s="565" t="s">
        <v>1809</v>
      </c>
      <c r="E35" s="565" t="s">
        <v>449</v>
      </c>
      <c r="F35" s="562" t="str">
        <f>'2nd_Post_Processing'!$L$6</f>
        <v>Line</v>
      </c>
      <c r="G35" s="562" t="s">
        <v>450</v>
      </c>
      <c r="H35" s="562" t="s">
        <v>444</v>
      </c>
      <c r="I35" s="562" t="s">
        <v>451</v>
      </c>
      <c r="J35" s="51"/>
      <c r="K35" s="51"/>
      <c r="L35" s="51"/>
      <c r="M35" s="51"/>
      <c r="N35" s="51"/>
    </row>
    <row r="36" spans="1:14" ht="13.5" customHeight="1" x14ac:dyDescent="0.2">
      <c r="A36" s="562" t="s">
        <v>446</v>
      </c>
      <c r="B36" s="565" t="s">
        <v>1805</v>
      </c>
      <c r="C36" s="565" t="str">
        <f t="shared" si="5"/>
        <v>Time History - Stiffener1 - Touchdown - Whole Simulation - Arc Length</v>
      </c>
      <c r="D36" s="565" t="s">
        <v>1808</v>
      </c>
      <c r="E36" s="565" t="s">
        <v>449</v>
      </c>
      <c r="F36" s="562" t="str">
        <f>'2nd_Post_Processing'!$L$7</f>
        <v>Stiffener1</v>
      </c>
      <c r="G36" s="562" t="s">
        <v>450</v>
      </c>
      <c r="H36" s="562" t="s">
        <v>444</v>
      </c>
      <c r="I36" s="562" t="s">
        <v>451</v>
      </c>
      <c r="J36" s="51"/>
      <c r="K36" s="51"/>
      <c r="L36" s="51"/>
      <c r="M36" s="51"/>
      <c r="N36" s="51"/>
    </row>
    <row r="37" spans="1:14" ht="13.5" customHeight="1" x14ac:dyDescent="0.2">
      <c r="A37" s="562" t="s">
        <v>446</v>
      </c>
      <c r="B37" s="565" t="s">
        <v>1806</v>
      </c>
      <c r="C37" s="565" t="str">
        <f>CONCATENATE(E37," - ",H37,)</f>
        <v>Sample Times - Whole Simulation</v>
      </c>
      <c r="D37" s="565" t="s">
        <v>1807</v>
      </c>
      <c r="E37" s="565" t="s">
        <v>452</v>
      </c>
      <c r="F37" s="562"/>
      <c r="G37" s="562"/>
      <c r="H37" s="562" t="s">
        <v>444</v>
      </c>
      <c r="I37" s="562"/>
      <c r="J37" s="560"/>
    </row>
    <row r="38" spans="1:14" ht="13.5" customHeight="1" x14ac:dyDescent="0.2">
      <c r="A38" s="562" t="s">
        <v>446</v>
      </c>
      <c r="B38" s="562" t="s">
        <v>1803</v>
      </c>
      <c r="C38" s="562" t="e">
        <f>CONCATENATE(E38," - ",F38," - ",G38," - ",H38," - ",I38)</f>
        <v>#VALUE!</v>
      </c>
      <c r="D38" s="562" t="s">
        <v>1802</v>
      </c>
      <c r="E38" s="562" t="s">
        <v>447</v>
      </c>
      <c r="F38" s="562" t="str">
        <f>'2nd_Post_Processing'!$L$6</f>
        <v>Line</v>
      </c>
      <c r="G38" s="562" t="s">
        <v>420</v>
      </c>
      <c r="H38" s="565" t="e">
        <f>_xlfn.CONCAT(Auxiliar1!O5-0.001, " to ", Auxiliar1!O5+0.001)</f>
        <v>#VALUE!</v>
      </c>
      <c r="I38" s="562" t="s">
        <v>448</v>
      </c>
      <c r="J38" s="560"/>
    </row>
    <row r="39" spans="1:14" ht="13.5" customHeight="1" x14ac:dyDescent="0.2">
      <c r="A39" s="179"/>
      <c r="B39" s="179"/>
      <c r="C39" s="179"/>
      <c r="D39" s="179"/>
      <c r="E39" s="178" t="str">
        <f>CONCATENATE("Load ",Results!C34,".sim")</f>
        <v>Load cases_4_5\Caso3ii_lançamento.sim</v>
      </c>
      <c r="F39" s="179"/>
      <c r="G39" s="179"/>
      <c r="H39" s="179"/>
      <c r="I39" s="179"/>
      <c r="J39" s="560"/>
    </row>
    <row r="40" spans="1:14" ht="13.5" customHeight="1" x14ac:dyDescent="0.2">
      <c r="A40" s="562" t="s">
        <v>446</v>
      </c>
      <c r="B40" s="177" t="s">
        <v>1718</v>
      </c>
      <c r="C40" s="562" t="str">
        <f>CONCATENATE(E40," - ",F40," - ",G40," - ",H40," - ",I40)</f>
        <v>Linked Statistics - Line - End B - 162,149 to 162,15 - End Ex-Force,End Ez-Force,End Ey-Moment</v>
      </c>
      <c r="D40" s="177" t="s">
        <v>1719</v>
      </c>
      <c r="E40" s="177" t="s">
        <v>447</v>
      </c>
      <c r="F40" s="562" t="str">
        <f>'2nd_Post_Processing'!$L$6</f>
        <v>Line</v>
      </c>
      <c r="G40" s="177" t="s">
        <v>420</v>
      </c>
      <c r="H40" s="338" t="s">
        <v>2191</v>
      </c>
      <c r="I40" s="177" t="s">
        <v>448</v>
      </c>
      <c r="J40" s="560"/>
    </row>
    <row r="41" spans="1:14" ht="13.5" customHeight="1" x14ac:dyDescent="0.2">
      <c r="A41" s="562" t="s">
        <v>446</v>
      </c>
      <c r="B41" s="177" t="s">
        <v>1801</v>
      </c>
      <c r="C41" s="562" t="str">
        <f>CONCATENATE(E41," - ",F41," - ",G41," - ",H41," - ",I41)</f>
        <v>Linked Statistics - Line - End B - 212,149 to 212,15 - End Ex-Force,End Ez-Force,End Ey-Moment</v>
      </c>
      <c r="D41" s="177" t="s">
        <v>1814</v>
      </c>
      <c r="E41" s="177" t="s">
        <v>447</v>
      </c>
      <c r="F41" s="562" t="str">
        <f>'2nd_Post_Processing'!$L$6</f>
        <v>Line</v>
      </c>
      <c r="G41" s="177" t="s">
        <v>420</v>
      </c>
      <c r="H41" s="338" t="s">
        <v>2192</v>
      </c>
      <c r="I41" s="177" t="s">
        <v>448</v>
      </c>
      <c r="J41" s="560"/>
    </row>
    <row r="42" spans="1:14" ht="13.5" customHeight="1" x14ac:dyDescent="0.2">
      <c r="A42" s="179"/>
      <c r="B42" s="179"/>
      <c r="C42" s="179"/>
      <c r="D42" s="179"/>
      <c r="E42" s="178" t="str">
        <f>CONCATENATE("Load ",Results!C35,".sim")</f>
        <v>Load cases_4_5\Caso4_lançamento_comflut.sim</v>
      </c>
      <c r="F42" s="179"/>
      <c r="G42" s="179"/>
      <c r="H42" s="179"/>
      <c r="I42" s="179"/>
      <c r="J42" s="560"/>
    </row>
    <row r="43" spans="1:14" ht="13.5" customHeight="1" x14ac:dyDescent="0.2">
      <c r="A43" s="562" t="s">
        <v>446</v>
      </c>
      <c r="B43" s="177" t="s">
        <v>1725</v>
      </c>
      <c r="C43" s="562" t="str">
        <f>CONCATENATE(E43," - ",F43," - ",G43," - ",H43," - ",I43)</f>
        <v>Linked Statistics - Line - End B - 49,999 to 50,000 - End Ex-Force,End Ez-Force,End Ey-Moment</v>
      </c>
      <c r="D43" s="177" t="s">
        <v>1726</v>
      </c>
      <c r="E43" s="177" t="s">
        <v>447</v>
      </c>
      <c r="F43" s="562" t="str">
        <f>'2nd_Post_Processing'!$L$6</f>
        <v>Line</v>
      </c>
      <c r="G43" s="177" t="s">
        <v>420</v>
      </c>
      <c r="H43" s="338" t="s">
        <v>2190</v>
      </c>
      <c r="I43" s="177" t="s">
        <v>448</v>
      </c>
      <c r="J43" s="560"/>
    </row>
    <row r="44" spans="1:14" ht="13.5" customHeight="1" x14ac:dyDescent="0.2">
      <c r="A44" s="179"/>
      <c r="B44" s="179"/>
      <c r="C44" s="179"/>
      <c r="D44" s="179"/>
      <c r="E44" s="178" t="str">
        <f>CONCATENATE("Load ",Results!C36,".sim")</f>
        <v>Load cases_4_5\Caso4_lançamento_semflut.sim</v>
      </c>
      <c r="F44" s="179"/>
      <c r="G44" s="179"/>
      <c r="H44" s="179"/>
      <c r="I44" s="179"/>
      <c r="J44" s="560"/>
    </row>
    <row r="45" spans="1:14" ht="13.5" customHeight="1" x14ac:dyDescent="0.2">
      <c r="A45" s="562" t="s">
        <v>446</v>
      </c>
      <c r="B45" s="177" t="s">
        <v>1810</v>
      </c>
      <c r="C45" s="562" t="str">
        <f>CONCATENATE(E45," - ",F45," - ",G45," - ",H45," - ",I45)</f>
        <v>Linked Statistics - Line - End B - 49,999 to 50,000 - End Ex-Force,End Ez-Force,End Ey-Moment</v>
      </c>
      <c r="D45" s="177" t="s">
        <v>1813</v>
      </c>
      <c r="E45" s="177" t="s">
        <v>447</v>
      </c>
      <c r="F45" s="562" t="str">
        <f>'2nd_Post_Processing'!$L$6</f>
        <v>Line</v>
      </c>
      <c r="G45" s="177" t="s">
        <v>420</v>
      </c>
      <c r="H45" s="338" t="s">
        <v>2190</v>
      </c>
      <c r="I45" s="177" t="s">
        <v>448</v>
      </c>
      <c r="J45" s="560"/>
    </row>
    <row r="46" spans="1:14" ht="13.5" customHeight="1" x14ac:dyDescent="0.2">
      <c r="A46" s="179"/>
      <c r="B46" s="179"/>
      <c r="C46" s="179"/>
      <c r="D46" s="179"/>
      <c r="E46" s="178" t="str">
        <f>CONCATENATE("Load ",Results!C37,".sim")</f>
        <v>Load cases_4_5\Caso4_teste_comflut.sim</v>
      </c>
      <c r="F46" s="179"/>
      <c r="G46" s="179"/>
      <c r="H46" s="179"/>
      <c r="I46" s="179"/>
      <c r="J46" s="560"/>
    </row>
    <row r="47" spans="1:14" ht="13.5" customHeight="1" x14ac:dyDescent="0.2">
      <c r="A47" s="562" t="s">
        <v>446</v>
      </c>
      <c r="B47" s="177" t="s">
        <v>1727</v>
      </c>
      <c r="C47" s="562" t="str">
        <f>CONCATENATE(E47," - ",F47," - ",G47," - ",H47," - ",I47)</f>
        <v>Linked Statistics - Line - End B - 49,999 to 50,000 - End Ex-Force,End Ez-Force,End Ey-Moment</v>
      </c>
      <c r="D47" s="177" t="s">
        <v>1728</v>
      </c>
      <c r="E47" s="177" t="s">
        <v>447</v>
      </c>
      <c r="F47" s="562" t="str">
        <f>'2nd_Post_Processing'!$L$6</f>
        <v>Line</v>
      </c>
      <c r="G47" s="177" t="s">
        <v>420</v>
      </c>
      <c r="H47" s="338" t="s">
        <v>2190</v>
      </c>
      <c r="I47" s="177" t="s">
        <v>448</v>
      </c>
      <c r="J47" s="560"/>
    </row>
    <row r="48" spans="1:14" ht="13.5" customHeight="1" x14ac:dyDescent="0.2">
      <c r="A48" s="179"/>
      <c r="B48" s="179"/>
      <c r="C48" s="179"/>
      <c r="D48" s="179"/>
      <c r="E48" s="178" t="str">
        <f>CONCATENATE("Load ",Results!C38,".sim")</f>
        <v>Load cases_4_5\Caso4_teste_semflut.sim</v>
      </c>
      <c r="F48" s="179"/>
      <c r="G48" s="179"/>
      <c r="H48" s="179"/>
      <c r="I48" s="179"/>
      <c r="J48" s="560"/>
    </row>
    <row r="49" spans="1:10" ht="13.5" customHeight="1" x14ac:dyDescent="0.2">
      <c r="A49" s="562" t="s">
        <v>446</v>
      </c>
      <c r="B49" s="177" t="s">
        <v>1811</v>
      </c>
      <c r="C49" s="562" t="str">
        <f>CONCATENATE(E49," - ",F49," - ",G49," - ",H49," - ",I49)</f>
        <v>Linked Statistics - Line - End B - 49,999 to 50,000 - End Ex-Force,End Ez-Force,End Ey-Moment</v>
      </c>
      <c r="D49" s="177" t="s">
        <v>1812</v>
      </c>
      <c r="E49" s="177" t="s">
        <v>447</v>
      </c>
      <c r="F49" s="562" t="str">
        <f>'2nd_Post_Processing'!$L$6</f>
        <v>Line</v>
      </c>
      <c r="G49" s="177" t="s">
        <v>420</v>
      </c>
      <c r="H49" s="338" t="s">
        <v>2190</v>
      </c>
      <c r="I49" s="177" t="s">
        <v>448</v>
      </c>
      <c r="J49" s="560"/>
    </row>
    <row r="50" spans="1:10" s="51" customFormat="1" ht="13.5" customHeight="1" x14ac:dyDescent="0.2">
      <c r="A50" s="179"/>
      <c r="B50" s="179"/>
      <c r="C50" s="179"/>
      <c r="D50" s="179"/>
      <c r="E50" s="178" t="str">
        <f>CONCATENATE("Load ",Results!C39,".sim")</f>
        <v>Load cases_4_5\Caso5_operação_semflut.sim</v>
      </c>
      <c r="F50" s="179"/>
      <c r="G50" s="179"/>
      <c r="H50" s="179"/>
      <c r="I50" s="179"/>
    </row>
    <row r="51" spans="1:10" s="51" customFormat="1" ht="13.5" customHeight="1" x14ac:dyDescent="0.2">
      <c r="A51" s="562" t="s">
        <v>446</v>
      </c>
      <c r="B51" s="177" t="s">
        <v>1720</v>
      </c>
      <c r="C51" s="562" t="str">
        <f>CONCATENATE(E51," - ",F51," - ",G51," - ",H51," - ",I51)</f>
        <v>Linked Statistics - Line - End B - 49,999 to 50,000 - End Ex-Force,End Ez-Force,End Ey-Moment</v>
      </c>
      <c r="D51" s="177" t="s">
        <v>1721</v>
      </c>
      <c r="E51" s="177" t="s">
        <v>447</v>
      </c>
      <c r="F51" s="562" t="str">
        <f>'2nd_Post_Processing'!$L$6</f>
        <v>Line</v>
      </c>
      <c r="G51" s="177" t="s">
        <v>420</v>
      </c>
      <c r="H51" s="338" t="s">
        <v>2190</v>
      </c>
      <c r="I51" s="177" t="s">
        <v>448</v>
      </c>
    </row>
    <row r="52" spans="1:10" s="51" customFormat="1" ht="13.5" customHeight="1" x14ac:dyDescent="0.2">
      <c r="A52" s="179"/>
      <c r="B52" s="179"/>
      <c r="C52" s="179"/>
      <c r="D52" s="179"/>
      <c r="E52" s="178" t="str">
        <f>CONCATENATE("Load ",Results!C42,".sim")</f>
        <v>Load IGNORAR.sim</v>
      </c>
      <c r="F52" s="179"/>
      <c r="G52" s="179"/>
      <c r="H52" s="179"/>
      <c r="I52" s="179"/>
    </row>
    <row r="53" spans="1:10" s="51" customFormat="1" ht="13.5" customHeight="1" x14ac:dyDescent="0.2">
      <c r="A53" s="177" t="s">
        <v>2</v>
      </c>
      <c r="B53" s="177" t="s">
        <v>1699</v>
      </c>
      <c r="C53" s="562" t="str">
        <f t="shared" ref="C53:C54" si="6">CONCATENATE(I53," - ",F53)</f>
        <v>Bend Radius - Line</v>
      </c>
      <c r="D53" s="177" t="str">
        <f>SUBSTITUTE(B53, "N", "O")</f>
        <v>O75</v>
      </c>
      <c r="E53" s="177" t="s">
        <v>413</v>
      </c>
      <c r="F53" s="562" t="str">
        <f>'2nd_Post_Processing'!$L$6</f>
        <v>Line</v>
      </c>
      <c r="G53" s="177"/>
      <c r="H53" s="562" t="s">
        <v>414</v>
      </c>
      <c r="I53" s="177" t="s">
        <v>415</v>
      </c>
    </row>
    <row r="54" spans="1:10" s="51" customFormat="1" ht="13.5" customHeight="1" x14ac:dyDescent="0.2">
      <c r="A54" s="177" t="s">
        <v>2</v>
      </c>
      <c r="B54" s="177" t="s">
        <v>1700</v>
      </c>
      <c r="C54" s="562" t="str">
        <f t="shared" si="6"/>
        <v>Bend Radius - Stiffener1</v>
      </c>
      <c r="D54" s="177" t="str">
        <f t="shared" ref="D54:D59" si="7">SUBSTITUTE(B54, "N", "O")</f>
        <v>O76</v>
      </c>
      <c r="E54" s="177" t="s">
        <v>413</v>
      </c>
      <c r="F54" s="562" t="str">
        <f>'2nd_Post_Processing'!$L$7</f>
        <v>Stiffener1</v>
      </c>
      <c r="G54" s="177"/>
      <c r="H54" s="562" t="s">
        <v>414</v>
      </c>
      <c r="I54" s="177" t="s">
        <v>415</v>
      </c>
    </row>
    <row r="55" spans="1:10" s="51" customFormat="1" ht="13.5" customHeight="1" x14ac:dyDescent="0.2">
      <c r="A55" s="177" t="s">
        <v>2</v>
      </c>
      <c r="B55" s="177" t="s">
        <v>1701</v>
      </c>
      <c r="C55" s="562" t="str">
        <f>CONCATENATE(I55," - ",F55)</f>
        <v>Rotation 2 - P7000048060</v>
      </c>
      <c r="D55" s="177" t="str">
        <f t="shared" si="7"/>
        <v>O77</v>
      </c>
      <c r="E55" s="177" t="s">
        <v>419</v>
      </c>
      <c r="F55" s="563" t="str">
        <f>'2nd_Post_Processing'!$L$8</f>
        <v>P7000048060</v>
      </c>
      <c r="G55" s="177"/>
      <c r="H55" s="562"/>
      <c r="I55" s="177" t="s">
        <v>422</v>
      </c>
    </row>
    <row r="56" spans="1:10" s="51" customFormat="1" ht="13.5" customHeight="1" x14ac:dyDescent="0.2">
      <c r="A56" s="177" t="s">
        <v>2</v>
      </c>
      <c r="B56" s="177" t="s">
        <v>1702</v>
      </c>
      <c r="C56" s="562" t="str">
        <f>CONCATENATE(I56," - ",F56," - ",G56)</f>
        <v>X - Line - End B</v>
      </c>
      <c r="D56" s="177" t="str">
        <f t="shared" si="7"/>
        <v>O78</v>
      </c>
      <c r="E56" s="177" t="s">
        <v>419</v>
      </c>
      <c r="F56" s="562" t="str">
        <f>'2nd_Post_Processing'!$L$6</f>
        <v>Line</v>
      </c>
      <c r="G56" s="177" t="s">
        <v>420</v>
      </c>
      <c r="H56" s="562"/>
      <c r="I56" s="177" t="s">
        <v>431</v>
      </c>
    </row>
    <row r="57" spans="1:10" s="51" customFormat="1" ht="13.5" customHeight="1" x14ac:dyDescent="0.2">
      <c r="A57" s="177" t="s">
        <v>2</v>
      </c>
      <c r="B57" s="177" t="s">
        <v>1703</v>
      </c>
      <c r="C57" s="562" t="str">
        <f>CONCATENATE(I57," - ",F57," - ",G57)</f>
        <v>X - Line - Touchdown</v>
      </c>
      <c r="D57" s="177" t="str">
        <f t="shared" si="7"/>
        <v>O79</v>
      </c>
      <c r="E57" s="177" t="s">
        <v>419</v>
      </c>
      <c r="F57" s="562" t="str">
        <f>'2nd_Post_Processing'!$L$6</f>
        <v>Line</v>
      </c>
      <c r="G57" s="177" t="s">
        <v>450</v>
      </c>
      <c r="H57" s="562"/>
      <c r="I57" s="177" t="s">
        <v>431</v>
      </c>
    </row>
    <row r="58" spans="1:10" s="51" customFormat="1" ht="13.5" customHeight="1" x14ac:dyDescent="0.2">
      <c r="A58" s="177" t="s">
        <v>2</v>
      </c>
      <c r="B58" s="177" t="s">
        <v>1704</v>
      </c>
      <c r="C58" s="562" t="str">
        <f>CONCATENATE(I58," - ",F58," - ",G58)</f>
        <v>Arc Length - Line - End B</v>
      </c>
      <c r="D58" s="177" t="str">
        <f t="shared" si="7"/>
        <v>O80</v>
      </c>
      <c r="E58" s="177" t="s">
        <v>419</v>
      </c>
      <c r="F58" s="562" t="str">
        <f>'2nd_Post_Processing'!$L$6</f>
        <v>Line</v>
      </c>
      <c r="G58" s="177" t="s">
        <v>420</v>
      </c>
      <c r="H58" s="562"/>
      <c r="I58" s="177" t="s">
        <v>451</v>
      </c>
    </row>
    <row r="59" spans="1:10" s="51" customFormat="1" ht="13.5" customHeight="1" x14ac:dyDescent="0.2">
      <c r="A59" s="177" t="s">
        <v>2</v>
      </c>
      <c r="B59" s="177" t="s">
        <v>1705</v>
      </c>
      <c r="C59" s="562" t="str">
        <f>CONCATENATE(I59," - ",F59," - ",G59)</f>
        <v>Arc Length - Line - Touchdown</v>
      </c>
      <c r="D59" s="177" t="str">
        <f t="shared" si="7"/>
        <v>O81</v>
      </c>
      <c r="E59" s="177" t="s">
        <v>419</v>
      </c>
      <c r="F59" s="562" t="str">
        <f>'2nd_Post_Processing'!$L$6</f>
        <v>Line</v>
      </c>
      <c r="G59" s="177" t="s">
        <v>450</v>
      </c>
      <c r="H59" s="562"/>
      <c r="I59" s="177" t="s">
        <v>451</v>
      </c>
    </row>
    <row r="60" spans="1:10" s="51" customFormat="1" ht="13.5" customHeight="1" x14ac:dyDescent="0.2">
      <c r="A60" s="177" t="s">
        <v>2</v>
      </c>
      <c r="B60" s="177" t="s">
        <v>1706</v>
      </c>
      <c r="C60" s="562" t="str">
        <f>CONCATENATE(I60," - ",F60," - ",G60)</f>
        <v>Z - Line - End B</v>
      </c>
      <c r="D60" s="177" t="str">
        <f>SUBSTITUTE(B60, "N", "O")</f>
        <v>O82</v>
      </c>
      <c r="E60" s="177" t="s">
        <v>419</v>
      </c>
      <c r="F60" s="562" t="str">
        <f>'2nd_Post_Processing'!$L$6</f>
        <v>Line</v>
      </c>
      <c r="G60" s="177" t="s">
        <v>420</v>
      </c>
      <c r="H60" s="562"/>
      <c r="I60" s="177" t="s">
        <v>421</v>
      </c>
    </row>
    <row r="61" spans="1:10" s="51" customFormat="1" ht="13.5" customHeight="1" x14ac:dyDescent="0.2">
      <c r="A61" s="177" t="s">
        <v>2</v>
      </c>
      <c r="B61" s="177" t="s">
        <v>1707</v>
      </c>
      <c r="C61" s="177" t="str">
        <f>_xlfn.CONCAT("Vertical Seabed Clearance Max ",G61," - ",F61)</f>
        <v>Vertical Seabed Clearance Max  to  - Line</v>
      </c>
      <c r="D61" s="177" t="str">
        <f>SUBSTITUTE(B61, "N", "O")</f>
        <v>O83</v>
      </c>
      <c r="E61" s="177" t="s">
        <v>437</v>
      </c>
      <c r="F61" s="562" t="str">
        <f>'2nd_Post_Processing'!$L$6</f>
        <v>Line</v>
      </c>
      <c r="G61" s="337" t="str">
        <f>_xlfn.CONCAT(hmax_dist_flange_cabrestante1," to ", hmax_dist_flange_cabrestante2)</f>
        <v xml:space="preserve"> to </v>
      </c>
      <c r="H61" s="562" t="s">
        <v>414</v>
      </c>
      <c r="I61" s="177" t="s">
        <v>434</v>
      </c>
    </row>
    <row r="62" spans="1:10" s="51" customFormat="1" ht="13.5" customHeight="1" x14ac:dyDescent="0.2">
      <c r="A62" s="179"/>
      <c r="B62" s="179"/>
      <c r="C62" s="179"/>
      <c r="D62" s="179"/>
      <c r="E62" s="178" t="str">
        <f>CONCATENATE("Load ",Results!C43,".sim")</f>
        <v>Load IGNORAR.sim</v>
      </c>
      <c r="F62" s="179"/>
      <c r="G62" s="179"/>
      <c r="H62" s="179"/>
      <c r="I62" s="179"/>
    </row>
    <row r="63" spans="1:10" s="51" customFormat="1" ht="13.5" customHeight="1" x14ac:dyDescent="0.2">
      <c r="A63" s="177" t="s">
        <v>2</v>
      </c>
      <c r="B63" s="177" t="s">
        <v>2141</v>
      </c>
      <c r="C63" s="562" t="str">
        <f t="shared" ref="C63:C70" si="8">CONCATENATE(I63," - ",F63)</f>
        <v>StageValue[1] - A/R</v>
      </c>
      <c r="D63" s="177" t="str">
        <f>SUBSTITUTE(B63, "N", "O")</f>
        <v>O26</v>
      </c>
      <c r="E63" s="177" t="s">
        <v>416</v>
      </c>
      <c r="F63" s="562" t="str">
        <f>'2nd_Post_Processing'!$L$9</f>
        <v>A/R</v>
      </c>
      <c r="G63" s="177"/>
      <c r="H63" s="177"/>
      <c r="I63" s="177" t="s">
        <v>439</v>
      </c>
    </row>
    <row r="64" spans="1:10" s="51" customFormat="1" ht="13.5" customHeight="1" x14ac:dyDescent="0.2">
      <c r="A64" s="177" t="s">
        <v>2</v>
      </c>
      <c r="B64" s="177" t="s">
        <v>2142</v>
      </c>
      <c r="C64" s="562" t="str">
        <f t="shared" si="8"/>
        <v>StageValue[3] - A/R</v>
      </c>
      <c r="D64" s="177" t="str">
        <f t="shared" ref="D64:D70" si="9">SUBSTITUTE(B64, "N", "O")</f>
        <v>O27</v>
      </c>
      <c r="E64" s="177" t="s">
        <v>416</v>
      </c>
      <c r="F64" s="562" t="str">
        <f>'2nd_Post_Processing'!$L$9</f>
        <v>A/R</v>
      </c>
      <c r="G64" s="177"/>
      <c r="H64" s="177"/>
      <c r="I64" s="177" t="s">
        <v>441</v>
      </c>
    </row>
    <row r="65" spans="1:12" s="51" customFormat="1" ht="13.5" customHeight="1" x14ac:dyDescent="0.2">
      <c r="A65" s="177" t="s">
        <v>2</v>
      </c>
      <c r="B65" s="177" t="s">
        <v>2143</v>
      </c>
      <c r="C65" s="562" t="str">
        <f t="shared" si="8"/>
        <v>Bend Radius - Line</v>
      </c>
      <c r="D65" s="177" t="str">
        <f t="shared" si="9"/>
        <v>O28</v>
      </c>
      <c r="E65" s="177" t="s">
        <v>413</v>
      </c>
      <c r="F65" s="562" t="str">
        <f>'2nd_Post_Processing'!$L$6</f>
        <v>Line</v>
      </c>
      <c r="G65" s="177"/>
      <c r="H65" s="177" t="s">
        <v>444</v>
      </c>
      <c r="I65" s="177" t="s">
        <v>415</v>
      </c>
    </row>
    <row r="66" spans="1:12" s="51" customFormat="1" ht="13.5" customHeight="1" x14ac:dyDescent="0.2">
      <c r="A66" s="177" t="s">
        <v>2</v>
      </c>
      <c r="B66" s="177" t="s">
        <v>2144</v>
      </c>
      <c r="C66" s="562" t="str">
        <f t="shared" si="8"/>
        <v>Bend Radius - Stiffener1</v>
      </c>
      <c r="D66" s="177" t="str">
        <f t="shared" si="9"/>
        <v>O29</v>
      </c>
      <c r="E66" s="177" t="s">
        <v>413</v>
      </c>
      <c r="F66" s="562" t="str">
        <f>'2nd_Post_Processing'!$L$7</f>
        <v>Stiffener1</v>
      </c>
      <c r="G66" s="177"/>
      <c r="H66" s="177" t="s">
        <v>444</v>
      </c>
      <c r="I66" s="177" t="s">
        <v>415</v>
      </c>
    </row>
    <row r="67" spans="1:12" s="51" customFormat="1" ht="13.5" customHeight="1" x14ac:dyDescent="0.2">
      <c r="A67" s="177" t="s">
        <v>2</v>
      </c>
      <c r="B67" s="177" t="s">
        <v>2145</v>
      </c>
      <c r="C67" s="562" t="str">
        <f t="shared" si="8"/>
        <v>Tension - Cabrestante 1</v>
      </c>
      <c r="D67" s="177" t="str">
        <f t="shared" si="9"/>
        <v>O30</v>
      </c>
      <c r="E67" s="177" t="s">
        <v>443</v>
      </c>
      <c r="F67" s="562" t="str">
        <f>'2nd_Post_Processing'!$L$11</f>
        <v>Cabrestante 1</v>
      </c>
      <c r="G67" s="177"/>
      <c r="H67" s="177" t="s">
        <v>444</v>
      </c>
      <c r="I67" s="177" t="s">
        <v>445</v>
      </c>
    </row>
    <row r="68" spans="1:12" s="51" customFormat="1" ht="13.5" customHeight="1" x14ac:dyDescent="0.2">
      <c r="A68" s="177" t="s">
        <v>2</v>
      </c>
      <c r="B68" s="177" t="s">
        <v>2146</v>
      </c>
      <c r="C68" s="562" t="str">
        <f t="shared" si="8"/>
        <v>Tension - Cabrestante 2</v>
      </c>
      <c r="D68" s="177" t="str">
        <f t="shared" si="9"/>
        <v>O31</v>
      </c>
      <c r="E68" s="177" t="s">
        <v>443</v>
      </c>
      <c r="F68" s="724" t="str">
        <f>'2nd_Post_Processing'!$L$12</f>
        <v>Cabrestante 2</v>
      </c>
      <c r="G68" s="177"/>
      <c r="H68" s="177" t="s">
        <v>444</v>
      </c>
      <c r="I68" s="177" t="s">
        <v>445</v>
      </c>
    </row>
    <row r="69" spans="1:12" s="51" customFormat="1" ht="13.5" customHeight="1" x14ac:dyDescent="0.2">
      <c r="A69" s="177" t="s">
        <v>2</v>
      </c>
      <c r="B69" s="177" t="s">
        <v>2147</v>
      </c>
      <c r="C69" s="562" t="str">
        <f t="shared" si="8"/>
        <v>Bend Moment - Stiffener1</v>
      </c>
      <c r="D69" s="177" t="str">
        <f t="shared" si="9"/>
        <v>O32</v>
      </c>
      <c r="E69" s="177" t="s">
        <v>437</v>
      </c>
      <c r="F69" s="562" t="str">
        <f>'2nd_Post_Processing'!$L$7</f>
        <v>Stiffener1</v>
      </c>
      <c r="G69" s="177"/>
      <c r="H69" s="177" t="s">
        <v>444</v>
      </c>
      <c r="I69" s="177" t="s">
        <v>438</v>
      </c>
    </row>
    <row r="70" spans="1:12" ht="13.5" customHeight="1" x14ac:dyDescent="0.2">
      <c r="A70" s="177" t="s">
        <v>2</v>
      </c>
      <c r="B70" s="177" t="s">
        <v>2148</v>
      </c>
      <c r="C70" s="562" t="str">
        <f t="shared" si="8"/>
        <v>Shear Force - Stiffener1</v>
      </c>
      <c r="D70" s="177" t="str">
        <f t="shared" si="9"/>
        <v>O33</v>
      </c>
      <c r="E70" s="177" t="s">
        <v>437</v>
      </c>
      <c r="F70" s="562" t="str">
        <f>'2nd_Post_Processing'!$L$7</f>
        <v>Stiffener1</v>
      </c>
      <c r="G70" s="177"/>
      <c r="H70" s="177" t="s">
        <v>444</v>
      </c>
      <c r="I70" s="177" t="s">
        <v>440</v>
      </c>
      <c r="J70" s="560"/>
    </row>
    <row r="71" spans="1:12" ht="13.5" customHeight="1" x14ac:dyDescent="0.2">
      <c r="A71" s="562" t="s">
        <v>446</v>
      </c>
      <c r="B71" s="177" t="s">
        <v>1835</v>
      </c>
      <c r="C71" s="562" t="str">
        <f>CONCATENATE(E71," - ",F71," - ",G71," - ",H71," - ",I71)</f>
        <v>Linked Statistics - Line - End B - 0 to 32,15 - End Ex-Force,End Ez-Force,End Ey-Moment</v>
      </c>
      <c r="D71" s="177" t="s">
        <v>1836</v>
      </c>
      <c r="E71" s="177" t="s">
        <v>447</v>
      </c>
      <c r="F71" s="562" t="str">
        <f>'2nd_Post_Processing'!$L$6</f>
        <v>Line</v>
      </c>
      <c r="G71" s="177" t="s">
        <v>420</v>
      </c>
      <c r="H71" s="338" t="s">
        <v>1868</v>
      </c>
      <c r="I71" s="177" t="s">
        <v>448</v>
      </c>
      <c r="J71" s="560"/>
      <c r="L71" s="181"/>
    </row>
    <row r="72" spans="1:12" ht="13.5" customHeight="1" x14ac:dyDescent="0.2">
      <c r="A72" s="723"/>
      <c r="B72" s="561"/>
      <c r="C72" s="561"/>
      <c r="D72" s="561"/>
      <c r="E72" s="178" t="str">
        <f>CONCATENATE("Load ",Results!C40,".sim")</f>
        <v>Load Cont1.sim</v>
      </c>
      <c r="F72" s="561"/>
      <c r="G72" s="561"/>
      <c r="H72" s="561"/>
      <c r="I72" s="561"/>
      <c r="J72" s="560"/>
      <c r="L72" s="181"/>
    </row>
    <row r="73" spans="1:12" ht="13.5" customHeight="1" x14ac:dyDescent="0.2">
      <c r="A73" s="562" t="s">
        <v>2</v>
      </c>
      <c r="B73" s="562" t="s">
        <v>1708</v>
      </c>
      <c r="C73" s="562" t="str">
        <f>_xlfn.CONCAT(I73," - ",F73)</f>
        <v>Bend Moment - Stiffener1</v>
      </c>
      <c r="D73" s="562" t="str">
        <f>SUBSTITUTE(B73, "B", "C")</f>
        <v>C75</v>
      </c>
      <c r="E73" s="562" t="s">
        <v>437</v>
      </c>
      <c r="F73" s="562" t="str">
        <f>'2nd_Post_Processing'!$L$7</f>
        <v>Stiffener1</v>
      </c>
      <c r="G73" s="562"/>
      <c r="H73" s="562" t="s">
        <v>414</v>
      </c>
      <c r="I73" s="562" t="s">
        <v>438</v>
      </c>
      <c r="J73" s="560"/>
    </row>
    <row r="74" spans="1:12" ht="13.5" customHeight="1" x14ac:dyDescent="0.2">
      <c r="A74" s="562" t="s">
        <v>2</v>
      </c>
      <c r="B74" s="562" t="s">
        <v>1709</v>
      </c>
      <c r="C74" s="562" t="str">
        <f>_xlfn.CONCAT(I74," - ",F74)</f>
        <v>Shear Force - Stiffener1</v>
      </c>
      <c r="D74" s="562" t="str">
        <f t="shared" ref="D74:D77" si="10">SUBSTITUTE(B74, "B", "C")</f>
        <v>C76</v>
      </c>
      <c r="E74" s="562" t="s">
        <v>437</v>
      </c>
      <c r="F74" s="562" t="str">
        <f>'2nd_Post_Processing'!$L$7</f>
        <v>Stiffener1</v>
      </c>
      <c r="G74" s="562"/>
      <c r="H74" s="562" t="s">
        <v>414</v>
      </c>
      <c r="I74" s="562" t="s">
        <v>440</v>
      </c>
      <c r="J74" s="560"/>
    </row>
    <row r="75" spans="1:12" ht="13.5" customHeight="1" x14ac:dyDescent="0.2">
      <c r="A75" s="562" t="s">
        <v>2</v>
      </c>
      <c r="B75" s="562" t="s">
        <v>1710</v>
      </c>
      <c r="C75" s="562" t="str">
        <f>CONCATENATE(I75," - ",F75)</f>
        <v>Bend Radius - Stiffener1</v>
      </c>
      <c r="D75" s="562" t="str">
        <f t="shared" si="10"/>
        <v>C77</v>
      </c>
      <c r="E75" s="562" t="s">
        <v>413</v>
      </c>
      <c r="F75" s="562" t="str">
        <f>'2nd_Post_Processing'!$L$7</f>
        <v>Stiffener1</v>
      </c>
      <c r="G75" s="562"/>
      <c r="H75" s="562" t="s">
        <v>414</v>
      </c>
      <c r="I75" s="562" t="s">
        <v>415</v>
      </c>
      <c r="J75" s="560"/>
    </row>
    <row r="76" spans="1:12" ht="13.5" customHeight="1" x14ac:dyDescent="0.2">
      <c r="A76" s="562" t="s">
        <v>2</v>
      </c>
      <c r="B76" s="562" t="s">
        <v>1711</v>
      </c>
      <c r="C76" s="562" t="str">
        <f t="shared" ref="C76:C80" si="11">CONCATENATE(I76," - ",F76)</f>
        <v>Bend Radius - Line</v>
      </c>
      <c r="D76" s="562" t="str">
        <f t="shared" si="10"/>
        <v>C78</v>
      </c>
      <c r="E76" s="562" t="s">
        <v>413</v>
      </c>
      <c r="F76" s="562" t="str">
        <f>'2nd_Post_Processing'!$L$6</f>
        <v>Line</v>
      </c>
      <c r="G76" s="562"/>
      <c r="H76" s="562" t="s">
        <v>414</v>
      </c>
      <c r="I76" s="562" t="s">
        <v>415</v>
      </c>
      <c r="J76" s="710">
        <f>Auxiliar3!$X$2</f>
        <v>0</v>
      </c>
      <c r="L76" s="181"/>
    </row>
    <row r="77" spans="1:12" ht="13.5" customHeight="1" x14ac:dyDescent="0.2">
      <c r="A77" s="562" t="s">
        <v>2</v>
      </c>
      <c r="B77" s="562" t="s">
        <v>1712</v>
      </c>
      <c r="C77" s="562" t="str">
        <f>CONCATENATE(I77," - ",F77," - ", G77)</f>
        <v>End Ey-Moment - Line - End B</v>
      </c>
      <c r="D77" s="562" t="str">
        <f t="shared" si="10"/>
        <v>C79</v>
      </c>
      <c r="E77" s="562" t="s">
        <v>419</v>
      </c>
      <c r="F77" s="562" t="str">
        <f>'2nd_Post_Processing'!$L$6</f>
        <v>Line</v>
      </c>
      <c r="G77" s="562" t="s">
        <v>420</v>
      </c>
      <c r="H77" s="562"/>
      <c r="I77" s="562" t="s">
        <v>423</v>
      </c>
      <c r="J77" s="560"/>
      <c r="L77" s="181"/>
    </row>
    <row r="78" spans="1:12" ht="13.5" customHeight="1" x14ac:dyDescent="0.2">
      <c r="A78" s="562" t="s">
        <v>2</v>
      </c>
      <c r="B78" s="562" t="s">
        <v>2164</v>
      </c>
      <c r="C78" s="562" t="str">
        <f>CONCATENATE(I78," - ",F78," - ", G78)</f>
        <v>Shear force - Line - End B</v>
      </c>
      <c r="D78" s="562" t="str">
        <f t="shared" ref="D78" si="12">SUBSTITUTE(B78, "B", "C")</f>
        <v>C80</v>
      </c>
      <c r="E78" s="562" t="s">
        <v>419</v>
      </c>
      <c r="F78" s="562" t="str">
        <f>'2nd_Post_Processing'!$L$6</f>
        <v>Line</v>
      </c>
      <c r="G78" s="177" t="s">
        <v>420</v>
      </c>
      <c r="H78" s="562"/>
      <c r="I78" s="177" t="s">
        <v>2163</v>
      </c>
      <c r="J78" s="560"/>
      <c r="L78" s="181"/>
    </row>
    <row r="79" spans="1:12" ht="13.5" customHeight="1" x14ac:dyDescent="0.2">
      <c r="A79" s="562" t="s">
        <v>454</v>
      </c>
      <c r="B79" s="562" t="s">
        <v>455</v>
      </c>
      <c r="C79" s="562" t="str">
        <f t="shared" si="11"/>
        <v>NumberOfAttachments - Line</v>
      </c>
      <c r="D79" s="562" t="s">
        <v>456</v>
      </c>
      <c r="E79" s="562" t="s">
        <v>416</v>
      </c>
      <c r="F79" s="562" t="str">
        <f>'2nd_Post_Processing'!$L$6</f>
        <v>Line</v>
      </c>
      <c r="G79" s="180"/>
      <c r="H79" s="180"/>
      <c r="I79" s="562" t="s">
        <v>442</v>
      </c>
      <c r="J79" s="560"/>
      <c r="L79" s="181"/>
    </row>
    <row r="80" spans="1:12" ht="13.5" customHeight="1" x14ac:dyDescent="0.2">
      <c r="A80" s="562" t="s">
        <v>454</v>
      </c>
      <c r="B80" s="562" t="s">
        <v>457</v>
      </c>
      <c r="C80" s="562" t="str">
        <f t="shared" si="11"/>
        <v>Attachmentz[] - Line</v>
      </c>
      <c r="D80" s="562" t="s">
        <v>458</v>
      </c>
      <c r="E80" s="562" t="s">
        <v>416</v>
      </c>
      <c r="F80" s="562" t="str">
        <f>'2nd_Post_Processing'!$L$6</f>
        <v>Line</v>
      </c>
      <c r="G80" s="562"/>
      <c r="H80" s="562"/>
      <c r="I80" s="562" t="str">
        <f>CONCATENATE("Attachmentz[",Auxiliar3!X2,"]")</f>
        <v>Attachmentz[]</v>
      </c>
      <c r="J80" s="560"/>
      <c r="L80" s="181"/>
    </row>
    <row r="81" spans="1:15" ht="13.5" customHeight="1" x14ac:dyDescent="0.2">
      <c r="A81" s="723"/>
      <c r="B81" s="561"/>
      <c r="C81" s="561"/>
      <c r="D81" s="561"/>
      <c r="E81" s="178" t="str">
        <f>CONCATENATE("Load ",Results!C41,".sim")</f>
        <v>Load Cont2.sim</v>
      </c>
      <c r="F81" s="561"/>
      <c r="G81" s="561"/>
      <c r="H81" s="561"/>
      <c r="I81" s="561"/>
      <c r="J81" s="560"/>
      <c r="L81" s="181"/>
    </row>
    <row r="82" spans="1:15" ht="13.5" customHeight="1" x14ac:dyDescent="0.2">
      <c r="A82" s="562" t="s">
        <v>2</v>
      </c>
      <c r="B82" s="562" t="s">
        <v>1713</v>
      </c>
      <c r="C82" s="562" t="str">
        <f>_xlfn.CONCAT(I82," - ",F82)</f>
        <v>Bend Moment - Stiffener1</v>
      </c>
      <c r="D82" s="562" t="str">
        <f>SUBSTITUTE(B82, "H", "I")</f>
        <v>I75</v>
      </c>
      <c r="E82" s="562" t="s">
        <v>437</v>
      </c>
      <c r="F82" s="562" t="str">
        <f>'2nd_Post_Processing'!$L$7</f>
        <v>Stiffener1</v>
      </c>
      <c r="G82" s="562"/>
      <c r="H82" s="562" t="s">
        <v>414</v>
      </c>
      <c r="I82" s="562" t="s">
        <v>438</v>
      </c>
      <c r="J82" s="560"/>
      <c r="L82" s="181"/>
    </row>
    <row r="83" spans="1:15" ht="13.5" customHeight="1" x14ac:dyDescent="0.2">
      <c r="A83" s="562" t="s">
        <v>2</v>
      </c>
      <c r="B83" s="562" t="s">
        <v>1714</v>
      </c>
      <c r="C83" s="562" t="str">
        <f>_xlfn.CONCAT(I83," - ",F83)</f>
        <v>Shear Force - Stiffener1</v>
      </c>
      <c r="D83" s="562" t="str">
        <f t="shared" ref="D83:D86" si="13">SUBSTITUTE(B83, "H", "I")</f>
        <v>I76</v>
      </c>
      <c r="E83" s="562" t="s">
        <v>437</v>
      </c>
      <c r="F83" s="562" t="str">
        <f>'2nd_Post_Processing'!$L$7</f>
        <v>Stiffener1</v>
      </c>
      <c r="G83" s="562"/>
      <c r="H83" s="562" t="s">
        <v>414</v>
      </c>
      <c r="I83" s="562" t="s">
        <v>440</v>
      </c>
      <c r="J83" s="560"/>
      <c r="K83" s="560"/>
      <c r="L83" s="181"/>
    </row>
    <row r="84" spans="1:15" ht="13.5" customHeight="1" x14ac:dyDescent="0.2">
      <c r="A84" s="562" t="s">
        <v>2</v>
      </c>
      <c r="B84" s="562" t="s">
        <v>1715</v>
      </c>
      <c r="C84" s="562" t="str">
        <f>CONCATENATE(I84," - ",F84)</f>
        <v>Bend Radius - Stiffener1</v>
      </c>
      <c r="D84" s="562" t="str">
        <f t="shared" si="13"/>
        <v>I77</v>
      </c>
      <c r="E84" s="562" t="s">
        <v>413</v>
      </c>
      <c r="F84" s="562" t="str">
        <f>'2nd_Post_Processing'!$L$7</f>
        <v>Stiffener1</v>
      </c>
      <c r="G84" s="562"/>
      <c r="H84" s="562" t="s">
        <v>414</v>
      </c>
      <c r="I84" s="562" t="s">
        <v>415</v>
      </c>
      <c r="J84" s="560"/>
      <c r="K84" s="570"/>
      <c r="L84" s="558"/>
      <c r="M84" s="568"/>
      <c r="N84" s="568"/>
    </row>
    <row r="85" spans="1:15" ht="13.5" customHeight="1" x14ac:dyDescent="0.2">
      <c r="A85" s="562" t="s">
        <v>2</v>
      </c>
      <c r="B85" s="562" t="s">
        <v>1716</v>
      </c>
      <c r="C85" s="562" t="str">
        <f t="shared" ref="C85" si="14">CONCATENATE(I85," - ",F85)</f>
        <v>Bend Radius - Line</v>
      </c>
      <c r="D85" s="562" t="str">
        <f t="shared" si="13"/>
        <v>I78</v>
      </c>
      <c r="E85" s="562" t="s">
        <v>413</v>
      </c>
      <c r="F85" s="562" t="str">
        <f>'2nd_Post_Processing'!$L$6</f>
        <v>Line</v>
      </c>
      <c r="G85" s="562"/>
      <c r="H85" s="562" t="s">
        <v>414</v>
      </c>
      <c r="I85" s="562" t="s">
        <v>415</v>
      </c>
      <c r="J85" s="726">
        <f>Auxiliar4!$X$2</f>
        <v>0</v>
      </c>
      <c r="K85" s="570"/>
      <c r="L85" s="558"/>
      <c r="M85" s="568"/>
      <c r="N85" s="568"/>
    </row>
    <row r="86" spans="1:15" ht="13.5" customHeight="1" x14ac:dyDescent="0.2">
      <c r="A86" s="562" t="s">
        <v>2</v>
      </c>
      <c r="B86" s="562" t="s">
        <v>1717</v>
      </c>
      <c r="C86" s="562" t="str">
        <f>CONCATENATE(I86," - ",F86," - ", G86)</f>
        <v>End Ey-Moment - Line - End B</v>
      </c>
      <c r="D86" s="562" t="str">
        <f t="shared" si="13"/>
        <v>I79</v>
      </c>
      <c r="E86" s="562" t="s">
        <v>419</v>
      </c>
      <c r="F86" s="562" t="str">
        <f>'2nd_Post_Processing'!$L$6</f>
        <v>Line</v>
      </c>
      <c r="G86" s="562" t="s">
        <v>420</v>
      </c>
      <c r="H86" s="562"/>
      <c r="I86" s="562" t="s">
        <v>423</v>
      </c>
      <c r="J86" s="825"/>
      <c r="K86" s="826"/>
      <c r="L86" s="826"/>
      <c r="M86" s="826"/>
      <c r="N86" s="827"/>
      <c r="O86" s="568"/>
    </row>
    <row r="87" spans="1:15" ht="13.5" customHeight="1" x14ac:dyDescent="0.2">
      <c r="A87" s="562" t="s">
        <v>2</v>
      </c>
      <c r="B87" s="562" t="s">
        <v>2165</v>
      </c>
      <c r="C87" s="562" t="str">
        <f>CONCATENATE(I87," - ",F87," - ", G87)</f>
        <v>Shear force - Line - End B</v>
      </c>
      <c r="D87" s="562" t="str">
        <f t="shared" ref="D87" si="15">SUBSTITUTE(B87, "H", "I")</f>
        <v>I80</v>
      </c>
      <c r="E87" s="562" t="s">
        <v>419</v>
      </c>
      <c r="F87" s="562" t="str">
        <f>'2nd_Post_Processing'!$L$6</f>
        <v>Line</v>
      </c>
      <c r="G87" s="177" t="s">
        <v>420</v>
      </c>
      <c r="H87" s="562"/>
      <c r="I87" s="177" t="s">
        <v>2163</v>
      </c>
      <c r="J87" s="727"/>
      <c r="K87" s="728"/>
      <c r="L87" s="728"/>
      <c r="M87" s="728"/>
      <c r="N87" s="729"/>
      <c r="O87" s="568"/>
    </row>
    <row r="88" spans="1:15" ht="13.5" customHeight="1" x14ac:dyDescent="0.2">
      <c r="A88" s="562" t="s">
        <v>459</v>
      </c>
      <c r="B88" s="562" t="s">
        <v>455</v>
      </c>
      <c r="C88" s="562" t="str">
        <f>CONCATENATE(I88," - ",F88)</f>
        <v>NumberOfAttachments - Line</v>
      </c>
      <c r="D88" s="562" t="s">
        <v>456</v>
      </c>
      <c r="E88" s="562" t="s">
        <v>416</v>
      </c>
      <c r="F88" s="562" t="str">
        <f>'2nd_Post_Processing'!$L$6</f>
        <v>Line</v>
      </c>
      <c r="G88" s="562"/>
      <c r="H88" s="562"/>
      <c r="I88" s="562" t="s">
        <v>442</v>
      </c>
      <c r="J88" s="730">
        <f>IFERROR(IF(J86="",J$26+1,IF(J86=J$85,"j",J86+1)),"jj")</f>
        <v>1</v>
      </c>
      <c r="K88" s="730" t="str">
        <f>IF((J88="jj"),IFERROR(IF(K86="",J$26+1,IF(K86=J$76,"k",K86+1)),"kk"),"")</f>
        <v/>
      </c>
      <c r="L88" s="730" t="str">
        <f>IF((K88="kk"),IFERROR(IF(L86="",2,IF(L86=J$26,"l",L86+1)),"ll"),"")</f>
        <v/>
      </c>
      <c r="M88" s="730" t="str">
        <f>IF(OR(L88="l",L88="ll"),IFERROR(IF(M86="",2,IF(M86=J$26,"m",M86+1)),"mm"),"")</f>
        <v/>
      </c>
      <c r="N88" s="731">
        <f>IF(ISNUMBER(M88),"z",IF(ISNUMBER(L88),L88,IF(ISNUMBER(K88),K88,IF(ISNUMBER(J88),J88,""))))</f>
        <v>1</v>
      </c>
    </row>
    <row r="89" spans="1:15" ht="13.5" customHeight="1" x14ac:dyDescent="0.2">
      <c r="A89" s="562" t="s">
        <v>459</v>
      </c>
      <c r="B89" s="562" t="s">
        <v>457</v>
      </c>
      <c r="C89" s="562" t="str">
        <f>_xlfn.CONCAT(I89," - ",F89)</f>
        <v>Attachmentz[] - Line</v>
      </c>
      <c r="D89" s="562" t="s">
        <v>458</v>
      </c>
      <c r="E89" s="562" t="s">
        <v>416</v>
      </c>
      <c r="F89" s="562" t="str">
        <f>'2nd_Post_Processing'!$L$6</f>
        <v>Line</v>
      </c>
      <c r="G89" s="562"/>
      <c r="H89" s="562"/>
      <c r="I89" s="562" t="str">
        <f>CONCATENATE("Attachmentz[",Auxiliar4!X2,"]")</f>
        <v>Attachmentz[]</v>
      </c>
      <c r="J89" s="730">
        <f t="shared" ref="J89:J152" si="16">IFERROR(IF(J88="",J$26+1,IF(J88=J$85,"j",J88+1)),"jj")</f>
        <v>2</v>
      </c>
      <c r="K89" s="730" t="str">
        <f t="shared" ref="K89:K151" si="17">IF((J89="jj"),IFERROR(IF(K88="",J$26+1,IF(K88=J$76,"k",K88+1)),"kk"),"")</f>
        <v/>
      </c>
      <c r="L89" s="730" t="str">
        <f t="shared" ref="L89:L151" si="18">IF((K89="kk"),IFERROR(IF(L88="",2,IF(L88=J$26,"l",L88+1)),"ll"),"")</f>
        <v/>
      </c>
      <c r="M89" s="730" t="str">
        <f t="shared" ref="M89:M151" si="19">IF(OR(L89="l",L89="ll"),IFERROR(IF(M88="",2,IF(M88=J$26,"m",M88+1)),"mm"),"")</f>
        <v/>
      </c>
      <c r="N89" s="731">
        <f t="shared" ref="N89:N152" si="20">IF(ISNUMBER(M89),"z",IF(ISNUMBER(L89),L89,IF(ISNUMBER(K89),K89,IF(ISNUMBER(J89),J89,""))))</f>
        <v>2</v>
      </c>
    </row>
    <row r="90" spans="1:15" ht="13.5" customHeight="1" x14ac:dyDescent="0.2">
      <c r="A90" s="562" t="str">
        <f>IF(N88="","",IF(ISNUMBER(J88),"Auxiliar4",IF(ISNUMBER(K88),"Auxiliar3",IF(ISNUMBER(L88),"Auxiliar2",IF(ISNUMBER(M88),"Auxiliar2")))))</f>
        <v>Auxiliar4</v>
      </c>
      <c r="B90" s="562"/>
      <c r="C90" s="562"/>
      <c r="D90" s="562" t="str">
        <f>IF(N88="z",CONCATENATE("AB",M88),IF(N88="","",CONCATENATE("AA",N88)))</f>
        <v>AA1</v>
      </c>
      <c r="E90" s="562" t="str">
        <f>IF(N88="",IF(J88="j","Load Cont1.sim",IF(K88="k","Load Estatico.sim","")),"Get Data")</f>
        <v>Get Data</v>
      </c>
      <c r="F90" s="562" t="str">
        <f>'2nd_Post_Processing'!$L$6</f>
        <v>Line</v>
      </c>
      <c r="G90" s="562"/>
      <c r="H90" s="562"/>
      <c r="I90" s="562" t="str">
        <f>IF(N88="z",CONCATENATE("Attachmentz[",M88,"]"),IF(N88="","",CONCATENATE("Attachmenttype[",N88,"]")))</f>
        <v>Attachmenttype[1]</v>
      </c>
      <c r="J90" s="730">
        <f t="shared" si="16"/>
        <v>3</v>
      </c>
      <c r="K90" s="730" t="str">
        <f t="shared" si="17"/>
        <v/>
      </c>
      <c r="L90" s="730" t="str">
        <f t="shared" si="18"/>
        <v/>
      </c>
      <c r="M90" s="730" t="str">
        <f t="shared" si="19"/>
        <v/>
      </c>
      <c r="N90" s="731">
        <f t="shared" si="20"/>
        <v>3</v>
      </c>
    </row>
    <row r="91" spans="1:15" ht="13.5" customHeight="1" x14ac:dyDescent="0.2">
      <c r="A91" s="562" t="str">
        <f t="shared" ref="A91:A154" si="21">IF(N89="","",IF(ISNUMBER(J89),"Auxiliar4",IF(ISNUMBER(K89),"Auxiliar3",IF(ISNUMBER(L89),"Auxiliar2",IF(ISNUMBER(M89),"Auxiliar2")))))</f>
        <v>Auxiliar4</v>
      </c>
      <c r="B91" s="562"/>
      <c r="C91" s="562"/>
      <c r="D91" s="562" t="str">
        <f t="shared" ref="D91:D154" si="22">IF(N89="z",CONCATENATE("AB",M89),IF(N89="","",CONCATENATE("AA",N89)))</f>
        <v>AA2</v>
      </c>
      <c r="E91" s="562" t="str">
        <f t="shared" ref="E91:E154" si="23">IF(N89="",IF(J89="j","Load Cont1.sim",IF(K89="k","Load Estatico.sim","")),"Get Data")</f>
        <v>Get Data</v>
      </c>
      <c r="F91" s="562" t="str">
        <f>'2nd_Post_Processing'!$L$6</f>
        <v>Line</v>
      </c>
      <c r="G91" s="562"/>
      <c r="H91" s="562"/>
      <c r="I91" s="562" t="str">
        <f t="shared" ref="I91:I154" si="24">IF(N89="z",CONCATENATE("Attachmentz[",M89,"]"),IF(N89="","",CONCATENATE("Attachmenttype[",N89,"]")))</f>
        <v>Attachmenttype[2]</v>
      </c>
      <c r="J91" s="730">
        <f t="shared" si="16"/>
        <v>4</v>
      </c>
      <c r="K91" s="730" t="str">
        <f t="shared" si="17"/>
        <v/>
      </c>
      <c r="L91" s="730" t="str">
        <f t="shared" si="18"/>
        <v/>
      </c>
      <c r="M91" s="730" t="str">
        <f t="shared" si="19"/>
        <v/>
      </c>
      <c r="N91" s="731">
        <f t="shared" si="20"/>
        <v>4</v>
      </c>
    </row>
    <row r="92" spans="1:15" ht="13.5" customHeight="1" x14ac:dyDescent="0.2">
      <c r="A92" s="562" t="str">
        <f t="shared" si="21"/>
        <v>Auxiliar4</v>
      </c>
      <c r="B92" s="562"/>
      <c r="C92" s="562"/>
      <c r="D92" s="562" t="str">
        <f t="shared" si="22"/>
        <v>AA3</v>
      </c>
      <c r="E92" s="562" t="str">
        <f t="shared" si="23"/>
        <v>Get Data</v>
      </c>
      <c r="F92" s="562" t="str">
        <f>'2nd_Post_Processing'!$L$6</f>
        <v>Line</v>
      </c>
      <c r="G92" s="562"/>
      <c r="H92" s="562"/>
      <c r="I92" s="562" t="str">
        <f t="shared" si="24"/>
        <v>Attachmenttype[3]</v>
      </c>
      <c r="J92" s="730">
        <f t="shared" si="16"/>
        <v>5</v>
      </c>
      <c r="K92" s="730" t="str">
        <f t="shared" si="17"/>
        <v/>
      </c>
      <c r="L92" s="730" t="str">
        <f t="shared" si="18"/>
        <v/>
      </c>
      <c r="M92" s="730" t="str">
        <f t="shared" si="19"/>
        <v/>
      </c>
      <c r="N92" s="731">
        <f t="shared" si="20"/>
        <v>5</v>
      </c>
    </row>
    <row r="93" spans="1:15" ht="13.5" customHeight="1" x14ac:dyDescent="0.2">
      <c r="A93" s="562" t="str">
        <f t="shared" si="21"/>
        <v>Auxiliar4</v>
      </c>
      <c r="B93" s="562"/>
      <c r="C93" s="562"/>
      <c r="D93" s="562" t="str">
        <f t="shared" si="22"/>
        <v>AA4</v>
      </c>
      <c r="E93" s="562" t="str">
        <f t="shared" si="23"/>
        <v>Get Data</v>
      </c>
      <c r="F93" s="562" t="str">
        <f>'2nd_Post_Processing'!$L$6</f>
        <v>Line</v>
      </c>
      <c r="G93" s="562"/>
      <c r="H93" s="562"/>
      <c r="I93" s="562" t="str">
        <f t="shared" si="24"/>
        <v>Attachmenttype[4]</v>
      </c>
      <c r="J93" s="730">
        <f t="shared" si="16"/>
        <v>6</v>
      </c>
      <c r="K93" s="730" t="str">
        <f t="shared" si="17"/>
        <v/>
      </c>
      <c r="L93" s="730" t="str">
        <f t="shared" si="18"/>
        <v/>
      </c>
      <c r="M93" s="730" t="str">
        <f t="shared" si="19"/>
        <v/>
      </c>
      <c r="N93" s="731">
        <f t="shared" si="20"/>
        <v>6</v>
      </c>
    </row>
    <row r="94" spans="1:15" ht="13.5" customHeight="1" x14ac:dyDescent="0.2">
      <c r="A94" s="562" t="str">
        <f t="shared" si="21"/>
        <v>Auxiliar4</v>
      </c>
      <c r="B94" s="562"/>
      <c r="C94" s="562"/>
      <c r="D94" s="562" t="str">
        <f t="shared" si="22"/>
        <v>AA5</v>
      </c>
      <c r="E94" s="562" t="str">
        <f t="shared" si="23"/>
        <v>Get Data</v>
      </c>
      <c r="F94" s="562" t="str">
        <f>'2nd_Post_Processing'!$L$6</f>
        <v>Line</v>
      </c>
      <c r="G94" s="562"/>
      <c r="H94" s="562"/>
      <c r="I94" s="562" t="str">
        <f t="shared" si="24"/>
        <v>Attachmenttype[5]</v>
      </c>
      <c r="J94" s="730">
        <f t="shared" si="16"/>
        <v>7</v>
      </c>
      <c r="K94" s="730" t="str">
        <f t="shared" si="17"/>
        <v/>
      </c>
      <c r="L94" s="730" t="str">
        <f t="shared" si="18"/>
        <v/>
      </c>
      <c r="M94" s="730" t="str">
        <f t="shared" si="19"/>
        <v/>
      </c>
      <c r="N94" s="731">
        <f t="shared" si="20"/>
        <v>7</v>
      </c>
    </row>
    <row r="95" spans="1:15" ht="13.5" customHeight="1" x14ac:dyDescent="0.2">
      <c r="A95" s="562" t="str">
        <f t="shared" si="21"/>
        <v>Auxiliar4</v>
      </c>
      <c r="B95" s="562"/>
      <c r="C95" s="562"/>
      <c r="D95" s="562" t="str">
        <f t="shared" si="22"/>
        <v>AA6</v>
      </c>
      <c r="E95" s="562" t="str">
        <f t="shared" si="23"/>
        <v>Get Data</v>
      </c>
      <c r="F95" s="562" t="str">
        <f>'2nd_Post_Processing'!$L$6</f>
        <v>Line</v>
      </c>
      <c r="G95" s="562"/>
      <c r="H95" s="562"/>
      <c r="I95" s="562" t="str">
        <f t="shared" si="24"/>
        <v>Attachmenttype[6]</v>
      </c>
      <c r="J95" s="730">
        <f t="shared" si="16"/>
        <v>8</v>
      </c>
      <c r="K95" s="730" t="str">
        <f t="shared" si="17"/>
        <v/>
      </c>
      <c r="L95" s="730" t="str">
        <f t="shared" si="18"/>
        <v/>
      </c>
      <c r="M95" s="730" t="str">
        <f t="shared" si="19"/>
        <v/>
      </c>
      <c r="N95" s="731">
        <f t="shared" si="20"/>
        <v>8</v>
      </c>
    </row>
    <row r="96" spans="1:15" ht="13.5" customHeight="1" x14ac:dyDescent="0.2">
      <c r="A96" s="562" t="str">
        <f t="shared" si="21"/>
        <v>Auxiliar4</v>
      </c>
      <c r="B96" s="562"/>
      <c r="C96" s="562"/>
      <c r="D96" s="562" t="str">
        <f t="shared" si="22"/>
        <v>AA7</v>
      </c>
      <c r="E96" s="562" t="str">
        <f t="shared" si="23"/>
        <v>Get Data</v>
      </c>
      <c r="F96" s="562" t="str">
        <f>'2nd_Post_Processing'!$L$6</f>
        <v>Line</v>
      </c>
      <c r="G96" s="562"/>
      <c r="H96" s="562"/>
      <c r="I96" s="562" t="str">
        <f t="shared" si="24"/>
        <v>Attachmenttype[7]</v>
      </c>
      <c r="J96" s="730">
        <f t="shared" si="16"/>
        <v>9</v>
      </c>
      <c r="K96" s="730" t="str">
        <f t="shared" si="17"/>
        <v/>
      </c>
      <c r="L96" s="730" t="str">
        <f t="shared" si="18"/>
        <v/>
      </c>
      <c r="M96" s="730" t="str">
        <f t="shared" si="19"/>
        <v/>
      </c>
      <c r="N96" s="731">
        <f t="shared" si="20"/>
        <v>9</v>
      </c>
    </row>
    <row r="97" spans="1:14" ht="13.5" customHeight="1" x14ac:dyDescent="0.2">
      <c r="A97" s="562" t="str">
        <f t="shared" si="21"/>
        <v>Auxiliar4</v>
      </c>
      <c r="B97" s="562"/>
      <c r="C97" s="562"/>
      <c r="D97" s="562" t="str">
        <f t="shared" si="22"/>
        <v>AA8</v>
      </c>
      <c r="E97" s="562" t="str">
        <f t="shared" si="23"/>
        <v>Get Data</v>
      </c>
      <c r="F97" s="562" t="str">
        <f>'2nd_Post_Processing'!$L$6</f>
        <v>Line</v>
      </c>
      <c r="G97" s="562"/>
      <c r="H97" s="562"/>
      <c r="I97" s="562" t="str">
        <f t="shared" si="24"/>
        <v>Attachmenttype[8]</v>
      </c>
      <c r="J97" s="730">
        <f t="shared" si="16"/>
        <v>10</v>
      </c>
      <c r="K97" s="730" t="str">
        <f t="shared" si="17"/>
        <v/>
      </c>
      <c r="L97" s="730" t="str">
        <f t="shared" si="18"/>
        <v/>
      </c>
      <c r="M97" s="730" t="str">
        <f t="shared" si="19"/>
        <v/>
      </c>
      <c r="N97" s="731">
        <f t="shared" si="20"/>
        <v>10</v>
      </c>
    </row>
    <row r="98" spans="1:14" ht="13.5" customHeight="1" x14ac:dyDescent="0.2">
      <c r="A98" s="562" t="str">
        <f t="shared" si="21"/>
        <v>Auxiliar4</v>
      </c>
      <c r="B98" s="562"/>
      <c r="C98" s="562"/>
      <c r="D98" s="562" t="str">
        <f t="shared" si="22"/>
        <v>AA9</v>
      </c>
      <c r="E98" s="562" t="str">
        <f t="shared" si="23"/>
        <v>Get Data</v>
      </c>
      <c r="F98" s="562" t="str">
        <f>'2nd_Post_Processing'!$L$6</f>
        <v>Line</v>
      </c>
      <c r="G98" s="562"/>
      <c r="H98" s="562"/>
      <c r="I98" s="562" t="str">
        <f t="shared" si="24"/>
        <v>Attachmenttype[9]</v>
      </c>
      <c r="J98" s="730">
        <f t="shared" si="16"/>
        <v>11</v>
      </c>
      <c r="K98" s="730" t="str">
        <f t="shared" si="17"/>
        <v/>
      </c>
      <c r="L98" s="730" t="str">
        <f t="shared" si="18"/>
        <v/>
      </c>
      <c r="M98" s="730" t="str">
        <f t="shared" si="19"/>
        <v/>
      </c>
      <c r="N98" s="731">
        <f t="shared" si="20"/>
        <v>11</v>
      </c>
    </row>
    <row r="99" spans="1:14" ht="13.5" customHeight="1" x14ac:dyDescent="0.2">
      <c r="A99" s="562" t="str">
        <f t="shared" si="21"/>
        <v>Auxiliar4</v>
      </c>
      <c r="B99" s="562"/>
      <c r="C99" s="562"/>
      <c r="D99" s="562" t="str">
        <f t="shared" si="22"/>
        <v>AA10</v>
      </c>
      <c r="E99" s="562" t="str">
        <f t="shared" si="23"/>
        <v>Get Data</v>
      </c>
      <c r="F99" s="562" t="str">
        <f>'2nd_Post_Processing'!$L$6</f>
        <v>Line</v>
      </c>
      <c r="G99" s="562"/>
      <c r="H99" s="562"/>
      <c r="I99" s="562" t="str">
        <f t="shared" si="24"/>
        <v>Attachmenttype[10]</v>
      </c>
      <c r="J99" s="730">
        <f t="shared" si="16"/>
        <v>12</v>
      </c>
      <c r="K99" s="730" t="str">
        <f t="shared" si="17"/>
        <v/>
      </c>
      <c r="L99" s="730" t="str">
        <f t="shared" si="18"/>
        <v/>
      </c>
      <c r="M99" s="730" t="str">
        <f t="shared" si="19"/>
        <v/>
      </c>
      <c r="N99" s="731">
        <f t="shared" si="20"/>
        <v>12</v>
      </c>
    </row>
    <row r="100" spans="1:14" ht="13.5" customHeight="1" x14ac:dyDescent="0.2">
      <c r="A100" s="562" t="str">
        <f t="shared" si="21"/>
        <v>Auxiliar4</v>
      </c>
      <c r="B100" s="562"/>
      <c r="C100" s="562"/>
      <c r="D100" s="562" t="str">
        <f t="shared" si="22"/>
        <v>AA11</v>
      </c>
      <c r="E100" s="562" t="str">
        <f t="shared" si="23"/>
        <v>Get Data</v>
      </c>
      <c r="F100" s="562" t="str">
        <f>'2nd_Post_Processing'!$L$6</f>
        <v>Line</v>
      </c>
      <c r="G100" s="562"/>
      <c r="H100" s="562"/>
      <c r="I100" s="562" t="str">
        <f t="shared" si="24"/>
        <v>Attachmenttype[11]</v>
      </c>
      <c r="J100" s="730">
        <f t="shared" si="16"/>
        <v>13</v>
      </c>
      <c r="K100" s="730" t="str">
        <f t="shared" si="17"/>
        <v/>
      </c>
      <c r="L100" s="730" t="str">
        <f t="shared" si="18"/>
        <v/>
      </c>
      <c r="M100" s="730" t="str">
        <f t="shared" si="19"/>
        <v/>
      </c>
      <c r="N100" s="731">
        <f t="shared" si="20"/>
        <v>13</v>
      </c>
    </row>
    <row r="101" spans="1:14" ht="13.5" customHeight="1" x14ac:dyDescent="0.2">
      <c r="A101" s="562" t="str">
        <f t="shared" si="21"/>
        <v>Auxiliar4</v>
      </c>
      <c r="B101" s="562"/>
      <c r="C101" s="562"/>
      <c r="D101" s="562" t="str">
        <f t="shared" si="22"/>
        <v>AA12</v>
      </c>
      <c r="E101" s="562" t="str">
        <f t="shared" si="23"/>
        <v>Get Data</v>
      </c>
      <c r="F101" s="562" t="str">
        <f>'2nd_Post_Processing'!$L$6</f>
        <v>Line</v>
      </c>
      <c r="G101" s="562"/>
      <c r="H101" s="562"/>
      <c r="I101" s="562" t="str">
        <f t="shared" si="24"/>
        <v>Attachmenttype[12]</v>
      </c>
      <c r="J101" s="730">
        <f t="shared" si="16"/>
        <v>14</v>
      </c>
      <c r="K101" s="730" t="str">
        <f t="shared" si="17"/>
        <v/>
      </c>
      <c r="L101" s="730" t="str">
        <f t="shared" si="18"/>
        <v/>
      </c>
      <c r="M101" s="730" t="str">
        <f t="shared" si="19"/>
        <v/>
      </c>
      <c r="N101" s="731">
        <f t="shared" si="20"/>
        <v>14</v>
      </c>
    </row>
    <row r="102" spans="1:14" ht="13.5" customHeight="1" x14ac:dyDescent="0.2">
      <c r="A102" s="562" t="str">
        <f t="shared" si="21"/>
        <v>Auxiliar4</v>
      </c>
      <c r="B102" s="562"/>
      <c r="C102" s="562"/>
      <c r="D102" s="562" t="str">
        <f t="shared" si="22"/>
        <v>AA13</v>
      </c>
      <c r="E102" s="562" t="str">
        <f t="shared" si="23"/>
        <v>Get Data</v>
      </c>
      <c r="F102" s="562" t="str">
        <f>'2nd_Post_Processing'!$L$6</f>
        <v>Line</v>
      </c>
      <c r="G102" s="562"/>
      <c r="H102" s="562"/>
      <c r="I102" s="562" t="str">
        <f t="shared" si="24"/>
        <v>Attachmenttype[13]</v>
      </c>
      <c r="J102" s="730">
        <f t="shared" si="16"/>
        <v>15</v>
      </c>
      <c r="K102" s="730" t="str">
        <f t="shared" si="17"/>
        <v/>
      </c>
      <c r="L102" s="730" t="str">
        <f t="shared" si="18"/>
        <v/>
      </c>
      <c r="M102" s="730" t="str">
        <f t="shared" si="19"/>
        <v/>
      </c>
      <c r="N102" s="731">
        <f t="shared" si="20"/>
        <v>15</v>
      </c>
    </row>
    <row r="103" spans="1:14" ht="13.5" customHeight="1" x14ac:dyDescent="0.2">
      <c r="A103" s="562" t="str">
        <f t="shared" si="21"/>
        <v>Auxiliar4</v>
      </c>
      <c r="B103" s="562"/>
      <c r="C103" s="562"/>
      <c r="D103" s="562" t="str">
        <f t="shared" si="22"/>
        <v>AA14</v>
      </c>
      <c r="E103" s="562" t="str">
        <f t="shared" si="23"/>
        <v>Get Data</v>
      </c>
      <c r="F103" s="562" t="str">
        <f>'2nd_Post_Processing'!$L$6</f>
        <v>Line</v>
      </c>
      <c r="G103" s="562"/>
      <c r="H103" s="562"/>
      <c r="I103" s="562" t="str">
        <f t="shared" si="24"/>
        <v>Attachmenttype[14]</v>
      </c>
      <c r="J103" s="730">
        <f t="shared" si="16"/>
        <v>16</v>
      </c>
      <c r="K103" s="730" t="str">
        <f t="shared" si="17"/>
        <v/>
      </c>
      <c r="L103" s="730" t="str">
        <f t="shared" si="18"/>
        <v/>
      </c>
      <c r="M103" s="730" t="str">
        <f t="shared" si="19"/>
        <v/>
      </c>
      <c r="N103" s="731">
        <f t="shared" si="20"/>
        <v>16</v>
      </c>
    </row>
    <row r="104" spans="1:14" ht="13.5" customHeight="1" x14ac:dyDescent="0.2">
      <c r="A104" s="562" t="str">
        <f t="shared" si="21"/>
        <v>Auxiliar4</v>
      </c>
      <c r="B104" s="562"/>
      <c r="C104" s="562"/>
      <c r="D104" s="562" t="str">
        <f t="shared" si="22"/>
        <v>AA15</v>
      </c>
      <c r="E104" s="562" t="str">
        <f t="shared" si="23"/>
        <v>Get Data</v>
      </c>
      <c r="F104" s="562" t="str">
        <f>'2nd_Post_Processing'!$L$6</f>
        <v>Line</v>
      </c>
      <c r="G104" s="562"/>
      <c r="H104" s="562"/>
      <c r="I104" s="562" t="str">
        <f t="shared" si="24"/>
        <v>Attachmenttype[15]</v>
      </c>
      <c r="J104" s="730">
        <f t="shared" si="16"/>
        <v>17</v>
      </c>
      <c r="K104" s="730" t="str">
        <f t="shared" si="17"/>
        <v/>
      </c>
      <c r="L104" s="730" t="str">
        <f t="shared" si="18"/>
        <v/>
      </c>
      <c r="M104" s="730" t="str">
        <f t="shared" si="19"/>
        <v/>
      </c>
      <c r="N104" s="731">
        <f t="shared" si="20"/>
        <v>17</v>
      </c>
    </row>
    <row r="105" spans="1:14" ht="13.5" customHeight="1" x14ac:dyDescent="0.2">
      <c r="A105" s="562" t="str">
        <f t="shared" si="21"/>
        <v>Auxiliar4</v>
      </c>
      <c r="B105" s="562"/>
      <c r="C105" s="562"/>
      <c r="D105" s="562" t="str">
        <f t="shared" si="22"/>
        <v>AA16</v>
      </c>
      <c r="E105" s="562" t="str">
        <f t="shared" si="23"/>
        <v>Get Data</v>
      </c>
      <c r="F105" s="562" t="str">
        <f>'2nd_Post_Processing'!$L$6</f>
        <v>Line</v>
      </c>
      <c r="G105" s="562"/>
      <c r="H105" s="562"/>
      <c r="I105" s="562" t="str">
        <f t="shared" si="24"/>
        <v>Attachmenttype[16]</v>
      </c>
      <c r="J105" s="730">
        <f t="shared" si="16"/>
        <v>18</v>
      </c>
      <c r="K105" s="730" t="str">
        <f t="shared" si="17"/>
        <v/>
      </c>
      <c r="L105" s="730" t="str">
        <f t="shared" si="18"/>
        <v/>
      </c>
      <c r="M105" s="730" t="str">
        <f t="shared" si="19"/>
        <v/>
      </c>
      <c r="N105" s="731">
        <f t="shared" si="20"/>
        <v>18</v>
      </c>
    </row>
    <row r="106" spans="1:14" ht="13.5" customHeight="1" x14ac:dyDescent="0.2">
      <c r="A106" s="562" t="str">
        <f t="shared" si="21"/>
        <v>Auxiliar4</v>
      </c>
      <c r="B106" s="562"/>
      <c r="C106" s="562"/>
      <c r="D106" s="562" t="str">
        <f t="shared" si="22"/>
        <v>AA17</v>
      </c>
      <c r="E106" s="562" t="str">
        <f t="shared" si="23"/>
        <v>Get Data</v>
      </c>
      <c r="F106" s="562" t="str">
        <f>'2nd_Post_Processing'!$L$6</f>
        <v>Line</v>
      </c>
      <c r="G106" s="562"/>
      <c r="H106" s="562"/>
      <c r="I106" s="562" t="str">
        <f t="shared" si="24"/>
        <v>Attachmenttype[17]</v>
      </c>
      <c r="J106" s="730">
        <f t="shared" si="16"/>
        <v>19</v>
      </c>
      <c r="K106" s="730" t="str">
        <f t="shared" si="17"/>
        <v/>
      </c>
      <c r="L106" s="730" t="str">
        <f t="shared" si="18"/>
        <v/>
      </c>
      <c r="M106" s="730" t="str">
        <f t="shared" si="19"/>
        <v/>
      </c>
      <c r="N106" s="731">
        <f t="shared" si="20"/>
        <v>19</v>
      </c>
    </row>
    <row r="107" spans="1:14" ht="13.5" customHeight="1" x14ac:dyDescent="0.2">
      <c r="A107" s="562" t="str">
        <f t="shared" si="21"/>
        <v>Auxiliar4</v>
      </c>
      <c r="B107" s="562"/>
      <c r="C107" s="562"/>
      <c r="D107" s="562" t="str">
        <f t="shared" si="22"/>
        <v>AA18</v>
      </c>
      <c r="E107" s="562" t="str">
        <f t="shared" si="23"/>
        <v>Get Data</v>
      </c>
      <c r="F107" s="562" t="str">
        <f>'2nd_Post_Processing'!$L$6</f>
        <v>Line</v>
      </c>
      <c r="G107" s="562"/>
      <c r="H107" s="562"/>
      <c r="I107" s="562" t="str">
        <f t="shared" si="24"/>
        <v>Attachmenttype[18]</v>
      </c>
      <c r="J107" s="730">
        <f t="shared" si="16"/>
        <v>20</v>
      </c>
      <c r="K107" s="730" t="str">
        <f t="shared" si="17"/>
        <v/>
      </c>
      <c r="L107" s="730" t="str">
        <f t="shared" si="18"/>
        <v/>
      </c>
      <c r="M107" s="730" t="str">
        <f t="shared" si="19"/>
        <v/>
      </c>
      <c r="N107" s="731">
        <f t="shared" si="20"/>
        <v>20</v>
      </c>
    </row>
    <row r="108" spans="1:14" ht="13.5" customHeight="1" x14ac:dyDescent="0.2">
      <c r="A108" s="562" t="str">
        <f t="shared" si="21"/>
        <v>Auxiliar4</v>
      </c>
      <c r="B108" s="562"/>
      <c r="C108" s="562"/>
      <c r="D108" s="562" t="str">
        <f t="shared" si="22"/>
        <v>AA19</v>
      </c>
      <c r="E108" s="562" t="str">
        <f t="shared" si="23"/>
        <v>Get Data</v>
      </c>
      <c r="F108" s="562" t="str">
        <f>'2nd_Post_Processing'!$L$6</f>
        <v>Line</v>
      </c>
      <c r="G108" s="562"/>
      <c r="H108" s="562"/>
      <c r="I108" s="562" t="str">
        <f t="shared" si="24"/>
        <v>Attachmenttype[19]</v>
      </c>
      <c r="J108" s="730">
        <f t="shared" si="16"/>
        <v>21</v>
      </c>
      <c r="K108" s="730" t="str">
        <f t="shared" si="17"/>
        <v/>
      </c>
      <c r="L108" s="730" t="str">
        <f t="shared" si="18"/>
        <v/>
      </c>
      <c r="M108" s="730" t="str">
        <f t="shared" si="19"/>
        <v/>
      </c>
      <c r="N108" s="731">
        <f t="shared" si="20"/>
        <v>21</v>
      </c>
    </row>
    <row r="109" spans="1:14" ht="13.5" customHeight="1" x14ac:dyDescent="0.2">
      <c r="A109" s="562" t="str">
        <f t="shared" si="21"/>
        <v>Auxiliar4</v>
      </c>
      <c r="B109" s="562"/>
      <c r="C109" s="562"/>
      <c r="D109" s="562" t="str">
        <f t="shared" si="22"/>
        <v>AA20</v>
      </c>
      <c r="E109" s="562" t="str">
        <f t="shared" si="23"/>
        <v>Get Data</v>
      </c>
      <c r="F109" s="562" t="str">
        <f>'2nd_Post_Processing'!$L$6</f>
        <v>Line</v>
      </c>
      <c r="G109" s="562"/>
      <c r="H109" s="562"/>
      <c r="I109" s="562" t="str">
        <f t="shared" si="24"/>
        <v>Attachmenttype[20]</v>
      </c>
      <c r="J109" s="730">
        <f t="shared" si="16"/>
        <v>22</v>
      </c>
      <c r="K109" s="730" t="str">
        <f t="shared" si="17"/>
        <v/>
      </c>
      <c r="L109" s="730" t="str">
        <f t="shared" si="18"/>
        <v/>
      </c>
      <c r="M109" s="730" t="str">
        <f t="shared" si="19"/>
        <v/>
      </c>
      <c r="N109" s="731">
        <f t="shared" si="20"/>
        <v>22</v>
      </c>
    </row>
    <row r="110" spans="1:14" ht="13.5" customHeight="1" x14ac:dyDescent="0.2">
      <c r="A110" s="562" t="str">
        <f t="shared" si="21"/>
        <v>Auxiliar4</v>
      </c>
      <c r="B110" s="562"/>
      <c r="C110" s="562"/>
      <c r="D110" s="562" t="str">
        <f t="shared" si="22"/>
        <v>AA21</v>
      </c>
      <c r="E110" s="562" t="str">
        <f t="shared" si="23"/>
        <v>Get Data</v>
      </c>
      <c r="F110" s="562" t="str">
        <f>'2nd_Post_Processing'!$L$6</f>
        <v>Line</v>
      </c>
      <c r="G110" s="562"/>
      <c r="H110" s="562"/>
      <c r="I110" s="562" t="str">
        <f t="shared" si="24"/>
        <v>Attachmenttype[21]</v>
      </c>
      <c r="J110" s="730">
        <f t="shared" si="16"/>
        <v>23</v>
      </c>
      <c r="K110" s="730" t="str">
        <f t="shared" si="17"/>
        <v/>
      </c>
      <c r="L110" s="730" t="str">
        <f t="shared" si="18"/>
        <v/>
      </c>
      <c r="M110" s="730" t="str">
        <f t="shared" si="19"/>
        <v/>
      </c>
      <c r="N110" s="731">
        <f t="shared" si="20"/>
        <v>23</v>
      </c>
    </row>
    <row r="111" spans="1:14" ht="13.5" customHeight="1" x14ac:dyDescent="0.2">
      <c r="A111" s="562" t="str">
        <f t="shared" si="21"/>
        <v>Auxiliar4</v>
      </c>
      <c r="B111" s="562"/>
      <c r="C111" s="562"/>
      <c r="D111" s="562" t="str">
        <f t="shared" si="22"/>
        <v>AA22</v>
      </c>
      <c r="E111" s="562" t="str">
        <f t="shared" si="23"/>
        <v>Get Data</v>
      </c>
      <c r="F111" s="562" t="str">
        <f>'2nd_Post_Processing'!$L$6</f>
        <v>Line</v>
      </c>
      <c r="G111" s="562"/>
      <c r="H111" s="562"/>
      <c r="I111" s="562" t="str">
        <f t="shared" si="24"/>
        <v>Attachmenttype[22]</v>
      </c>
      <c r="J111" s="730">
        <f t="shared" si="16"/>
        <v>24</v>
      </c>
      <c r="K111" s="730" t="str">
        <f t="shared" si="17"/>
        <v/>
      </c>
      <c r="L111" s="730" t="str">
        <f t="shared" si="18"/>
        <v/>
      </c>
      <c r="M111" s="730" t="str">
        <f t="shared" si="19"/>
        <v/>
      </c>
      <c r="N111" s="731">
        <f t="shared" si="20"/>
        <v>24</v>
      </c>
    </row>
    <row r="112" spans="1:14" ht="13.5" customHeight="1" x14ac:dyDescent="0.2">
      <c r="A112" s="562" t="str">
        <f t="shared" si="21"/>
        <v>Auxiliar4</v>
      </c>
      <c r="B112" s="562"/>
      <c r="C112" s="562"/>
      <c r="D112" s="562" t="str">
        <f t="shared" si="22"/>
        <v>AA23</v>
      </c>
      <c r="E112" s="562" t="str">
        <f t="shared" si="23"/>
        <v>Get Data</v>
      </c>
      <c r="F112" s="562" t="str">
        <f>'2nd_Post_Processing'!$L$6</f>
        <v>Line</v>
      </c>
      <c r="G112" s="562"/>
      <c r="H112" s="562"/>
      <c r="I112" s="562" t="str">
        <f t="shared" si="24"/>
        <v>Attachmenttype[23]</v>
      </c>
      <c r="J112" s="730">
        <f t="shared" si="16"/>
        <v>25</v>
      </c>
      <c r="K112" s="730" t="str">
        <f t="shared" si="17"/>
        <v/>
      </c>
      <c r="L112" s="730" t="str">
        <f t="shared" si="18"/>
        <v/>
      </c>
      <c r="M112" s="730" t="str">
        <f t="shared" si="19"/>
        <v/>
      </c>
      <c r="N112" s="731">
        <f t="shared" si="20"/>
        <v>25</v>
      </c>
    </row>
    <row r="113" spans="1:14" ht="13.5" customHeight="1" x14ac:dyDescent="0.2">
      <c r="A113" s="562" t="str">
        <f t="shared" si="21"/>
        <v>Auxiliar4</v>
      </c>
      <c r="B113" s="562"/>
      <c r="C113" s="562"/>
      <c r="D113" s="562" t="str">
        <f t="shared" si="22"/>
        <v>AA24</v>
      </c>
      <c r="E113" s="562" t="str">
        <f t="shared" si="23"/>
        <v>Get Data</v>
      </c>
      <c r="F113" s="562" t="str">
        <f>'2nd_Post_Processing'!$L$6</f>
        <v>Line</v>
      </c>
      <c r="G113" s="562"/>
      <c r="H113" s="562"/>
      <c r="I113" s="562" t="str">
        <f t="shared" si="24"/>
        <v>Attachmenttype[24]</v>
      </c>
      <c r="J113" s="730">
        <f t="shared" si="16"/>
        <v>26</v>
      </c>
      <c r="K113" s="730" t="str">
        <f t="shared" si="17"/>
        <v/>
      </c>
      <c r="L113" s="730" t="str">
        <f t="shared" si="18"/>
        <v/>
      </c>
      <c r="M113" s="730" t="str">
        <f t="shared" si="19"/>
        <v/>
      </c>
      <c r="N113" s="731">
        <f t="shared" si="20"/>
        <v>26</v>
      </c>
    </row>
    <row r="114" spans="1:14" ht="13.5" customHeight="1" x14ac:dyDescent="0.2">
      <c r="A114" s="562" t="str">
        <f t="shared" si="21"/>
        <v>Auxiliar4</v>
      </c>
      <c r="B114" s="562"/>
      <c r="C114" s="562"/>
      <c r="D114" s="562" t="str">
        <f t="shared" si="22"/>
        <v>AA25</v>
      </c>
      <c r="E114" s="562" t="str">
        <f t="shared" si="23"/>
        <v>Get Data</v>
      </c>
      <c r="F114" s="562" t="str">
        <f>'2nd_Post_Processing'!$L$6</f>
        <v>Line</v>
      </c>
      <c r="G114" s="562"/>
      <c r="H114" s="562"/>
      <c r="I114" s="562" t="str">
        <f t="shared" si="24"/>
        <v>Attachmenttype[25]</v>
      </c>
      <c r="J114" s="730">
        <f t="shared" si="16"/>
        <v>27</v>
      </c>
      <c r="K114" s="730" t="str">
        <f t="shared" si="17"/>
        <v/>
      </c>
      <c r="L114" s="730" t="str">
        <f t="shared" si="18"/>
        <v/>
      </c>
      <c r="M114" s="730" t="str">
        <f t="shared" si="19"/>
        <v/>
      </c>
      <c r="N114" s="731">
        <f t="shared" si="20"/>
        <v>27</v>
      </c>
    </row>
    <row r="115" spans="1:14" ht="13.5" customHeight="1" x14ac:dyDescent="0.2">
      <c r="A115" s="562" t="str">
        <f t="shared" si="21"/>
        <v>Auxiliar4</v>
      </c>
      <c r="B115" s="562"/>
      <c r="C115" s="562"/>
      <c r="D115" s="562" t="str">
        <f t="shared" si="22"/>
        <v>AA26</v>
      </c>
      <c r="E115" s="562" t="str">
        <f t="shared" si="23"/>
        <v>Get Data</v>
      </c>
      <c r="F115" s="562" t="str">
        <f>'2nd_Post_Processing'!$L$6</f>
        <v>Line</v>
      </c>
      <c r="G115" s="562"/>
      <c r="H115" s="562"/>
      <c r="I115" s="562" t="str">
        <f t="shared" si="24"/>
        <v>Attachmenttype[26]</v>
      </c>
      <c r="J115" s="730">
        <f t="shared" si="16"/>
        <v>28</v>
      </c>
      <c r="K115" s="730" t="str">
        <f t="shared" si="17"/>
        <v/>
      </c>
      <c r="L115" s="730" t="str">
        <f t="shared" si="18"/>
        <v/>
      </c>
      <c r="M115" s="730" t="str">
        <f t="shared" si="19"/>
        <v/>
      </c>
      <c r="N115" s="731">
        <f t="shared" si="20"/>
        <v>28</v>
      </c>
    </row>
    <row r="116" spans="1:14" ht="13.5" customHeight="1" x14ac:dyDescent="0.2">
      <c r="A116" s="562" t="str">
        <f t="shared" si="21"/>
        <v>Auxiliar4</v>
      </c>
      <c r="B116" s="562"/>
      <c r="C116" s="562"/>
      <c r="D116" s="562" t="str">
        <f t="shared" si="22"/>
        <v>AA27</v>
      </c>
      <c r="E116" s="562" t="str">
        <f t="shared" si="23"/>
        <v>Get Data</v>
      </c>
      <c r="F116" s="562" t="str">
        <f>'2nd_Post_Processing'!$L$6</f>
        <v>Line</v>
      </c>
      <c r="G116" s="562"/>
      <c r="H116" s="562"/>
      <c r="I116" s="562" t="str">
        <f t="shared" si="24"/>
        <v>Attachmenttype[27]</v>
      </c>
      <c r="J116" s="730">
        <f t="shared" si="16"/>
        <v>29</v>
      </c>
      <c r="K116" s="730" t="str">
        <f t="shared" si="17"/>
        <v/>
      </c>
      <c r="L116" s="730" t="str">
        <f t="shared" si="18"/>
        <v/>
      </c>
      <c r="M116" s="730" t="str">
        <f t="shared" si="19"/>
        <v/>
      </c>
      <c r="N116" s="731">
        <f t="shared" si="20"/>
        <v>29</v>
      </c>
    </row>
    <row r="117" spans="1:14" ht="13.5" customHeight="1" x14ac:dyDescent="0.2">
      <c r="A117" s="562" t="str">
        <f t="shared" si="21"/>
        <v>Auxiliar4</v>
      </c>
      <c r="B117" s="562"/>
      <c r="C117" s="562"/>
      <c r="D117" s="562" t="str">
        <f t="shared" si="22"/>
        <v>AA28</v>
      </c>
      <c r="E117" s="562" t="str">
        <f t="shared" si="23"/>
        <v>Get Data</v>
      </c>
      <c r="F117" s="562" t="str">
        <f>'2nd_Post_Processing'!$L$6</f>
        <v>Line</v>
      </c>
      <c r="G117" s="562"/>
      <c r="H117" s="562"/>
      <c r="I117" s="562" t="str">
        <f t="shared" si="24"/>
        <v>Attachmenttype[28]</v>
      </c>
      <c r="J117" s="730">
        <f t="shared" si="16"/>
        <v>30</v>
      </c>
      <c r="K117" s="730" t="str">
        <f t="shared" si="17"/>
        <v/>
      </c>
      <c r="L117" s="730" t="str">
        <f t="shared" si="18"/>
        <v/>
      </c>
      <c r="M117" s="730" t="str">
        <f t="shared" si="19"/>
        <v/>
      </c>
      <c r="N117" s="731">
        <f t="shared" si="20"/>
        <v>30</v>
      </c>
    </row>
    <row r="118" spans="1:14" ht="13.5" customHeight="1" x14ac:dyDescent="0.2">
      <c r="A118" s="562" t="str">
        <f t="shared" si="21"/>
        <v>Auxiliar4</v>
      </c>
      <c r="B118" s="562"/>
      <c r="C118" s="562"/>
      <c r="D118" s="562" t="str">
        <f t="shared" si="22"/>
        <v>AA29</v>
      </c>
      <c r="E118" s="562" t="str">
        <f t="shared" si="23"/>
        <v>Get Data</v>
      </c>
      <c r="F118" s="562" t="str">
        <f>'2nd_Post_Processing'!$L$6</f>
        <v>Line</v>
      </c>
      <c r="G118" s="562"/>
      <c r="H118" s="562"/>
      <c r="I118" s="562" t="str">
        <f t="shared" si="24"/>
        <v>Attachmenttype[29]</v>
      </c>
      <c r="J118" s="730">
        <f t="shared" si="16"/>
        <v>31</v>
      </c>
      <c r="K118" s="730" t="str">
        <f t="shared" si="17"/>
        <v/>
      </c>
      <c r="L118" s="730" t="str">
        <f t="shared" si="18"/>
        <v/>
      </c>
      <c r="M118" s="730" t="str">
        <f t="shared" si="19"/>
        <v/>
      </c>
      <c r="N118" s="731">
        <f t="shared" si="20"/>
        <v>31</v>
      </c>
    </row>
    <row r="119" spans="1:14" ht="13.5" customHeight="1" x14ac:dyDescent="0.2">
      <c r="A119" s="562" t="str">
        <f t="shared" si="21"/>
        <v>Auxiliar4</v>
      </c>
      <c r="B119" s="562"/>
      <c r="C119" s="562"/>
      <c r="D119" s="562" t="str">
        <f t="shared" si="22"/>
        <v>AA30</v>
      </c>
      <c r="E119" s="562" t="str">
        <f t="shared" si="23"/>
        <v>Get Data</v>
      </c>
      <c r="F119" s="562" t="str">
        <f>'2nd_Post_Processing'!$L$6</f>
        <v>Line</v>
      </c>
      <c r="G119" s="562"/>
      <c r="H119" s="562"/>
      <c r="I119" s="562" t="str">
        <f t="shared" si="24"/>
        <v>Attachmenttype[30]</v>
      </c>
      <c r="J119" s="730">
        <f t="shared" si="16"/>
        <v>32</v>
      </c>
      <c r="K119" s="730" t="str">
        <f t="shared" si="17"/>
        <v/>
      </c>
      <c r="L119" s="730" t="str">
        <f t="shared" si="18"/>
        <v/>
      </c>
      <c r="M119" s="730" t="str">
        <f t="shared" si="19"/>
        <v/>
      </c>
      <c r="N119" s="731">
        <f t="shared" si="20"/>
        <v>32</v>
      </c>
    </row>
    <row r="120" spans="1:14" ht="13.5" customHeight="1" x14ac:dyDescent="0.2">
      <c r="A120" s="562" t="str">
        <f t="shared" si="21"/>
        <v>Auxiliar4</v>
      </c>
      <c r="B120" s="562"/>
      <c r="C120" s="562"/>
      <c r="D120" s="562" t="str">
        <f t="shared" si="22"/>
        <v>AA31</v>
      </c>
      <c r="E120" s="562" t="str">
        <f t="shared" si="23"/>
        <v>Get Data</v>
      </c>
      <c r="F120" s="562" t="str">
        <f>'2nd_Post_Processing'!$L$6</f>
        <v>Line</v>
      </c>
      <c r="G120" s="562"/>
      <c r="H120" s="562"/>
      <c r="I120" s="562" t="str">
        <f t="shared" si="24"/>
        <v>Attachmenttype[31]</v>
      </c>
      <c r="J120" s="730">
        <f t="shared" si="16"/>
        <v>33</v>
      </c>
      <c r="K120" s="730" t="str">
        <f t="shared" si="17"/>
        <v/>
      </c>
      <c r="L120" s="730" t="str">
        <f t="shared" si="18"/>
        <v/>
      </c>
      <c r="M120" s="730" t="str">
        <f t="shared" si="19"/>
        <v/>
      </c>
      <c r="N120" s="731">
        <f t="shared" si="20"/>
        <v>33</v>
      </c>
    </row>
    <row r="121" spans="1:14" ht="13.5" customHeight="1" x14ac:dyDescent="0.2">
      <c r="A121" s="562" t="str">
        <f t="shared" si="21"/>
        <v>Auxiliar4</v>
      </c>
      <c r="B121" s="562"/>
      <c r="C121" s="562"/>
      <c r="D121" s="562" t="str">
        <f t="shared" si="22"/>
        <v>AA32</v>
      </c>
      <c r="E121" s="562" t="str">
        <f t="shared" si="23"/>
        <v>Get Data</v>
      </c>
      <c r="F121" s="562" t="str">
        <f>'2nd_Post_Processing'!$L$6</f>
        <v>Line</v>
      </c>
      <c r="G121" s="562"/>
      <c r="H121" s="562"/>
      <c r="I121" s="562" t="str">
        <f t="shared" si="24"/>
        <v>Attachmenttype[32]</v>
      </c>
      <c r="J121" s="730">
        <f t="shared" si="16"/>
        <v>34</v>
      </c>
      <c r="K121" s="730" t="str">
        <f t="shared" si="17"/>
        <v/>
      </c>
      <c r="L121" s="730" t="str">
        <f t="shared" si="18"/>
        <v/>
      </c>
      <c r="M121" s="730" t="str">
        <f t="shared" si="19"/>
        <v/>
      </c>
      <c r="N121" s="731">
        <f t="shared" si="20"/>
        <v>34</v>
      </c>
    </row>
    <row r="122" spans="1:14" ht="13.5" customHeight="1" x14ac:dyDescent="0.2">
      <c r="A122" s="562" t="str">
        <f t="shared" si="21"/>
        <v>Auxiliar4</v>
      </c>
      <c r="B122" s="562"/>
      <c r="C122" s="562"/>
      <c r="D122" s="562" t="str">
        <f t="shared" si="22"/>
        <v>AA33</v>
      </c>
      <c r="E122" s="562" t="str">
        <f t="shared" si="23"/>
        <v>Get Data</v>
      </c>
      <c r="F122" s="562" t="str">
        <f>'2nd_Post_Processing'!$L$6</f>
        <v>Line</v>
      </c>
      <c r="G122" s="562"/>
      <c r="H122" s="562"/>
      <c r="I122" s="562" t="str">
        <f t="shared" si="24"/>
        <v>Attachmenttype[33]</v>
      </c>
      <c r="J122" s="730">
        <f t="shared" si="16"/>
        <v>35</v>
      </c>
      <c r="K122" s="730" t="str">
        <f t="shared" si="17"/>
        <v/>
      </c>
      <c r="L122" s="730" t="str">
        <f t="shared" si="18"/>
        <v/>
      </c>
      <c r="M122" s="730" t="str">
        <f t="shared" si="19"/>
        <v/>
      </c>
      <c r="N122" s="731">
        <f t="shared" si="20"/>
        <v>35</v>
      </c>
    </row>
    <row r="123" spans="1:14" ht="13.5" customHeight="1" x14ac:dyDescent="0.2">
      <c r="A123" s="562" t="str">
        <f t="shared" si="21"/>
        <v>Auxiliar4</v>
      </c>
      <c r="B123" s="562"/>
      <c r="C123" s="562"/>
      <c r="D123" s="562" t="str">
        <f t="shared" si="22"/>
        <v>AA34</v>
      </c>
      <c r="E123" s="562" t="str">
        <f t="shared" si="23"/>
        <v>Get Data</v>
      </c>
      <c r="F123" s="562" t="str">
        <f>'2nd_Post_Processing'!$L$6</f>
        <v>Line</v>
      </c>
      <c r="G123" s="562"/>
      <c r="H123" s="562"/>
      <c r="I123" s="562" t="str">
        <f t="shared" si="24"/>
        <v>Attachmenttype[34]</v>
      </c>
      <c r="J123" s="730">
        <f t="shared" si="16"/>
        <v>36</v>
      </c>
      <c r="K123" s="730" t="str">
        <f t="shared" si="17"/>
        <v/>
      </c>
      <c r="L123" s="730" t="str">
        <f t="shared" si="18"/>
        <v/>
      </c>
      <c r="M123" s="730" t="str">
        <f t="shared" si="19"/>
        <v/>
      </c>
      <c r="N123" s="731">
        <f t="shared" si="20"/>
        <v>36</v>
      </c>
    </row>
    <row r="124" spans="1:14" ht="13.5" customHeight="1" x14ac:dyDescent="0.2">
      <c r="A124" s="562" t="str">
        <f t="shared" si="21"/>
        <v>Auxiliar4</v>
      </c>
      <c r="B124" s="562"/>
      <c r="C124" s="562"/>
      <c r="D124" s="562" t="str">
        <f t="shared" si="22"/>
        <v>AA35</v>
      </c>
      <c r="E124" s="562" t="str">
        <f t="shared" si="23"/>
        <v>Get Data</v>
      </c>
      <c r="F124" s="562" t="str">
        <f>'2nd_Post_Processing'!$L$6</f>
        <v>Line</v>
      </c>
      <c r="G124" s="562"/>
      <c r="H124" s="562"/>
      <c r="I124" s="562" t="str">
        <f t="shared" si="24"/>
        <v>Attachmenttype[35]</v>
      </c>
      <c r="J124" s="730">
        <f t="shared" si="16"/>
        <v>37</v>
      </c>
      <c r="K124" s="730" t="str">
        <f t="shared" si="17"/>
        <v/>
      </c>
      <c r="L124" s="730" t="str">
        <f t="shared" si="18"/>
        <v/>
      </c>
      <c r="M124" s="730" t="str">
        <f t="shared" si="19"/>
        <v/>
      </c>
      <c r="N124" s="731">
        <f t="shared" si="20"/>
        <v>37</v>
      </c>
    </row>
    <row r="125" spans="1:14" ht="13.5" customHeight="1" x14ac:dyDescent="0.2">
      <c r="A125" s="562" t="str">
        <f t="shared" si="21"/>
        <v>Auxiliar4</v>
      </c>
      <c r="B125" s="562"/>
      <c r="C125" s="562"/>
      <c r="D125" s="562" t="str">
        <f t="shared" si="22"/>
        <v>AA36</v>
      </c>
      <c r="E125" s="562" t="str">
        <f t="shared" si="23"/>
        <v>Get Data</v>
      </c>
      <c r="F125" s="562" t="str">
        <f>'2nd_Post_Processing'!$L$6</f>
        <v>Line</v>
      </c>
      <c r="G125" s="562"/>
      <c r="H125" s="562"/>
      <c r="I125" s="562" t="str">
        <f t="shared" si="24"/>
        <v>Attachmenttype[36]</v>
      </c>
      <c r="J125" s="730">
        <f t="shared" si="16"/>
        <v>38</v>
      </c>
      <c r="K125" s="730" t="str">
        <f t="shared" si="17"/>
        <v/>
      </c>
      <c r="L125" s="730" t="str">
        <f t="shared" si="18"/>
        <v/>
      </c>
      <c r="M125" s="730" t="str">
        <f t="shared" si="19"/>
        <v/>
      </c>
      <c r="N125" s="731">
        <f t="shared" si="20"/>
        <v>38</v>
      </c>
    </row>
    <row r="126" spans="1:14" ht="13.5" customHeight="1" x14ac:dyDescent="0.2">
      <c r="A126" s="562" t="str">
        <f t="shared" si="21"/>
        <v>Auxiliar4</v>
      </c>
      <c r="B126" s="562"/>
      <c r="C126" s="562"/>
      <c r="D126" s="562" t="str">
        <f t="shared" si="22"/>
        <v>AA37</v>
      </c>
      <c r="E126" s="562" t="str">
        <f t="shared" si="23"/>
        <v>Get Data</v>
      </c>
      <c r="F126" s="562" t="str">
        <f>'2nd_Post_Processing'!$L$6</f>
        <v>Line</v>
      </c>
      <c r="G126" s="562"/>
      <c r="H126" s="562"/>
      <c r="I126" s="562" t="str">
        <f t="shared" si="24"/>
        <v>Attachmenttype[37]</v>
      </c>
      <c r="J126" s="730">
        <f t="shared" si="16"/>
        <v>39</v>
      </c>
      <c r="K126" s="730" t="str">
        <f t="shared" si="17"/>
        <v/>
      </c>
      <c r="L126" s="730" t="str">
        <f t="shared" si="18"/>
        <v/>
      </c>
      <c r="M126" s="730" t="str">
        <f t="shared" si="19"/>
        <v/>
      </c>
      <c r="N126" s="731">
        <f t="shared" si="20"/>
        <v>39</v>
      </c>
    </row>
    <row r="127" spans="1:14" ht="13.5" customHeight="1" x14ac:dyDescent="0.2">
      <c r="A127" s="562" t="str">
        <f t="shared" si="21"/>
        <v>Auxiliar4</v>
      </c>
      <c r="B127" s="562"/>
      <c r="C127" s="562"/>
      <c r="D127" s="562" t="str">
        <f t="shared" si="22"/>
        <v>AA38</v>
      </c>
      <c r="E127" s="562" t="str">
        <f t="shared" si="23"/>
        <v>Get Data</v>
      </c>
      <c r="F127" s="562" t="str">
        <f>'2nd_Post_Processing'!$L$6</f>
        <v>Line</v>
      </c>
      <c r="G127" s="562"/>
      <c r="H127" s="562"/>
      <c r="I127" s="562" t="str">
        <f t="shared" si="24"/>
        <v>Attachmenttype[38]</v>
      </c>
      <c r="J127" s="730">
        <f t="shared" si="16"/>
        <v>40</v>
      </c>
      <c r="K127" s="730" t="str">
        <f t="shared" si="17"/>
        <v/>
      </c>
      <c r="L127" s="730" t="str">
        <f t="shared" si="18"/>
        <v/>
      </c>
      <c r="M127" s="730" t="str">
        <f t="shared" si="19"/>
        <v/>
      </c>
      <c r="N127" s="731">
        <f t="shared" si="20"/>
        <v>40</v>
      </c>
    </row>
    <row r="128" spans="1:14" ht="13.5" customHeight="1" x14ac:dyDescent="0.2">
      <c r="A128" s="562" t="str">
        <f t="shared" si="21"/>
        <v>Auxiliar4</v>
      </c>
      <c r="B128" s="562"/>
      <c r="C128" s="562"/>
      <c r="D128" s="562" t="str">
        <f t="shared" si="22"/>
        <v>AA39</v>
      </c>
      <c r="E128" s="562" t="str">
        <f t="shared" si="23"/>
        <v>Get Data</v>
      </c>
      <c r="F128" s="562" t="str">
        <f>'2nd_Post_Processing'!$L$6</f>
        <v>Line</v>
      </c>
      <c r="G128" s="562"/>
      <c r="H128" s="562"/>
      <c r="I128" s="562" t="str">
        <f t="shared" si="24"/>
        <v>Attachmenttype[39]</v>
      </c>
      <c r="J128" s="730">
        <f t="shared" si="16"/>
        <v>41</v>
      </c>
      <c r="K128" s="730" t="str">
        <f t="shared" si="17"/>
        <v/>
      </c>
      <c r="L128" s="730" t="str">
        <f t="shared" si="18"/>
        <v/>
      </c>
      <c r="M128" s="730" t="str">
        <f t="shared" si="19"/>
        <v/>
      </c>
      <c r="N128" s="731">
        <f t="shared" si="20"/>
        <v>41</v>
      </c>
    </row>
    <row r="129" spans="1:14" ht="13.5" customHeight="1" x14ac:dyDescent="0.2">
      <c r="A129" s="562" t="str">
        <f t="shared" si="21"/>
        <v>Auxiliar4</v>
      </c>
      <c r="B129" s="562"/>
      <c r="C129" s="562"/>
      <c r="D129" s="562" t="str">
        <f t="shared" si="22"/>
        <v>AA40</v>
      </c>
      <c r="E129" s="562" t="str">
        <f t="shared" si="23"/>
        <v>Get Data</v>
      </c>
      <c r="F129" s="562" t="str">
        <f>'2nd_Post_Processing'!$L$6</f>
        <v>Line</v>
      </c>
      <c r="G129" s="562"/>
      <c r="H129" s="562"/>
      <c r="I129" s="562" t="str">
        <f t="shared" si="24"/>
        <v>Attachmenttype[40]</v>
      </c>
      <c r="J129" s="730">
        <f t="shared" si="16"/>
        <v>42</v>
      </c>
      <c r="K129" s="730" t="str">
        <f t="shared" si="17"/>
        <v/>
      </c>
      <c r="L129" s="730" t="str">
        <f t="shared" si="18"/>
        <v/>
      </c>
      <c r="M129" s="730" t="str">
        <f t="shared" si="19"/>
        <v/>
      </c>
      <c r="N129" s="731">
        <f t="shared" si="20"/>
        <v>42</v>
      </c>
    </row>
    <row r="130" spans="1:14" ht="13.5" customHeight="1" x14ac:dyDescent="0.2">
      <c r="A130" s="562" t="str">
        <f t="shared" si="21"/>
        <v>Auxiliar4</v>
      </c>
      <c r="B130" s="562"/>
      <c r="C130" s="562"/>
      <c r="D130" s="562" t="str">
        <f t="shared" si="22"/>
        <v>AA41</v>
      </c>
      <c r="E130" s="562" t="str">
        <f t="shared" si="23"/>
        <v>Get Data</v>
      </c>
      <c r="F130" s="562" t="str">
        <f>'2nd_Post_Processing'!$L$6</f>
        <v>Line</v>
      </c>
      <c r="G130" s="562"/>
      <c r="H130" s="562"/>
      <c r="I130" s="562" t="str">
        <f t="shared" si="24"/>
        <v>Attachmenttype[41]</v>
      </c>
      <c r="J130" s="730">
        <f t="shared" si="16"/>
        <v>43</v>
      </c>
      <c r="K130" s="730" t="str">
        <f t="shared" si="17"/>
        <v/>
      </c>
      <c r="L130" s="730" t="str">
        <f t="shared" si="18"/>
        <v/>
      </c>
      <c r="M130" s="730" t="str">
        <f t="shared" si="19"/>
        <v/>
      </c>
      <c r="N130" s="731">
        <f t="shared" si="20"/>
        <v>43</v>
      </c>
    </row>
    <row r="131" spans="1:14" ht="13.5" customHeight="1" x14ac:dyDescent="0.2">
      <c r="A131" s="562" t="str">
        <f t="shared" si="21"/>
        <v>Auxiliar4</v>
      </c>
      <c r="B131" s="562"/>
      <c r="C131" s="562"/>
      <c r="D131" s="562" t="str">
        <f t="shared" si="22"/>
        <v>AA42</v>
      </c>
      <c r="E131" s="562" t="str">
        <f t="shared" si="23"/>
        <v>Get Data</v>
      </c>
      <c r="F131" s="562" t="str">
        <f>'2nd_Post_Processing'!$L$6</f>
        <v>Line</v>
      </c>
      <c r="G131" s="562"/>
      <c r="H131" s="562"/>
      <c r="I131" s="562" t="str">
        <f t="shared" si="24"/>
        <v>Attachmenttype[42]</v>
      </c>
      <c r="J131" s="730">
        <f t="shared" si="16"/>
        <v>44</v>
      </c>
      <c r="K131" s="730" t="str">
        <f t="shared" si="17"/>
        <v/>
      </c>
      <c r="L131" s="730" t="str">
        <f t="shared" si="18"/>
        <v/>
      </c>
      <c r="M131" s="730" t="str">
        <f t="shared" si="19"/>
        <v/>
      </c>
      <c r="N131" s="731">
        <f t="shared" si="20"/>
        <v>44</v>
      </c>
    </row>
    <row r="132" spans="1:14" ht="13.5" customHeight="1" x14ac:dyDescent="0.2">
      <c r="A132" s="562" t="str">
        <f t="shared" si="21"/>
        <v>Auxiliar4</v>
      </c>
      <c r="B132" s="562"/>
      <c r="C132" s="562"/>
      <c r="D132" s="562" t="str">
        <f t="shared" si="22"/>
        <v>AA43</v>
      </c>
      <c r="E132" s="562" t="str">
        <f t="shared" si="23"/>
        <v>Get Data</v>
      </c>
      <c r="F132" s="562" t="str">
        <f>'2nd_Post_Processing'!$L$6</f>
        <v>Line</v>
      </c>
      <c r="G132" s="562"/>
      <c r="H132" s="562"/>
      <c r="I132" s="562" t="str">
        <f t="shared" si="24"/>
        <v>Attachmenttype[43]</v>
      </c>
      <c r="J132" s="730">
        <f t="shared" si="16"/>
        <v>45</v>
      </c>
      <c r="K132" s="730" t="str">
        <f t="shared" si="17"/>
        <v/>
      </c>
      <c r="L132" s="730" t="str">
        <f t="shared" si="18"/>
        <v/>
      </c>
      <c r="M132" s="730" t="str">
        <f t="shared" si="19"/>
        <v/>
      </c>
      <c r="N132" s="731">
        <f t="shared" si="20"/>
        <v>45</v>
      </c>
    </row>
    <row r="133" spans="1:14" ht="13.5" customHeight="1" x14ac:dyDescent="0.2">
      <c r="A133" s="562" t="str">
        <f t="shared" si="21"/>
        <v>Auxiliar4</v>
      </c>
      <c r="B133" s="562"/>
      <c r="C133" s="562"/>
      <c r="D133" s="562" t="str">
        <f t="shared" si="22"/>
        <v>AA44</v>
      </c>
      <c r="E133" s="562" t="str">
        <f t="shared" si="23"/>
        <v>Get Data</v>
      </c>
      <c r="F133" s="562" t="str">
        <f>'2nd_Post_Processing'!$L$6</f>
        <v>Line</v>
      </c>
      <c r="G133" s="562"/>
      <c r="H133" s="562"/>
      <c r="I133" s="562" t="str">
        <f t="shared" si="24"/>
        <v>Attachmenttype[44]</v>
      </c>
      <c r="J133" s="730">
        <f t="shared" si="16"/>
        <v>46</v>
      </c>
      <c r="K133" s="730" t="str">
        <f t="shared" si="17"/>
        <v/>
      </c>
      <c r="L133" s="730" t="str">
        <f t="shared" si="18"/>
        <v/>
      </c>
      <c r="M133" s="730" t="str">
        <f t="shared" si="19"/>
        <v/>
      </c>
      <c r="N133" s="731">
        <f t="shared" si="20"/>
        <v>46</v>
      </c>
    </row>
    <row r="134" spans="1:14" ht="13.5" customHeight="1" x14ac:dyDescent="0.2">
      <c r="A134" s="562" t="str">
        <f t="shared" si="21"/>
        <v>Auxiliar4</v>
      </c>
      <c r="B134" s="562"/>
      <c r="C134" s="562"/>
      <c r="D134" s="562" t="str">
        <f t="shared" si="22"/>
        <v>AA45</v>
      </c>
      <c r="E134" s="562" t="str">
        <f t="shared" si="23"/>
        <v>Get Data</v>
      </c>
      <c r="F134" s="562" t="str">
        <f>'2nd_Post_Processing'!$L$6</f>
        <v>Line</v>
      </c>
      <c r="G134" s="562"/>
      <c r="H134" s="562"/>
      <c r="I134" s="562" t="str">
        <f t="shared" si="24"/>
        <v>Attachmenttype[45]</v>
      </c>
      <c r="J134" s="730">
        <f t="shared" si="16"/>
        <v>47</v>
      </c>
      <c r="K134" s="730" t="str">
        <f t="shared" si="17"/>
        <v/>
      </c>
      <c r="L134" s="730" t="str">
        <f t="shared" si="18"/>
        <v/>
      </c>
      <c r="M134" s="730" t="str">
        <f t="shared" si="19"/>
        <v/>
      </c>
      <c r="N134" s="731">
        <f t="shared" si="20"/>
        <v>47</v>
      </c>
    </row>
    <row r="135" spans="1:14" ht="13.5" customHeight="1" x14ac:dyDescent="0.2">
      <c r="A135" s="562" t="str">
        <f t="shared" si="21"/>
        <v>Auxiliar4</v>
      </c>
      <c r="B135" s="562"/>
      <c r="C135" s="562"/>
      <c r="D135" s="562" t="str">
        <f t="shared" si="22"/>
        <v>AA46</v>
      </c>
      <c r="E135" s="562" t="str">
        <f t="shared" si="23"/>
        <v>Get Data</v>
      </c>
      <c r="F135" s="562" t="str">
        <f>'2nd_Post_Processing'!$L$6</f>
        <v>Line</v>
      </c>
      <c r="G135" s="562"/>
      <c r="H135" s="562"/>
      <c r="I135" s="562" t="str">
        <f t="shared" si="24"/>
        <v>Attachmenttype[46]</v>
      </c>
      <c r="J135" s="730">
        <f t="shared" si="16"/>
        <v>48</v>
      </c>
      <c r="K135" s="730" t="str">
        <f t="shared" si="17"/>
        <v/>
      </c>
      <c r="L135" s="730" t="str">
        <f t="shared" si="18"/>
        <v/>
      </c>
      <c r="M135" s="730" t="str">
        <f t="shared" si="19"/>
        <v/>
      </c>
      <c r="N135" s="731">
        <f t="shared" si="20"/>
        <v>48</v>
      </c>
    </row>
    <row r="136" spans="1:14" ht="13.5" customHeight="1" x14ac:dyDescent="0.2">
      <c r="A136" s="562" t="str">
        <f t="shared" si="21"/>
        <v>Auxiliar4</v>
      </c>
      <c r="B136" s="562"/>
      <c r="C136" s="562"/>
      <c r="D136" s="562" t="str">
        <f t="shared" si="22"/>
        <v>AA47</v>
      </c>
      <c r="E136" s="562" t="str">
        <f t="shared" si="23"/>
        <v>Get Data</v>
      </c>
      <c r="F136" s="562" t="str">
        <f>'2nd_Post_Processing'!$L$6</f>
        <v>Line</v>
      </c>
      <c r="G136" s="562"/>
      <c r="H136" s="562"/>
      <c r="I136" s="562" t="str">
        <f t="shared" si="24"/>
        <v>Attachmenttype[47]</v>
      </c>
      <c r="J136" s="730">
        <f t="shared" si="16"/>
        <v>49</v>
      </c>
      <c r="K136" s="730" t="str">
        <f t="shared" si="17"/>
        <v/>
      </c>
      <c r="L136" s="730" t="str">
        <f t="shared" si="18"/>
        <v/>
      </c>
      <c r="M136" s="730" t="str">
        <f t="shared" si="19"/>
        <v/>
      </c>
      <c r="N136" s="731">
        <f t="shared" si="20"/>
        <v>49</v>
      </c>
    </row>
    <row r="137" spans="1:14" ht="13.5" customHeight="1" x14ac:dyDescent="0.2">
      <c r="A137" s="562" t="str">
        <f t="shared" si="21"/>
        <v>Auxiliar4</v>
      </c>
      <c r="B137" s="562"/>
      <c r="C137" s="562"/>
      <c r="D137" s="562" t="str">
        <f t="shared" si="22"/>
        <v>AA48</v>
      </c>
      <c r="E137" s="562" t="str">
        <f t="shared" si="23"/>
        <v>Get Data</v>
      </c>
      <c r="F137" s="562" t="str">
        <f>'2nd_Post_Processing'!$L$6</f>
        <v>Line</v>
      </c>
      <c r="G137" s="562"/>
      <c r="H137" s="562"/>
      <c r="I137" s="562" t="str">
        <f t="shared" si="24"/>
        <v>Attachmenttype[48]</v>
      </c>
      <c r="J137" s="730">
        <f t="shared" si="16"/>
        <v>50</v>
      </c>
      <c r="K137" s="730" t="str">
        <f t="shared" si="17"/>
        <v/>
      </c>
      <c r="L137" s="730" t="str">
        <f t="shared" si="18"/>
        <v/>
      </c>
      <c r="M137" s="730" t="str">
        <f t="shared" si="19"/>
        <v/>
      </c>
      <c r="N137" s="731">
        <f t="shared" si="20"/>
        <v>50</v>
      </c>
    </row>
    <row r="138" spans="1:14" ht="13.5" customHeight="1" x14ac:dyDescent="0.2">
      <c r="A138" s="562" t="str">
        <f t="shared" si="21"/>
        <v>Auxiliar4</v>
      </c>
      <c r="B138" s="562"/>
      <c r="C138" s="562"/>
      <c r="D138" s="562" t="str">
        <f t="shared" si="22"/>
        <v>AA49</v>
      </c>
      <c r="E138" s="562" t="str">
        <f t="shared" si="23"/>
        <v>Get Data</v>
      </c>
      <c r="F138" s="562" t="str">
        <f>'2nd_Post_Processing'!$L$6</f>
        <v>Line</v>
      </c>
      <c r="G138" s="562"/>
      <c r="H138" s="562"/>
      <c r="I138" s="562" t="str">
        <f t="shared" si="24"/>
        <v>Attachmenttype[49]</v>
      </c>
      <c r="J138" s="730">
        <f t="shared" si="16"/>
        <v>51</v>
      </c>
      <c r="K138" s="730" t="str">
        <f t="shared" si="17"/>
        <v/>
      </c>
      <c r="L138" s="730" t="str">
        <f t="shared" si="18"/>
        <v/>
      </c>
      <c r="M138" s="730" t="str">
        <f t="shared" si="19"/>
        <v/>
      </c>
      <c r="N138" s="731">
        <f t="shared" si="20"/>
        <v>51</v>
      </c>
    </row>
    <row r="139" spans="1:14" ht="13.5" customHeight="1" x14ac:dyDescent="0.2">
      <c r="A139" s="562" t="str">
        <f t="shared" si="21"/>
        <v>Auxiliar4</v>
      </c>
      <c r="B139" s="562"/>
      <c r="C139" s="562"/>
      <c r="D139" s="562" t="str">
        <f t="shared" si="22"/>
        <v>AA50</v>
      </c>
      <c r="E139" s="562" t="str">
        <f t="shared" si="23"/>
        <v>Get Data</v>
      </c>
      <c r="F139" s="562" t="str">
        <f>'2nd_Post_Processing'!$L$6</f>
        <v>Line</v>
      </c>
      <c r="G139" s="562"/>
      <c r="H139" s="562"/>
      <c r="I139" s="562" t="str">
        <f t="shared" si="24"/>
        <v>Attachmenttype[50]</v>
      </c>
      <c r="J139" s="730">
        <f t="shared" si="16"/>
        <v>52</v>
      </c>
      <c r="K139" s="730" t="str">
        <f t="shared" si="17"/>
        <v/>
      </c>
      <c r="L139" s="730" t="str">
        <f t="shared" si="18"/>
        <v/>
      </c>
      <c r="M139" s="730" t="str">
        <f t="shared" si="19"/>
        <v/>
      </c>
      <c r="N139" s="731">
        <f t="shared" si="20"/>
        <v>52</v>
      </c>
    </row>
    <row r="140" spans="1:14" ht="13.5" customHeight="1" x14ac:dyDescent="0.2">
      <c r="A140" s="562" t="str">
        <f t="shared" si="21"/>
        <v>Auxiliar4</v>
      </c>
      <c r="B140" s="562"/>
      <c r="C140" s="562"/>
      <c r="D140" s="562" t="str">
        <f t="shared" si="22"/>
        <v>AA51</v>
      </c>
      <c r="E140" s="562" t="str">
        <f t="shared" si="23"/>
        <v>Get Data</v>
      </c>
      <c r="F140" s="562" t="str">
        <f>'2nd_Post_Processing'!$L$6</f>
        <v>Line</v>
      </c>
      <c r="G140" s="562"/>
      <c r="H140" s="562"/>
      <c r="I140" s="562" t="str">
        <f t="shared" si="24"/>
        <v>Attachmenttype[51]</v>
      </c>
      <c r="J140" s="730">
        <f t="shared" si="16"/>
        <v>53</v>
      </c>
      <c r="K140" s="730" t="str">
        <f t="shared" si="17"/>
        <v/>
      </c>
      <c r="L140" s="730" t="str">
        <f t="shared" si="18"/>
        <v/>
      </c>
      <c r="M140" s="730" t="str">
        <f t="shared" si="19"/>
        <v/>
      </c>
      <c r="N140" s="731">
        <f t="shared" si="20"/>
        <v>53</v>
      </c>
    </row>
    <row r="141" spans="1:14" ht="13.5" customHeight="1" x14ac:dyDescent="0.2">
      <c r="A141" s="562" t="str">
        <f t="shared" si="21"/>
        <v>Auxiliar4</v>
      </c>
      <c r="B141" s="562"/>
      <c r="C141" s="562"/>
      <c r="D141" s="562" t="str">
        <f t="shared" si="22"/>
        <v>AA52</v>
      </c>
      <c r="E141" s="562" t="str">
        <f t="shared" si="23"/>
        <v>Get Data</v>
      </c>
      <c r="F141" s="562" t="str">
        <f>'2nd_Post_Processing'!$L$6</f>
        <v>Line</v>
      </c>
      <c r="G141" s="562"/>
      <c r="H141" s="562"/>
      <c r="I141" s="562" t="str">
        <f t="shared" si="24"/>
        <v>Attachmenttype[52]</v>
      </c>
      <c r="J141" s="730">
        <f t="shared" si="16"/>
        <v>54</v>
      </c>
      <c r="K141" s="730" t="str">
        <f t="shared" si="17"/>
        <v/>
      </c>
      <c r="L141" s="730" t="str">
        <f t="shared" si="18"/>
        <v/>
      </c>
      <c r="M141" s="730" t="str">
        <f t="shared" si="19"/>
        <v/>
      </c>
      <c r="N141" s="731">
        <f t="shared" si="20"/>
        <v>54</v>
      </c>
    </row>
    <row r="142" spans="1:14" ht="13.5" customHeight="1" x14ac:dyDescent="0.2">
      <c r="A142" s="562" t="str">
        <f t="shared" si="21"/>
        <v>Auxiliar4</v>
      </c>
      <c r="B142" s="562"/>
      <c r="C142" s="562"/>
      <c r="D142" s="562" t="str">
        <f t="shared" si="22"/>
        <v>AA53</v>
      </c>
      <c r="E142" s="562" t="str">
        <f t="shared" si="23"/>
        <v>Get Data</v>
      </c>
      <c r="F142" s="562" t="str">
        <f>'2nd_Post_Processing'!$L$6</f>
        <v>Line</v>
      </c>
      <c r="G142" s="562"/>
      <c r="H142" s="562"/>
      <c r="I142" s="562" t="str">
        <f t="shared" si="24"/>
        <v>Attachmenttype[53]</v>
      </c>
      <c r="J142" s="730">
        <f t="shared" si="16"/>
        <v>55</v>
      </c>
      <c r="K142" s="730" t="str">
        <f t="shared" si="17"/>
        <v/>
      </c>
      <c r="L142" s="730" t="str">
        <f t="shared" si="18"/>
        <v/>
      </c>
      <c r="M142" s="730" t="str">
        <f t="shared" si="19"/>
        <v/>
      </c>
      <c r="N142" s="731">
        <f t="shared" si="20"/>
        <v>55</v>
      </c>
    </row>
    <row r="143" spans="1:14" ht="13.5" customHeight="1" x14ac:dyDescent="0.2">
      <c r="A143" s="562" t="str">
        <f t="shared" si="21"/>
        <v>Auxiliar4</v>
      </c>
      <c r="B143" s="562"/>
      <c r="C143" s="562"/>
      <c r="D143" s="562" t="str">
        <f t="shared" si="22"/>
        <v>AA54</v>
      </c>
      <c r="E143" s="562" t="str">
        <f t="shared" si="23"/>
        <v>Get Data</v>
      </c>
      <c r="F143" s="562" t="str">
        <f>'2nd_Post_Processing'!$L$6</f>
        <v>Line</v>
      </c>
      <c r="G143" s="562"/>
      <c r="H143" s="562"/>
      <c r="I143" s="562" t="str">
        <f t="shared" si="24"/>
        <v>Attachmenttype[54]</v>
      </c>
      <c r="J143" s="730">
        <f t="shared" si="16"/>
        <v>56</v>
      </c>
      <c r="K143" s="730" t="str">
        <f t="shared" si="17"/>
        <v/>
      </c>
      <c r="L143" s="730" t="str">
        <f t="shared" si="18"/>
        <v/>
      </c>
      <c r="M143" s="730" t="str">
        <f t="shared" si="19"/>
        <v/>
      </c>
      <c r="N143" s="731">
        <f t="shared" si="20"/>
        <v>56</v>
      </c>
    </row>
    <row r="144" spans="1:14" ht="13.5" customHeight="1" x14ac:dyDescent="0.2">
      <c r="A144" s="562" t="str">
        <f t="shared" si="21"/>
        <v>Auxiliar4</v>
      </c>
      <c r="B144" s="562"/>
      <c r="C144" s="562"/>
      <c r="D144" s="562" t="str">
        <f t="shared" si="22"/>
        <v>AA55</v>
      </c>
      <c r="E144" s="562" t="str">
        <f t="shared" si="23"/>
        <v>Get Data</v>
      </c>
      <c r="F144" s="562" t="str">
        <f>'2nd_Post_Processing'!$L$6</f>
        <v>Line</v>
      </c>
      <c r="G144" s="562"/>
      <c r="H144" s="562"/>
      <c r="I144" s="562" t="str">
        <f t="shared" si="24"/>
        <v>Attachmenttype[55]</v>
      </c>
      <c r="J144" s="730">
        <f t="shared" si="16"/>
        <v>57</v>
      </c>
      <c r="K144" s="730" t="str">
        <f t="shared" si="17"/>
        <v/>
      </c>
      <c r="L144" s="730" t="str">
        <f t="shared" si="18"/>
        <v/>
      </c>
      <c r="M144" s="730" t="str">
        <f t="shared" si="19"/>
        <v/>
      </c>
      <c r="N144" s="731">
        <f t="shared" si="20"/>
        <v>57</v>
      </c>
    </row>
    <row r="145" spans="1:14" ht="13.5" customHeight="1" x14ac:dyDescent="0.2">
      <c r="A145" s="562" t="str">
        <f t="shared" si="21"/>
        <v>Auxiliar4</v>
      </c>
      <c r="B145" s="562"/>
      <c r="C145" s="562"/>
      <c r="D145" s="562" t="str">
        <f t="shared" si="22"/>
        <v>AA56</v>
      </c>
      <c r="E145" s="562" t="str">
        <f t="shared" si="23"/>
        <v>Get Data</v>
      </c>
      <c r="F145" s="562" t="str">
        <f>'2nd_Post_Processing'!$L$6</f>
        <v>Line</v>
      </c>
      <c r="G145" s="562"/>
      <c r="H145" s="562"/>
      <c r="I145" s="562" t="str">
        <f t="shared" si="24"/>
        <v>Attachmenttype[56]</v>
      </c>
      <c r="J145" s="730">
        <f t="shared" si="16"/>
        <v>58</v>
      </c>
      <c r="K145" s="730" t="str">
        <f t="shared" si="17"/>
        <v/>
      </c>
      <c r="L145" s="730" t="str">
        <f t="shared" si="18"/>
        <v/>
      </c>
      <c r="M145" s="730" t="str">
        <f t="shared" si="19"/>
        <v/>
      </c>
      <c r="N145" s="731">
        <f t="shared" si="20"/>
        <v>58</v>
      </c>
    </row>
    <row r="146" spans="1:14" ht="13.5" customHeight="1" x14ac:dyDescent="0.2">
      <c r="A146" s="562" t="str">
        <f t="shared" si="21"/>
        <v>Auxiliar4</v>
      </c>
      <c r="B146" s="562"/>
      <c r="C146" s="562"/>
      <c r="D146" s="562" t="str">
        <f t="shared" si="22"/>
        <v>AA57</v>
      </c>
      <c r="E146" s="562" t="str">
        <f t="shared" si="23"/>
        <v>Get Data</v>
      </c>
      <c r="F146" s="562" t="str">
        <f>'2nd_Post_Processing'!$L$6</f>
        <v>Line</v>
      </c>
      <c r="G146" s="562"/>
      <c r="H146" s="562"/>
      <c r="I146" s="562" t="str">
        <f t="shared" si="24"/>
        <v>Attachmenttype[57]</v>
      </c>
      <c r="J146" s="730">
        <f t="shared" si="16"/>
        <v>59</v>
      </c>
      <c r="K146" s="730" t="str">
        <f t="shared" si="17"/>
        <v/>
      </c>
      <c r="L146" s="730" t="str">
        <f t="shared" si="18"/>
        <v/>
      </c>
      <c r="M146" s="730" t="str">
        <f t="shared" si="19"/>
        <v/>
      </c>
      <c r="N146" s="731">
        <f t="shared" si="20"/>
        <v>59</v>
      </c>
    </row>
    <row r="147" spans="1:14" ht="13.5" customHeight="1" x14ac:dyDescent="0.2">
      <c r="A147" s="562" t="str">
        <f t="shared" si="21"/>
        <v>Auxiliar4</v>
      </c>
      <c r="B147" s="562"/>
      <c r="C147" s="562"/>
      <c r="D147" s="562" t="str">
        <f t="shared" si="22"/>
        <v>AA58</v>
      </c>
      <c r="E147" s="562" t="str">
        <f t="shared" si="23"/>
        <v>Get Data</v>
      </c>
      <c r="F147" s="562" t="str">
        <f>'2nd_Post_Processing'!$L$6</f>
        <v>Line</v>
      </c>
      <c r="G147" s="562"/>
      <c r="H147" s="562"/>
      <c r="I147" s="562" t="str">
        <f t="shared" si="24"/>
        <v>Attachmenttype[58]</v>
      </c>
      <c r="J147" s="730">
        <f t="shared" si="16"/>
        <v>60</v>
      </c>
      <c r="K147" s="730" t="str">
        <f t="shared" si="17"/>
        <v/>
      </c>
      <c r="L147" s="730" t="str">
        <f t="shared" si="18"/>
        <v/>
      </c>
      <c r="M147" s="730" t="str">
        <f t="shared" si="19"/>
        <v/>
      </c>
      <c r="N147" s="731">
        <f t="shared" si="20"/>
        <v>60</v>
      </c>
    </row>
    <row r="148" spans="1:14" ht="13.5" customHeight="1" x14ac:dyDescent="0.2">
      <c r="A148" s="562" t="str">
        <f t="shared" si="21"/>
        <v>Auxiliar4</v>
      </c>
      <c r="B148" s="562"/>
      <c r="C148" s="562"/>
      <c r="D148" s="562" t="str">
        <f t="shared" si="22"/>
        <v>AA59</v>
      </c>
      <c r="E148" s="562" t="str">
        <f t="shared" si="23"/>
        <v>Get Data</v>
      </c>
      <c r="F148" s="562" t="str">
        <f>'2nd_Post_Processing'!$L$6</f>
        <v>Line</v>
      </c>
      <c r="G148" s="562"/>
      <c r="H148" s="562"/>
      <c r="I148" s="562" t="str">
        <f t="shared" si="24"/>
        <v>Attachmenttype[59]</v>
      </c>
      <c r="J148" s="730">
        <f t="shared" si="16"/>
        <v>61</v>
      </c>
      <c r="K148" s="730" t="str">
        <f t="shared" si="17"/>
        <v/>
      </c>
      <c r="L148" s="730" t="str">
        <f t="shared" si="18"/>
        <v/>
      </c>
      <c r="M148" s="730" t="str">
        <f t="shared" si="19"/>
        <v/>
      </c>
      <c r="N148" s="731">
        <f t="shared" si="20"/>
        <v>61</v>
      </c>
    </row>
    <row r="149" spans="1:14" ht="13.5" customHeight="1" x14ac:dyDescent="0.2">
      <c r="A149" s="562" t="str">
        <f t="shared" si="21"/>
        <v>Auxiliar4</v>
      </c>
      <c r="B149" s="562"/>
      <c r="C149" s="562"/>
      <c r="D149" s="562" t="str">
        <f t="shared" si="22"/>
        <v>AA60</v>
      </c>
      <c r="E149" s="562" t="str">
        <f t="shared" si="23"/>
        <v>Get Data</v>
      </c>
      <c r="F149" s="562" t="str">
        <f>'2nd_Post_Processing'!$L$6</f>
        <v>Line</v>
      </c>
      <c r="G149" s="562"/>
      <c r="H149" s="562"/>
      <c r="I149" s="562" t="str">
        <f t="shared" si="24"/>
        <v>Attachmenttype[60]</v>
      </c>
      <c r="J149" s="730">
        <f t="shared" si="16"/>
        <v>62</v>
      </c>
      <c r="K149" s="730" t="str">
        <f t="shared" si="17"/>
        <v/>
      </c>
      <c r="L149" s="730" t="str">
        <f t="shared" si="18"/>
        <v/>
      </c>
      <c r="M149" s="730" t="str">
        <f t="shared" si="19"/>
        <v/>
      </c>
      <c r="N149" s="731">
        <f t="shared" si="20"/>
        <v>62</v>
      </c>
    </row>
    <row r="150" spans="1:14" ht="13.5" customHeight="1" x14ac:dyDescent="0.2">
      <c r="A150" s="562" t="str">
        <f t="shared" si="21"/>
        <v>Auxiliar4</v>
      </c>
      <c r="B150" s="562"/>
      <c r="C150" s="562"/>
      <c r="D150" s="562" t="str">
        <f t="shared" si="22"/>
        <v>AA61</v>
      </c>
      <c r="E150" s="562" t="str">
        <f t="shared" si="23"/>
        <v>Get Data</v>
      </c>
      <c r="F150" s="562" t="str">
        <f>'2nd_Post_Processing'!$L$6</f>
        <v>Line</v>
      </c>
      <c r="G150" s="562"/>
      <c r="H150" s="562"/>
      <c r="I150" s="562" t="str">
        <f t="shared" si="24"/>
        <v>Attachmenttype[61]</v>
      </c>
      <c r="J150" s="730">
        <f t="shared" si="16"/>
        <v>63</v>
      </c>
      <c r="K150" s="730" t="str">
        <f t="shared" si="17"/>
        <v/>
      </c>
      <c r="L150" s="730" t="str">
        <f t="shared" si="18"/>
        <v/>
      </c>
      <c r="M150" s="730" t="str">
        <f t="shared" si="19"/>
        <v/>
      </c>
      <c r="N150" s="731">
        <f t="shared" si="20"/>
        <v>63</v>
      </c>
    </row>
    <row r="151" spans="1:14" ht="13.5" customHeight="1" x14ac:dyDescent="0.2">
      <c r="A151" s="562" t="str">
        <f t="shared" si="21"/>
        <v>Auxiliar4</v>
      </c>
      <c r="B151" s="562"/>
      <c r="C151" s="562"/>
      <c r="D151" s="562" t="str">
        <f t="shared" si="22"/>
        <v>AA62</v>
      </c>
      <c r="E151" s="562" t="str">
        <f t="shared" si="23"/>
        <v>Get Data</v>
      </c>
      <c r="F151" s="562" t="str">
        <f>'2nd_Post_Processing'!$L$6</f>
        <v>Line</v>
      </c>
      <c r="G151" s="562"/>
      <c r="H151" s="562"/>
      <c r="I151" s="562" t="str">
        <f t="shared" si="24"/>
        <v>Attachmenttype[62]</v>
      </c>
      <c r="J151" s="730">
        <f t="shared" si="16"/>
        <v>64</v>
      </c>
      <c r="K151" s="730" t="str">
        <f t="shared" si="17"/>
        <v/>
      </c>
      <c r="L151" s="730" t="str">
        <f t="shared" si="18"/>
        <v/>
      </c>
      <c r="M151" s="730" t="str">
        <f t="shared" si="19"/>
        <v/>
      </c>
      <c r="N151" s="731">
        <f t="shared" si="20"/>
        <v>64</v>
      </c>
    </row>
    <row r="152" spans="1:14" ht="13.5" customHeight="1" x14ac:dyDescent="0.2">
      <c r="A152" s="562" t="str">
        <f t="shared" si="21"/>
        <v>Auxiliar4</v>
      </c>
      <c r="B152" s="562"/>
      <c r="C152" s="562"/>
      <c r="D152" s="562" t="str">
        <f t="shared" si="22"/>
        <v>AA63</v>
      </c>
      <c r="E152" s="562" t="str">
        <f t="shared" si="23"/>
        <v>Get Data</v>
      </c>
      <c r="F152" s="562" t="str">
        <f>'2nd_Post_Processing'!$L$6</f>
        <v>Line</v>
      </c>
      <c r="G152" s="562"/>
      <c r="H152" s="562"/>
      <c r="I152" s="562" t="str">
        <f t="shared" si="24"/>
        <v>Attachmenttype[63]</v>
      </c>
      <c r="J152" s="730">
        <f t="shared" si="16"/>
        <v>65</v>
      </c>
      <c r="K152" s="730" t="str">
        <f t="shared" ref="K152:K215" si="25">IF((J152="jj"),IFERROR(IF(K151="",J$26+1,IF(K151=J$76,"k",K151+1)),"kk"),"")</f>
        <v/>
      </c>
      <c r="L152" s="730" t="str">
        <f t="shared" ref="L152:L215" si="26">IF((K152="kk"),IFERROR(IF(L151="",2,IF(L151=J$26,"l",L151+1)),"ll"),"")</f>
        <v/>
      </c>
      <c r="M152" s="730" t="str">
        <f t="shared" ref="M152:M215" si="27">IF(OR(L152="l",L152="ll"),IFERROR(IF(M151="",2,IF(M151=J$26,"m",M151+1)),"mm"),"")</f>
        <v/>
      </c>
      <c r="N152" s="731">
        <f t="shared" si="20"/>
        <v>65</v>
      </c>
    </row>
    <row r="153" spans="1:14" ht="13.5" customHeight="1" x14ac:dyDescent="0.2">
      <c r="A153" s="562" t="str">
        <f t="shared" si="21"/>
        <v>Auxiliar4</v>
      </c>
      <c r="B153" s="562"/>
      <c r="C153" s="562"/>
      <c r="D153" s="562" t="str">
        <f t="shared" si="22"/>
        <v>AA64</v>
      </c>
      <c r="E153" s="562" t="str">
        <f t="shared" si="23"/>
        <v>Get Data</v>
      </c>
      <c r="F153" s="562" t="str">
        <f>'2nd_Post_Processing'!$L$6</f>
        <v>Line</v>
      </c>
      <c r="G153" s="562"/>
      <c r="H153" s="562"/>
      <c r="I153" s="562" t="str">
        <f t="shared" si="24"/>
        <v>Attachmenttype[64]</v>
      </c>
      <c r="J153" s="730">
        <f t="shared" ref="J153:J216" si="28">IFERROR(IF(J152="",J$26+1,IF(J152=J$85,"j",J152+1)),"jj")</f>
        <v>66</v>
      </c>
      <c r="K153" s="730" t="str">
        <f t="shared" si="25"/>
        <v/>
      </c>
      <c r="L153" s="730" t="str">
        <f t="shared" si="26"/>
        <v/>
      </c>
      <c r="M153" s="730" t="str">
        <f t="shared" si="27"/>
        <v/>
      </c>
      <c r="N153" s="731">
        <f t="shared" ref="N153:N216" si="29">IF(ISNUMBER(M153),"z",IF(ISNUMBER(L153),L153,IF(ISNUMBER(K153),K153,IF(ISNUMBER(J153),J153,""))))</f>
        <v>66</v>
      </c>
    </row>
    <row r="154" spans="1:14" ht="13.5" customHeight="1" x14ac:dyDescent="0.2">
      <c r="A154" s="562" t="str">
        <f t="shared" si="21"/>
        <v>Auxiliar4</v>
      </c>
      <c r="B154" s="562"/>
      <c r="C154" s="562"/>
      <c r="D154" s="562" t="str">
        <f t="shared" si="22"/>
        <v>AA65</v>
      </c>
      <c r="E154" s="562" t="str">
        <f t="shared" si="23"/>
        <v>Get Data</v>
      </c>
      <c r="F154" s="562" t="str">
        <f>'2nd_Post_Processing'!$L$6</f>
        <v>Line</v>
      </c>
      <c r="G154" s="562"/>
      <c r="H154" s="562"/>
      <c r="I154" s="562" t="str">
        <f t="shared" si="24"/>
        <v>Attachmenttype[65]</v>
      </c>
      <c r="J154" s="730">
        <f t="shared" si="28"/>
        <v>67</v>
      </c>
      <c r="K154" s="730" t="str">
        <f t="shared" si="25"/>
        <v/>
      </c>
      <c r="L154" s="730" t="str">
        <f t="shared" si="26"/>
        <v/>
      </c>
      <c r="M154" s="730" t="str">
        <f t="shared" si="27"/>
        <v/>
      </c>
      <c r="N154" s="731">
        <f t="shared" si="29"/>
        <v>67</v>
      </c>
    </row>
    <row r="155" spans="1:14" ht="13.5" customHeight="1" x14ac:dyDescent="0.2">
      <c r="A155" s="562" t="str">
        <f t="shared" ref="A155:A218" si="30">IF(N153="","",IF(ISNUMBER(J153),"Auxiliar4",IF(ISNUMBER(K153),"Auxiliar3",IF(ISNUMBER(L153),"Auxiliar2",IF(ISNUMBER(M153),"Auxiliar2")))))</f>
        <v>Auxiliar4</v>
      </c>
      <c r="B155" s="562"/>
      <c r="C155" s="562"/>
      <c r="D155" s="562" t="str">
        <f t="shared" ref="D155:D218" si="31">IF(N153="z",CONCATENATE("AB",M153),IF(N153="","",CONCATENATE("AA",N153)))</f>
        <v>AA66</v>
      </c>
      <c r="E155" s="562" t="str">
        <f t="shared" ref="E155:E218" si="32">IF(N153="",IF(J153="j","Load Cont1.sim",IF(K153="k","Load Estatico.sim","")),"Get Data")</f>
        <v>Get Data</v>
      </c>
      <c r="F155" s="562" t="str">
        <f>'2nd_Post_Processing'!$L$6</f>
        <v>Line</v>
      </c>
      <c r="G155" s="562"/>
      <c r="H155" s="562"/>
      <c r="I155" s="562" t="str">
        <f t="shared" ref="I155:I218" si="33">IF(N153="z",CONCATENATE("Attachmentz[",M153,"]"),IF(N153="","",CONCATENATE("Attachmenttype[",N153,"]")))</f>
        <v>Attachmenttype[66]</v>
      </c>
      <c r="J155" s="730">
        <f t="shared" si="28"/>
        <v>68</v>
      </c>
      <c r="K155" s="730" t="str">
        <f t="shared" si="25"/>
        <v/>
      </c>
      <c r="L155" s="730" t="str">
        <f t="shared" si="26"/>
        <v/>
      </c>
      <c r="M155" s="730" t="str">
        <f t="shared" si="27"/>
        <v/>
      </c>
      <c r="N155" s="731">
        <f t="shared" si="29"/>
        <v>68</v>
      </c>
    </row>
    <row r="156" spans="1:14" ht="13.5" customHeight="1" x14ac:dyDescent="0.2">
      <c r="A156" s="562" t="str">
        <f t="shared" si="30"/>
        <v>Auxiliar4</v>
      </c>
      <c r="B156" s="562"/>
      <c r="C156" s="562"/>
      <c r="D156" s="562" t="str">
        <f t="shared" si="31"/>
        <v>AA67</v>
      </c>
      <c r="E156" s="562" t="str">
        <f t="shared" si="32"/>
        <v>Get Data</v>
      </c>
      <c r="F156" s="562" t="str">
        <f>'2nd_Post_Processing'!$L$6</f>
        <v>Line</v>
      </c>
      <c r="G156" s="562"/>
      <c r="H156" s="562"/>
      <c r="I156" s="562" t="str">
        <f t="shared" si="33"/>
        <v>Attachmenttype[67]</v>
      </c>
      <c r="J156" s="730">
        <f t="shared" si="28"/>
        <v>69</v>
      </c>
      <c r="K156" s="730" t="str">
        <f t="shared" si="25"/>
        <v/>
      </c>
      <c r="L156" s="730" t="str">
        <f t="shared" si="26"/>
        <v/>
      </c>
      <c r="M156" s="730" t="str">
        <f t="shared" si="27"/>
        <v/>
      </c>
      <c r="N156" s="731">
        <f t="shared" si="29"/>
        <v>69</v>
      </c>
    </row>
    <row r="157" spans="1:14" ht="13.5" customHeight="1" x14ac:dyDescent="0.2">
      <c r="A157" s="562" t="str">
        <f t="shared" si="30"/>
        <v>Auxiliar4</v>
      </c>
      <c r="B157" s="562"/>
      <c r="C157" s="562"/>
      <c r="D157" s="562" t="str">
        <f t="shared" si="31"/>
        <v>AA68</v>
      </c>
      <c r="E157" s="562" t="str">
        <f t="shared" si="32"/>
        <v>Get Data</v>
      </c>
      <c r="F157" s="562" t="str">
        <f>'2nd_Post_Processing'!$L$6</f>
        <v>Line</v>
      </c>
      <c r="G157" s="562"/>
      <c r="H157" s="562"/>
      <c r="I157" s="562" t="str">
        <f t="shared" si="33"/>
        <v>Attachmenttype[68]</v>
      </c>
      <c r="J157" s="730">
        <f t="shared" si="28"/>
        <v>70</v>
      </c>
      <c r="K157" s="730" t="str">
        <f t="shared" si="25"/>
        <v/>
      </c>
      <c r="L157" s="730" t="str">
        <f t="shared" si="26"/>
        <v/>
      </c>
      <c r="M157" s="730" t="str">
        <f t="shared" si="27"/>
        <v/>
      </c>
      <c r="N157" s="731">
        <f t="shared" si="29"/>
        <v>70</v>
      </c>
    </row>
    <row r="158" spans="1:14" ht="13.5" customHeight="1" x14ac:dyDescent="0.2">
      <c r="A158" s="562" t="str">
        <f t="shared" si="30"/>
        <v>Auxiliar4</v>
      </c>
      <c r="B158" s="562"/>
      <c r="C158" s="562"/>
      <c r="D158" s="562" t="str">
        <f t="shared" si="31"/>
        <v>AA69</v>
      </c>
      <c r="E158" s="562" t="str">
        <f t="shared" si="32"/>
        <v>Get Data</v>
      </c>
      <c r="F158" s="562" t="str">
        <f>'2nd_Post_Processing'!$L$6</f>
        <v>Line</v>
      </c>
      <c r="G158" s="562"/>
      <c r="H158" s="562"/>
      <c r="I158" s="562" t="str">
        <f t="shared" si="33"/>
        <v>Attachmenttype[69]</v>
      </c>
      <c r="J158" s="730">
        <f t="shared" si="28"/>
        <v>71</v>
      </c>
      <c r="K158" s="730" t="str">
        <f t="shared" si="25"/>
        <v/>
      </c>
      <c r="L158" s="730" t="str">
        <f t="shared" si="26"/>
        <v/>
      </c>
      <c r="M158" s="730" t="str">
        <f t="shared" si="27"/>
        <v/>
      </c>
      <c r="N158" s="731">
        <f t="shared" si="29"/>
        <v>71</v>
      </c>
    </row>
    <row r="159" spans="1:14" ht="13.5" customHeight="1" x14ac:dyDescent="0.2">
      <c r="A159" s="562" t="str">
        <f t="shared" si="30"/>
        <v>Auxiliar4</v>
      </c>
      <c r="B159" s="562"/>
      <c r="C159" s="562"/>
      <c r="D159" s="562" t="str">
        <f t="shared" si="31"/>
        <v>AA70</v>
      </c>
      <c r="E159" s="562" t="str">
        <f t="shared" si="32"/>
        <v>Get Data</v>
      </c>
      <c r="F159" s="562" t="str">
        <f>'2nd_Post_Processing'!$L$6</f>
        <v>Line</v>
      </c>
      <c r="G159" s="562"/>
      <c r="H159" s="562"/>
      <c r="I159" s="562" t="str">
        <f t="shared" si="33"/>
        <v>Attachmenttype[70]</v>
      </c>
      <c r="J159" s="730">
        <f t="shared" si="28"/>
        <v>72</v>
      </c>
      <c r="K159" s="730" t="str">
        <f t="shared" si="25"/>
        <v/>
      </c>
      <c r="L159" s="730" t="str">
        <f t="shared" si="26"/>
        <v/>
      </c>
      <c r="M159" s="730" t="str">
        <f t="shared" si="27"/>
        <v/>
      </c>
      <c r="N159" s="731">
        <f t="shared" si="29"/>
        <v>72</v>
      </c>
    </row>
    <row r="160" spans="1:14" ht="13.5" customHeight="1" x14ac:dyDescent="0.2">
      <c r="A160" s="562" t="str">
        <f t="shared" si="30"/>
        <v>Auxiliar4</v>
      </c>
      <c r="B160" s="562"/>
      <c r="C160" s="562"/>
      <c r="D160" s="562" t="str">
        <f t="shared" si="31"/>
        <v>AA71</v>
      </c>
      <c r="E160" s="562" t="str">
        <f t="shared" si="32"/>
        <v>Get Data</v>
      </c>
      <c r="F160" s="562" t="str">
        <f>'2nd_Post_Processing'!$L$6</f>
        <v>Line</v>
      </c>
      <c r="G160" s="562"/>
      <c r="H160" s="562"/>
      <c r="I160" s="562" t="str">
        <f t="shared" si="33"/>
        <v>Attachmenttype[71]</v>
      </c>
      <c r="J160" s="730">
        <f t="shared" si="28"/>
        <v>73</v>
      </c>
      <c r="K160" s="730" t="str">
        <f t="shared" si="25"/>
        <v/>
      </c>
      <c r="L160" s="730" t="str">
        <f t="shared" si="26"/>
        <v/>
      </c>
      <c r="M160" s="730" t="str">
        <f t="shared" si="27"/>
        <v/>
      </c>
      <c r="N160" s="731">
        <f t="shared" si="29"/>
        <v>73</v>
      </c>
    </row>
    <row r="161" spans="1:14" ht="13.5" customHeight="1" x14ac:dyDescent="0.2">
      <c r="A161" s="562" t="str">
        <f t="shared" si="30"/>
        <v>Auxiliar4</v>
      </c>
      <c r="B161" s="562"/>
      <c r="C161" s="562"/>
      <c r="D161" s="562" t="str">
        <f t="shared" si="31"/>
        <v>AA72</v>
      </c>
      <c r="E161" s="562" t="str">
        <f t="shared" si="32"/>
        <v>Get Data</v>
      </c>
      <c r="F161" s="562" t="str">
        <f>'2nd_Post_Processing'!$L$6</f>
        <v>Line</v>
      </c>
      <c r="G161" s="562"/>
      <c r="H161" s="562"/>
      <c r="I161" s="562" t="str">
        <f t="shared" si="33"/>
        <v>Attachmenttype[72]</v>
      </c>
      <c r="J161" s="730">
        <f t="shared" si="28"/>
        <v>74</v>
      </c>
      <c r="K161" s="730" t="str">
        <f t="shared" si="25"/>
        <v/>
      </c>
      <c r="L161" s="730" t="str">
        <f t="shared" si="26"/>
        <v/>
      </c>
      <c r="M161" s="730" t="str">
        <f t="shared" si="27"/>
        <v/>
      </c>
      <c r="N161" s="731">
        <f t="shared" si="29"/>
        <v>74</v>
      </c>
    </row>
    <row r="162" spans="1:14" ht="13.5" customHeight="1" x14ac:dyDescent="0.2">
      <c r="A162" s="562" t="str">
        <f t="shared" si="30"/>
        <v>Auxiliar4</v>
      </c>
      <c r="B162" s="562"/>
      <c r="C162" s="562"/>
      <c r="D162" s="562" t="str">
        <f t="shared" si="31"/>
        <v>AA73</v>
      </c>
      <c r="E162" s="562" t="str">
        <f t="shared" si="32"/>
        <v>Get Data</v>
      </c>
      <c r="F162" s="562" t="str">
        <f>'2nd_Post_Processing'!$L$6</f>
        <v>Line</v>
      </c>
      <c r="G162" s="562"/>
      <c r="H162" s="562"/>
      <c r="I162" s="562" t="str">
        <f t="shared" si="33"/>
        <v>Attachmenttype[73]</v>
      </c>
      <c r="J162" s="730">
        <f t="shared" si="28"/>
        <v>75</v>
      </c>
      <c r="K162" s="730" t="str">
        <f t="shared" si="25"/>
        <v/>
      </c>
      <c r="L162" s="730" t="str">
        <f t="shared" si="26"/>
        <v/>
      </c>
      <c r="M162" s="730" t="str">
        <f t="shared" si="27"/>
        <v/>
      </c>
      <c r="N162" s="731">
        <f t="shared" si="29"/>
        <v>75</v>
      </c>
    </row>
    <row r="163" spans="1:14" ht="13.5" customHeight="1" x14ac:dyDescent="0.2">
      <c r="A163" s="562" t="str">
        <f t="shared" si="30"/>
        <v>Auxiliar4</v>
      </c>
      <c r="B163" s="562"/>
      <c r="C163" s="562"/>
      <c r="D163" s="562" t="str">
        <f t="shared" si="31"/>
        <v>AA74</v>
      </c>
      <c r="E163" s="562" t="str">
        <f t="shared" si="32"/>
        <v>Get Data</v>
      </c>
      <c r="F163" s="562" t="str">
        <f>'2nd_Post_Processing'!$L$6</f>
        <v>Line</v>
      </c>
      <c r="G163" s="562"/>
      <c r="H163" s="562"/>
      <c r="I163" s="562" t="str">
        <f t="shared" si="33"/>
        <v>Attachmenttype[74]</v>
      </c>
      <c r="J163" s="730">
        <f t="shared" si="28"/>
        <v>76</v>
      </c>
      <c r="K163" s="730" t="str">
        <f t="shared" si="25"/>
        <v/>
      </c>
      <c r="L163" s="730" t="str">
        <f t="shared" si="26"/>
        <v/>
      </c>
      <c r="M163" s="730" t="str">
        <f t="shared" si="27"/>
        <v/>
      </c>
      <c r="N163" s="731">
        <f t="shared" si="29"/>
        <v>76</v>
      </c>
    </row>
    <row r="164" spans="1:14" ht="13.5" customHeight="1" x14ac:dyDescent="0.2">
      <c r="A164" s="562" t="str">
        <f t="shared" si="30"/>
        <v>Auxiliar4</v>
      </c>
      <c r="B164" s="562"/>
      <c r="C164" s="562"/>
      <c r="D164" s="562" t="str">
        <f t="shared" si="31"/>
        <v>AA75</v>
      </c>
      <c r="E164" s="562" t="str">
        <f t="shared" si="32"/>
        <v>Get Data</v>
      </c>
      <c r="F164" s="562" t="str">
        <f>'2nd_Post_Processing'!$L$6</f>
        <v>Line</v>
      </c>
      <c r="G164" s="562"/>
      <c r="H164" s="562"/>
      <c r="I164" s="562" t="str">
        <f t="shared" si="33"/>
        <v>Attachmenttype[75]</v>
      </c>
      <c r="J164" s="730">
        <f t="shared" si="28"/>
        <v>77</v>
      </c>
      <c r="K164" s="730" t="str">
        <f t="shared" si="25"/>
        <v/>
      </c>
      <c r="L164" s="730" t="str">
        <f t="shared" si="26"/>
        <v/>
      </c>
      <c r="M164" s="730" t="str">
        <f t="shared" si="27"/>
        <v/>
      </c>
      <c r="N164" s="731">
        <f t="shared" si="29"/>
        <v>77</v>
      </c>
    </row>
    <row r="165" spans="1:14" ht="13.5" customHeight="1" x14ac:dyDescent="0.2">
      <c r="A165" s="562" t="str">
        <f t="shared" si="30"/>
        <v>Auxiliar4</v>
      </c>
      <c r="B165" s="562"/>
      <c r="C165" s="562"/>
      <c r="D165" s="562" t="str">
        <f t="shared" si="31"/>
        <v>AA76</v>
      </c>
      <c r="E165" s="562" t="str">
        <f t="shared" si="32"/>
        <v>Get Data</v>
      </c>
      <c r="F165" s="562" t="str">
        <f>'2nd_Post_Processing'!$L$6</f>
        <v>Line</v>
      </c>
      <c r="G165" s="562"/>
      <c r="H165" s="562"/>
      <c r="I165" s="562" t="str">
        <f t="shared" si="33"/>
        <v>Attachmenttype[76]</v>
      </c>
      <c r="J165" s="730">
        <f t="shared" si="28"/>
        <v>78</v>
      </c>
      <c r="K165" s="730" t="str">
        <f t="shared" si="25"/>
        <v/>
      </c>
      <c r="L165" s="730" t="str">
        <f t="shared" si="26"/>
        <v/>
      </c>
      <c r="M165" s="730" t="str">
        <f t="shared" si="27"/>
        <v/>
      </c>
      <c r="N165" s="731">
        <f t="shared" si="29"/>
        <v>78</v>
      </c>
    </row>
    <row r="166" spans="1:14" ht="13.5" customHeight="1" x14ac:dyDescent="0.2">
      <c r="A166" s="562" t="str">
        <f t="shared" si="30"/>
        <v>Auxiliar4</v>
      </c>
      <c r="B166" s="562"/>
      <c r="C166" s="562"/>
      <c r="D166" s="562" t="str">
        <f t="shared" si="31"/>
        <v>AA77</v>
      </c>
      <c r="E166" s="562" t="str">
        <f t="shared" si="32"/>
        <v>Get Data</v>
      </c>
      <c r="F166" s="562" t="str">
        <f>'2nd_Post_Processing'!$L$6</f>
        <v>Line</v>
      </c>
      <c r="G166" s="562"/>
      <c r="H166" s="562"/>
      <c r="I166" s="562" t="str">
        <f t="shared" si="33"/>
        <v>Attachmenttype[77]</v>
      </c>
      <c r="J166" s="730">
        <f t="shared" si="28"/>
        <v>79</v>
      </c>
      <c r="K166" s="730" t="str">
        <f t="shared" si="25"/>
        <v/>
      </c>
      <c r="L166" s="730" t="str">
        <f t="shared" si="26"/>
        <v/>
      </c>
      <c r="M166" s="730" t="str">
        <f t="shared" si="27"/>
        <v/>
      </c>
      <c r="N166" s="731">
        <f t="shared" si="29"/>
        <v>79</v>
      </c>
    </row>
    <row r="167" spans="1:14" ht="13.5" customHeight="1" x14ac:dyDescent="0.2">
      <c r="A167" s="562" t="str">
        <f t="shared" si="30"/>
        <v>Auxiliar4</v>
      </c>
      <c r="B167" s="562"/>
      <c r="C167" s="562"/>
      <c r="D167" s="562" t="str">
        <f t="shared" si="31"/>
        <v>AA78</v>
      </c>
      <c r="E167" s="562" t="str">
        <f t="shared" si="32"/>
        <v>Get Data</v>
      </c>
      <c r="F167" s="562" t="str">
        <f>'2nd_Post_Processing'!$L$6</f>
        <v>Line</v>
      </c>
      <c r="G167" s="562"/>
      <c r="H167" s="562"/>
      <c r="I167" s="562" t="str">
        <f t="shared" si="33"/>
        <v>Attachmenttype[78]</v>
      </c>
      <c r="J167" s="730">
        <f t="shared" si="28"/>
        <v>80</v>
      </c>
      <c r="K167" s="730" t="str">
        <f t="shared" si="25"/>
        <v/>
      </c>
      <c r="L167" s="730" t="str">
        <f t="shared" si="26"/>
        <v/>
      </c>
      <c r="M167" s="730" t="str">
        <f t="shared" si="27"/>
        <v/>
      </c>
      <c r="N167" s="731">
        <f t="shared" si="29"/>
        <v>80</v>
      </c>
    </row>
    <row r="168" spans="1:14" ht="13.5" customHeight="1" x14ac:dyDescent="0.2">
      <c r="A168" s="562" t="str">
        <f t="shared" si="30"/>
        <v>Auxiliar4</v>
      </c>
      <c r="B168" s="562"/>
      <c r="C168" s="562"/>
      <c r="D168" s="562" t="str">
        <f t="shared" si="31"/>
        <v>AA79</v>
      </c>
      <c r="E168" s="562" t="str">
        <f t="shared" si="32"/>
        <v>Get Data</v>
      </c>
      <c r="F168" s="562" t="str">
        <f>'2nd_Post_Processing'!$L$6</f>
        <v>Line</v>
      </c>
      <c r="G168" s="562"/>
      <c r="H168" s="562"/>
      <c r="I168" s="562" t="str">
        <f t="shared" si="33"/>
        <v>Attachmenttype[79]</v>
      </c>
      <c r="J168" s="730">
        <f t="shared" si="28"/>
        <v>81</v>
      </c>
      <c r="K168" s="730" t="str">
        <f t="shared" si="25"/>
        <v/>
      </c>
      <c r="L168" s="730" t="str">
        <f t="shared" si="26"/>
        <v/>
      </c>
      <c r="M168" s="730" t="str">
        <f t="shared" si="27"/>
        <v/>
      </c>
      <c r="N168" s="731">
        <f t="shared" si="29"/>
        <v>81</v>
      </c>
    </row>
    <row r="169" spans="1:14" ht="13.5" customHeight="1" x14ac:dyDescent="0.2">
      <c r="A169" s="562" t="str">
        <f t="shared" si="30"/>
        <v>Auxiliar4</v>
      </c>
      <c r="B169" s="562"/>
      <c r="C169" s="562"/>
      <c r="D169" s="562" t="str">
        <f t="shared" si="31"/>
        <v>AA80</v>
      </c>
      <c r="E169" s="562" t="str">
        <f t="shared" si="32"/>
        <v>Get Data</v>
      </c>
      <c r="F169" s="562" t="str">
        <f>'2nd_Post_Processing'!$L$6</f>
        <v>Line</v>
      </c>
      <c r="G169" s="562"/>
      <c r="H169" s="562"/>
      <c r="I169" s="562" t="str">
        <f t="shared" si="33"/>
        <v>Attachmenttype[80]</v>
      </c>
      <c r="J169" s="730">
        <f t="shared" si="28"/>
        <v>82</v>
      </c>
      <c r="K169" s="730" t="str">
        <f t="shared" si="25"/>
        <v/>
      </c>
      <c r="L169" s="730" t="str">
        <f t="shared" si="26"/>
        <v/>
      </c>
      <c r="M169" s="730" t="str">
        <f t="shared" si="27"/>
        <v/>
      </c>
      <c r="N169" s="731">
        <f t="shared" si="29"/>
        <v>82</v>
      </c>
    </row>
    <row r="170" spans="1:14" ht="13.5" customHeight="1" x14ac:dyDescent="0.2">
      <c r="A170" s="562" t="str">
        <f t="shared" si="30"/>
        <v>Auxiliar4</v>
      </c>
      <c r="B170" s="562"/>
      <c r="C170" s="562"/>
      <c r="D170" s="562" t="str">
        <f t="shared" si="31"/>
        <v>AA81</v>
      </c>
      <c r="E170" s="562" t="str">
        <f t="shared" si="32"/>
        <v>Get Data</v>
      </c>
      <c r="F170" s="562" t="str">
        <f>'2nd_Post_Processing'!$L$6</f>
        <v>Line</v>
      </c>
      <c r="G170" s="562"/>
      <c r="H170" s="562"/>
      <c r="I170" s="562" t="str">
        <f t="shared" si="33"/>
        <v>Attachmenttype[81]</v>
      </c>
      <c r="J170" s="730">
        <f t="shared" si="28"/>
        <v>83</v>
      </c>
      <c r="K170" s="730" t="str">
        <f t="shared" si="25"/>
        <v/>
      </c>
      <c r="L170" s="730" t="str">
        <f t="shared" si="26"/>
        <v/>
      </c>
      <c r="M170" s="730" t="str">
        <f t="shared" si="27"/>
        <v/>
      </c>
      <c r="N170" s="731">
        <f t="shared" si="29"/>
        <v>83</v>
      </c>
    </row>
    <row r="171" spans="1:14" ht="13.5" customHeight="1" x14ac:dyDescent="0.2">
      <c r="A171" s="562" t="str">
        <f t="shared" si="30"/>
        <v>Auxiliar4</v>
      </c>
      <c r="B171" s="562"/>
      <c r="C171" s="562"/>
      <c r="D171" s="562" t="str">
        <f t="shared" si="31"/>
        <v>AA82</v>
      </c>
      <c r="E171" s="562" t="str">
        <f t="shared" si="32"/>
        <v>Get Data</v>
      </c>
      <c r="F171" s="562" t="str">
        <f>'2nd_Post_Processing'!$L$6</f>
        <v>Line</v>
      </c>
      <c r="G171" s="562"/>
      <c r="H171" s="562"/>
      <c r="I171" s="562" t="str">
        <f t="shared" si="33"/>
        <v>Attachmenttype[82]</v>
      </c>
      <c r="J171" s="730">
        <f t="shared" si="28"/>
        <v>84</v>
      </c>
      <c r="K171" s="730" t="str">
        <f t="shared" si="25"/>
        <v/>
      </c>
      <c r="L171" s="730" t="str">
        <f t="shared" si="26"/>
        <v/>
      </c>
      <c r="M171" s="730" t="str">
        <f t="shared" si="27"/>
        <v/>
      </c>
      <c r="N171" s="731">
        <f t="shared" si="29"/>
        <v>84</v>
      </c>
    </row>
    <row r="172" spans="1:14" ht="13.5" customHeight="1" x14ac:dyDescent="0.2">
      <c r="A172" s="562" t="str">
        <f t="shared" si="30"/>
        <v>Auxiliar4</v>
      </c>
      <c r="B172" s="562"/>
      <c r="C172" s="562"/>
      <c r="D172" s="562" t="str">
        <f t="shared" si="31"/>
        <v>AA83</v>
      </c>
      <c r="E172" s="562" t="str">
        <f t="shared" si="32"/>
        <v>Get Data</v>
      </c>
      <c r="F172" s="562" t="str">
        <f>'2nd_Post_Processing'!$L$6</f>
        <v>Line</v>
      </c>
      <c r="G172" s="562"/>
      <c r="H172" s="562"/>
      <c r="I172" s="562" t="str">
        <f t="shared" si="33"/>
        <v>Attachmenttype[83]</v>
      </c>
      <c r="J172" s="730">
        <f t="shared" si="28"/>
        <v>85</v>
      </c>
      <c r="K172" s="730" t="str">
        <f t="shared" si="25"/>
        <v/>
      </c>
      <c r="L172" s="730" t="str">
        <f t="shared" si="26"/>
        <v/>
      </c>
      <c r="M172" s="730" t="str">
        <f t="shared" si="27"/>
        <v/>
      </c>
      <c r="N172" s="731">
        <f t="shared" si="29"/>
        <v>85</v>
      </c>
    </row>
    <row r="173" spans="1:14" ht="13.5" customHeight="1" x14ac:dyDescent="0.2">
      <c r="A173" s="562" t="str">
        <f t="shared" si="30"/>
        <v>Auxiliar4</v>
      </c>
      <c r="B173" s="562"/>
      <c r="C173" s="562"/>
      <c r="D173" s="562" t="str">
        <f t="shared" si="31"/>
        <v>AA84</v>
      </c>
      <c r="E173" s="562" t="str">
        <f t="shared" si="32"/>
        <v>Get Data</v>
      </c>
      <c r="F173" s="562" t="str">
        <f>'2nd_Post_Processing'!$L$6</f>
        <v>Line</v>
      </c>
      <c r="G173" s="562"/>
      <c r="H173" s="562"/>
      <c r="I173" s="562" t="str">
        <f t="shared" si="33"/>
        <v>Attachmenttype[84]</v>
      </c>
      <c r="J173" s="730">
        <f t="shared" si="28"/>
        <v>86</v>
      </c>
      <c r="K173" s="730" t="str">
        <f t="shared" si="25"/>
        <v/>
      </c>
      <c r="L173" s="730" t="str">
        <f t="shared" si="26"/>
        <v/>
      </c>
      <c r="M173" s="730" t="str">
        <f t="shared" si="27"/>
        <v/>
      </c>
      <c r="N173" s="731">
        <f t="shared" si="29"/>
        <v>86</v>
      </c>
    </row>
    <row r="174" spans="1:14" ht="13.5" customHeight="1" x14ac:dyDescent="0.2">
      <c r="A174" s="562" t="str">
        <f t="shared" si="30"/>
        <v>Auxiliar4</v>
      </c>
      <c r="B174" s="562"/>
      <c r="C174" s="562"/>
      <c r="D174" s="562" t="str">
        <f t="shared" si="31"/>
        <v>AA85</v>
      </c>
      <c r="E174" s="562" t="str">
        <f t="shared" si="32"/>
        <v>Get Data</v>
      </c>
      <c r="F174" s="562" t="str">
        <f>'2nd_Post_Processing'!$L$6</f>
        <v>Line</v>
      </c>
      <c r="G174" s="562"/>
      <c r="H174" s="562"/>
      <c r="I174" s="562" t="str">
        <f t="shared" si="33"/>
        <v>Attachmenttype[85]</v>
      </c>
      <c r="J174" s="730">
        <f t="shared" si="28"/>
        <v>87</v>
      </c>
      <c r="K174" s="730" t="str">
        <f t="shared" si="25"/>
        <v/>
      </c>
      <c r="L174" s="730" t="str">
        <f t="shared" si="26"/>
        <v/>
      </c>
      <c r="M174" s="730" t="str">
        <f t="shared" si="27"/>
        <v/>
      </c>
      <c r="N174" s="731">
        <f t="shared" si="29"/>
        <v>87</v>
      </c>
    </row>
    <row r="175" spans="1:14" ht="13.5" customHeight="1" x14ac:dyDescent="0.2">
      <c r="A175" s="562" t="str">
        <f t="shared" si="30"/>
        <v>Auxiliar4</v>
      </c>
      <c r="B175" s="562"/>
      <c r="C175" s="562"/>
      <c r="D175" s="562" t="str">
        <f t="shared" si="31"/>
        <v>AA86</v>
      </c>
      <c r="E175" s="562" t="str">
        <f t="shared" si="32"/>
        <v>Get Data</v>
      </c>
      <c r="F175" s="562" t="str">
        <f>'2nd_Post_Processing'!$L$6</f>
        <v>Line</v>
      </c>
      <c r="G175" s="562"/>
      <c r="H175" s="562"/>
      <c r="I175" s="562" t="str">
        <f t="shared" si="33"/>
        <v>Attachmenttype[86]</v>
      </c>
      <c r="J175" s="730">
        <f t="shared" si="28"/>
        <v>88</v>
      </c>
      <c r="K175" s="730" t="str">
        <f t="shared" si="25"/>
        <v/>
      </c>
      <c r="L175" s="730" t="str">
        <f t="shared" si="26"/>
        <v/>
      </c>
      <c r="M175" s="730" t="str">
        <f t="shared" si="27"/>
        <v/>
      </c>
      <c r="N175" s="731">
        <f t="shared" si="29"/>
        <v>88</v>
      </c>
    </row>
    <row r="176" spans="1:14" ht="13.5" customHeight="1" x14ac:dyDescent="0.2">
      <c r="A176" s="562" t="str">
        <f t="shared" si="30"/>
        <v>Auxiliar4</v>
      </c>
      <c r="B176" s="562"/>
      <c r="C176" s="562"/>
      <c r="D176" s="562" t="str">
        <f t="shared" si="31"/>
        <v>AA87</v>
      </c>
      <c r="E176" s="562" t="str">
        <f t="shared" si="32"/>
        <v>Get Data</v>
      </c>
      <c r="F176" s="562" t="str">
        <f>'2nd_Post_Processing'!$L$6</f>
        <v>Line</v>
      </c>
      <c r="G176" s="562"/>
      <c r="H176" s="562"/>
      <c r="I176" s="562" t="str">
        <f t="shared" si="33"/>
        <v>Attachmenttype[87]</v>
      </c>
      <c r="J176" s="730">
        <f t="shared" si="28"/>
        <v>89</v>
      </c>
      <c r="K176" s="730" t="str">
        <f t="shared" si="25"/>
        <v/>
      </c>
      <c r="L176" s="730" t="str">
        <f t="shared" si="26"/>
        <v/>
      </c>
      <c r="M176" s="730" t="str">
        <f t="shared" si="27"/>
        <v/>
      </c>
      <c r="N176" s="731">
        <f t="shared" si="29"/>
        <v>89</v>
      </c>
    </row>
    <row r="177" spans="1:14" ht="13.5" customHeight="1" x14ac:dyDescent="0.2">
      <c r="A177" s="562" t="str">
        <f t="shared" si="30"/>
        <v>Auxiliar4</v>
      </c>
      <c r="B177" s="562"/>
      <c r="C177" s="562"/>
      <c r="D177" s="562" t="str">
        <f t="shared" si="31"/>
        <v>AA88</v>
      </c>
      <c r="E177" s="562" t="str">
        <f t="shared" si="32"/>
        <v>Get Data</v>
      </c>
      <c r="F177" s="562" t="str">
        <f>'2nd_Post_Processing'!$L$6</f>
        <v>Line</v>
      </c>
      <c r="G177" s="562"/>
      <c r="H177" s="562"/>
      <c r="I177" s="562" t="str">
        <f t="shared" si="33"/>
        <v>Attachmenttype[88]</v>
      </c>
      <c r="J177" s="730">
        <f t="shared" si="28"/>
        <v>90</v>
      </c>
      <c r="K177" s="730" t="str">
        <f t="shared" si="25"/>
        <v/>
      </c>
      <c r="L177" s="730" t="str">
        <f t="shared" si="26"/>
        <v/>
      </c>
      <c r="M177" s="730" t="str">
        <f t="shared" si="27"/>
        <v/>
      </c>
      <c r="N177" s="731">
        <f t="shared" si="29"/>
        <v>90</v>
      </c>
    </row>
    <row r="178" spans="1:14" ht="13.5" customHeight="1" x14ac:dyDescent="0.2">
      <c r="A178" s="562" t="str">
        <f t="shared" si="30"/>
        <v>Auxiliar4</v>
      </c>
      <c r="B178" s="562"/>
      <c r="C178" s="562"/>
      <c r="D178" s="562" t="str">
        <f t="shared" si="31"/>
        <v>AA89</v>
      </c>
      <c r="E178" s="562" t="str">
        <f t="shared" si="32"/>
        <v>Get Data</v>
      </c>
      <c r="F178" s="562" t="str">
        <f>'2nd_Post_Processing'!$L$6</f>
        <v>Line</v>
      </c>
      <c r="G178" s="562"/>
      <c r="H178" s="562"/>
      <c r="I178" s="562" t="str">
        <f t="shared" si="33"/>
        <v>Attachmenttype[89]</v>
      </c>
      <c r="J178" s="730">
        <f t="shared" si="28"/>
        <v>91</v>
      </c>
      <c r="K178" s="730" t="str">
        <f t="shared" si="25"/>
        <v/>
      </c>
      <c r="L178" s="730" t="str">
        <f t="shared" si="26"/>
        <v/>
      </c>
      <c r="M178" s="730" t="str">
        <f t="shared" si="27"/>
        <v/>
      </c>
      <c r="N178" s="731">
        <f t="shared" si="29"/>
        <v>91</v>
      </c>
    </row>
    <row r="179" spans="1:14" ht="13.5" customHeight="1" x14ac:dyDescent="0.2">
      <c r="A179" s="562" t="str">
        <f t="shared" si="30"/>
        <v>Auxiliar4</v>
      </c>
      <c r="B179" s="562"/>
      <c r="C179" s="562"/>
      <c r="D179" s="562" t="str">
        <f t="shared" si="31"/>
        <v>AA90</v>
      </c>
      <c r="E179" s="562" t="str">
        <f t="shared" si="32"/>
        <v>Get Data</v>
      </c>
      <c r="F179" s="562" t="str">
        <f>'2nd_Post_Processing'!$L$6</f>
        <v>Line</v>
      </c>
      <c r="G179" s="562"/>
      <c r="H179" s="562"/>
      <c r="I179" s="562" t="str">
        <f t="shared" si="33"/>
        <v>Attachmenttype[90]</v>
      </c>
      <c r="J179" s="730">
        <f t="shared" si="28"/>
        <v>92</v>
      </c>
      <c r="K179" s="730" t="str">
        <f t="shared" si="25"/>
        <v/>
      </c>
      <c r="L179" s="730" t="str">
        <f t="shared" si="26"/>
        <v/>
      </c>
      <c r="M179" s="730" t="str">
        <f t="shared" si="27"/>
        <v/>
      </c>
      <c r="N179" s="731">
        <f t="shared" si="29"/>
        <v>92</v>
      </c>
    </row>
    <row r="180" spans="1:14" ht="13.5" customHeight="1" x14ac:dyDescent="0.2">
      <c r="A180" s="562" t="str">
        <f t="shared" si="30"/>
        <v>Auxiliar4</v>
      </c>
      <c r="B180" s="562"/>
      <c r="C180" s="562"/>
      <c r="D180" s="562" t="str">
        <f t="shared" si="31"/>
        <v>AA91</v>
      </c>
      <c r="E180" s="562" t="str">
        <f t="shared" si="32"/>
        <v>Get Data</v>
      </c>
      <c r="F180" s="562" t="str">
        <f>'2nd_Post_Processing'!$L$6</f>
        <v>Line</v>
      </c>
      <c r="G180" s="562"/>
      <c r="H180" s="562"/>
      <c r="I180" s="562" t="str">
        <f t="shared" si="33"/>
        <v>Attachmenttype[91]</v>
      </c>
      <c r="J180" s="730">
        <f t="shared" si="28"/>
        <v>93</v>
      </c>
      <c r="K180" s="730" t="str">
        <f t="shared" si="25"/>
        <v/>
      </c>
      <c r="L180" s="730" t="str">
        <f t="shared" si="26"/>
        <v/>
      </c>
      <c r="M180" s="730" t="str">
        <f t="shared" si="27"/>
        <v/>
      </c>
      <c r="N180" s="731">
        <f t="shared" si="29"/>
        <v>93</v>
      </c>
    </row>
    <row r="181" spans="1:14" ht="13.5" customHeight="1" x14ac:dyDescent="0.2">
      <c r="A181" s="562" t="str">
        <f t="shared" si="30"/>
        <v>Auxiliar4</v>
      </c>
      <c r="B181" s="562"/>
      <c r="C181" s="562"/>
      <c r="D181" s="562" t="str">
        <f t="shared" si="31"/>
        <v>AA92</v>
      </c>
      <c r="E181" s="562" t="str">
        <f t="shared" si="32"/>
        <v>Get Data</v>
      </c>
      <c r="F181" s="562" t="str">
        <f>'2nd_Post_Processing'!$L$6</f>
        <v>Line</v>
      </c>
      <c r="G181" s="562"/>
      <c r="H181" s="562"/>
      <c r="I181" s="562" t="str">
        <f t="shared" si="33"/>
        <v>Attachmenttype[92]</v>
      </c>
      <c r="J181" s="730">
        <f t="shared" si="28"/>
        <v>94</v>
      </c>
      <c r="K181" s="730" t="str">
        <f t="shared" si="25"/>
        <v/>
      </c>
      <c r="L181" s="730" t="str">
        <f t="shared" si="26"/>
        <v/>
      </c>
      <c r="M181" s="730" t="str">
        <f t="shared" si="27"/>
        <v/>
      </c>
      <c r="N181" s="731">
        <f t="shared" si="29"/>
        <v>94</v>
      </c>
    </row>
    <row r="182" spans="1:14" ht="13.5" customHeight="1" x14ac:dyDescent="0.2">
      <c r="A182" s="562" t="str">
        <f t="shared" si="30"/>
        <v>Auxiliar4</v>
      </c>
      <c r="B182" s="562"/>
      <c r="C182" s="562"/>
      <c r="D182" s="562" t="str">
        <f t="shared" si="31"/>
        <v>AA93</v>
      </c>
      <c r="E182" s="562" t="str">
        <f t="shared" si="32"/>
        <v>Get Data</v>
      </c>
      <c r="F182" s="562" t="str">
        <f>'2nd_Post_Processing'!$L$6</f>
        <v>Line</v>
      </c>
      <c r="G182" s="562"/>
      <c r="H182" s="562"/>
      <c r="I182" s="562" t="str">
        <f t="shared" si="33"/>
        <v>Attachmenttype[93]</v>
      </c>
      <c r="J182" s="730">
        <f t="shared" si="28"/>
        <v>95</v>
      </c>
      <c r="K182" s="730" t="str">
        <f t="shared" si="25"/>
        <v/>
      </c>
      <c r="L182" s="730" t="str">
        <f t="shared" si="26"/>
        <v/>
      </c>
      <c r="M182" s="730" t="str">
        <f t="shared" si="27"/>
        <v/>
      </c>
      <c r="N182" s="731">
        <f t="shared" si="29"/>
        <v>95</v>
      </c>
    </row>
    <row r="183" spans="1:14" ht="13.5" customHeight="1" x14ac:dyDescent="0.2">
      <c r="A183" s="562" t="str">
        <f t="shared" si="30"/>
        <v>Auxiliar4</v>
      </c>
      <c r="B183" s="562"/>
      <c r="C183" s="562"/>
      <c r="D183" s="562" t="str">
        <f t="shared" si="31"/>
        <v>AA94</v>
      </c>
      <c r="E183" s="562" t="str">
        <f t="shared" si="32"/>
        <v>Get Data</v>
      </c>
      <c r="F183" s="562" t="str">
        <f>'2nd_Post_Processing'!$L$6</f>
        <v>Line</v>
      </c>
      <c r="G183" s="562"/>
      <c r="H183" s="562"/>
      <c r="I183" s="562" t="str">
        <f t="shared" si="33"/>
        <v>Attachmenttype[94]</v>
      </c>
      <c r="J183" s="730">
        <f t="shared" si="28"/>
        <v>96</v>
      </c>
      <c r="K183" s="730" t="str">
        <f t="shared" si="25"/>
        <v/>
      </c>
      <c r="L183" s="730" t="str">
        <f t="shared" si="26"/>
        <v/>
      </c>
      <c r="M183" s="730" t="str">
        <f t="shared" si="27"/>
        <v/>
      </c>
      <c r="N183" s="731">
        <f t="shared" si="29"/>
        <v>96</v>
      </c>
    </row>
    <row r="184" spans="1:14" ht="13.5" customHeight="1" x14ac:dyDescent="0.2">
      <c r="A184" s="562" t="str">
        <f t="shared" si="30"/>
        <v>Auxiliar4</v>
      </c>
      <c r="B184" s="562"/>
      <c r="C184" s="562"/>
      <c r="D184" s="562" t="str">
        <f t="shared" si="31"/>
        <v>AA95</v>
      </c>
      <c r="E184" s="562" t="str">
        <f t="shared" si="32"/>
        <v>Get Data</v>
      </c>
      <c r="F184" s="562" t="str">
        <f>'2nd_Post_Processing'!$L$6</f>
        <v>Line</v>
      </c>
      <c r="G184" s="562"/>
      <c r="H184" s="562"/>
      <c r="I184" s="562" t="str">
        <f t="shared" si="33"/>
        <v>Attachmenttype[95]</v>
      </c>
      <c r="J184" s="730">
        <f t="shared" si="28"/>
        <v>97</v>
      </c>
      <c r="K184" s="730" t="str">
        <f t="shared" si="25"/>
        <v/>
      </c>
      <c r="L184" s="730" t="str">
        <f t="shared" si="26"/>
        <v/>
      </c>
      <c r="M184" s="730" t="str">
        <f t="shared" si="27"/>
        <v/>
      </c>
      <c r="N184" s="731">
        <f t="shared" si="29"/>
        <v>97</v>
      </c>
    </row>
    <row r="185" spans="1:14" ht="13.5" customHeight="1" x14ac:dyDescent="0.2">
      <c r="A185" s="562" t="str">
        <f t="shared" si="30"/>
        <v>Auxiliar4</v>
      </c>
      <c r="B185" s="562"/>
      <c r="C185" s="562"/>
      <c r="D185" s="562" t="str">
        <f t="shared" si="31"/>
        <v>AA96</v>
      </c>
      <c r="E185" s="562" t="str">
        <f t="shared" si="32"/>
        <v>Get Data</v>
      </c>
      <c r="F185" s="562" t="str">
        <f>'2nd_Post_Processing'!$L$6</f>
        <v>Line</v>
      </c>
      <c r="G185" s="562"/>
      <c r="H185" s="562"/>
      <c r="I185" s="562" t="str">
        <f t="shared" si="33"/>
        <v>Attachmenttype[96]</v>
      </c>
      <c r="J185" s="730">
        <f t="shared" si="28"/>
        <v>98</v>
      </c>
      <c r="K185" s="730" t="str">
        <f t="shared" si="25"/>
        <v/>
      </c>
      <c r="L185" s="730" t="str">
        <f t="shared" si="26"/>
        <v/>
      </c>
      <c r="M185" s="730" t="str">
        <f t="shared" si="27"/>
        <v/>
      </c>
      <c r="N185" s="731">
        <f t="shared" si="29"/>
        <v>98</v>
      </c>
    </row>
    <row r="186" spans="1:14" ht="13.5" customHeight="1" x14ac:dyDescent="0.2">
      <c r="A186" s="562" t="str">
        <f t="shared" si="30"/>
        <v>Auxiliar4</v>
      </c>
      <c r="B186" s="562"/>
      <c r="C186" s="562"/>
      <c r="D186" s="562" t="str">
        <f t="shared" si="31"/>
        <v>AA97</v>
      </c>
      <c r="E186" s="562" t="str">
        <f t="shared" si="32"/>
        <v>Get Data</v>
      </c>
      <c r="F186" s="562" t="str">
        <f>'2nd_Post_Processing'!$L$6</f>
        <v>Line</v>
      </c>
      <c r="G186" s="562"/>
      <c r="H186" s="562"/>
      <c r="I186" s="562" t="str">
        <f t="shared" si="33"/>
        <v>Attachmenttype[97]</v>
      </c>
      <c r="J186" s="730">
        <f t="shared" si="28"/>
        <v>99</v>
      </c>
      <c r="K186" s="730" t="str">
        <f t="shared" si="25"/>
        <v/>
      </c>
      <c r="L186" s="730" t="str">
        <f t="shared" si="26"/>
        <v/>
      </c>
      <c r="M186" s="730" t="str">
        <f t="shared" si="27"/>
        <v/>
      </c>
      <c r="N186" s="731">
        <f t="shared" si="29"/>
        <v>99</v>
      </c>
    </row>
    <row r="187" spans="1:14" ht="13.5" customHeight="1" x14ac:dyDescent="0.2">
      <c r="A187" s="562" t="str">
        <f t="shared" si="30"/>
        <v>Auxiliar4</v>
      </c>
      <c r="B187" s="562"/>
      <c r="C187" s="562"/>
      <c r="D187" s="562" t="str">
        <f t="shared" si="31"/>
        <v>AA98</v>
      </c>
      <c r="E187" s="562" t="str">
        <f t="shared" si="32"/>
        <v>Get Data</v>
      </c>
      <c r="F187" s="562" t="str">
        <f>'2nd_Post_Processing'!$L$6</f>
        <v>Line</v>
      </c>
      <c r="G187" s="562"/>
      <c r="H187" s="562"/>
      <c r="I187" s="562" t="str">
        <f t="shared" si="33"/>
        <v>Attachmenttype[98]</v>
      </c>
      <c r="J187" s="730">
        <f t="shared" si="28"/>
        <v>100</v>
      </c>
      <c r="K187" s="730" t="str">
        <f t="shared" si="25"/>
        <v/>
      </c>
      <c r="L187" s="730" t="str">
        <f t="shared" si="26"/>
        <v/>
      </c>
      <c r="M187" s="730" t="str">
        <f t="shared" si="27"/>
        <v/>
      </c>
      <c r="N187" s="731">
        <f t="shared" si="29"/>
        <v>100</v>
      </c>
    </row>
    <row r="188" spans="1:14" ht="13.5" customHeight="1" x14ac:dyDescent="0.2">
      <c r="A188" s="562" t="str">
        <f t="shared" si="30"/>
        <v>Auxiliar4</v>
      </c>
      <c r="B188" s="562"/>
      <c r="C188" s="562"/>
      <c r="D188" s="562" t="str">
        <f t="shared" si="31"/>
        <v>AA99</v>
      </c>
      <c r="E188" s="562" t="str">
        <f t="shared" si="32"/>
        <v>Get Data</v>
      </c>
      <c r="F188" s="562" t="str">
        <f>'2nd_Post_Processing'!$L$6</f>
        <v>Line</v>
      </c>
      <c r="G188" s="562"/>
      <c r="H188" s="562"/>
      <c r="I188" s="562" t="str">
        <f t="shared" si="33"/>
        <v>Attachmenttype[99]</v>
      </c>
      <c r="J188" s="730">
        <f t="shared" si="28"/>
        <v>101</v>
      </c>
      <c r="K188" s="730" t="str">
        <f t="shared" si="25"/>
        <v/>
      </c>
      <c r="L188" s="730" t="str">
        <f t="shared" si="26"/>
        <v/>
      </c>
      <c r="M188" s="730" t="str">
        <f t="shared" si="27"/>
        <v/>
      </c>
      <c r="N188" s="731">
        <f t="shared" si="29"/>
        <v>101</v>
      </c>
    </row>
    <row r="189" spans="1:14" ht="13.5" customHeight="1" x14ac:dyDescent="0.2">
      <c r="A189" s="562" t="str">
        <f t="shared" si="30"/>
        <v>Auxiliar4</v>
      </c>
      <c r="B189" s="562"/>
      <c r="C189" s="562"/>
      <c r="D189" s="562" t="str">
        <f t="shared" si="31"/>
        <v>AA100</v>
      </c>
      <c r="E189" s="562" t="str">
        <f t="shared" si="32"/>
        <v>Get Data</v>
      </c>
      <c r="F189" s="562" t="str">
        <f>'2nd_Post_Processing'!$L$6</f>
        <v>Line</v>
      </c>
      <c r="G189" s="562"/>
      <c r="H189" s="562"/>
      <c r="I189" s="562" t="str">
        <f t="shared" si="33"/>
        <v>Attachmenttype[100]</v>
      </c>
      <c r="J189" s="730">
        <f t="shared" si="28"/>
        <v>102</v>
      </c>
      <c r="K189" s="730" t="str">
        <f t="shared" si="25"/>
        <v/>
      </c>
      <c r="L189" s="730" t="str">
        <f t="shared" si="26"/>
        <v/>
      </c>
      <c r="M189" s="730" t="str">
        <f t="shared" si="27"/>
        <v/>
      </c>
      <c r="N189" s="731">
        <f t="shared" si="29"/>
        <v>102</v>
      </c>
    </row>
    <row r="190" spans="1:14" ht="13.5" customHeight="1" x14ac:dyDescent="0.2">
      <c r="A190" s="562" t="str">
        <f t="shared" si="30"/>
        <v>Auxiliar4</v>
      </c>
      <c r="B190" s="562"/>
      <c r="C190" s="562"/>
      <c r="D190" s="562" t="str">
        <f t="shared" si="31"/>
        <v>AA101</v>
      </c>
      <c r="E190" s="562" t="str">
        <f t="shared" si="32"/>
        <v>Get Data</v>
      </c>
      <c r="F190" s="562" t="str">
        <f>'2nd_Post_Processing'!$L$6</f>
        <v>Line</v>
      </c>
      <c r="G190" s="562"/>
      <c r="H190" s="562"/>
      <c r="I190" s="562" t="str">
        <f t="shared" si="33"/>
        <v>Attachmenttype[101]</v>
      </c>
      <c r="J190" s="730">
        <f t="shared" si="28"/>
        <v>103</v>
      </c>
      <c r="K190" s="730" t="str">
        <f t="shared" si="25"/>
        <v/>
      </c>
      <c r="L190" s="730" t="str">
        <f t="shared" si="26"/>
        <v/>
      </c>
      <c r="M190" s="730" t="str">
        <f t="shared" si="27"/>
        <v/>
      </c>
      <c r="N190" s="731">
        <f t="shared" si="29"/>
        <v>103</v>
      </c>
    </row>
    <row r="191" spans="1:14" ht="13.5" customHeight="1" x14ac:dyDescent="0.2">
      <c r="A191" s="562" t="str">
        <f t="shared" si="30"/>
        <v>Auxiliar4</v>
      </c>
      <c r="B191" s="562"/>
      <c r="C191" s="562"/>
      <c r="D191" s="562" t="str">
        <f t="shared" si="31"/>
        <v>AA102</v>
      </c>
      <c r="E191" s="562" t="str">
        <f t="shared" si="32"/>
        <v>Get Data</v>
      </c>
      <c r="F191" s="562" t="str">
        <f>'2nd_Post_Processing'!$L$6</f>
        <v>Line</v>
      </c>
      <c r="G191" s="562"/>
      <c r="H191" s="562"/>
      <c r="I191" s="562" t="str">
        <f t="shared" si="33"/>
        <v>Attachmenttype[102]</v>
      </c>
      <c r="J191" s="730">
        <f t="shared" si="28"/>
        <v>104</v>
      </c>
      <c r="K191" s="730" t="str">
        <f t="shared" si="25"/>
        <v/>
      </c>
      <c r="L191" s="730" t="str">
        <f t="shared" si="26"/>
        <v/>
      </c>
      <c r="M191" s="730" t="str">
        <f t="shared" si="27"/>
        <v/>
      </c>
      <c r="N191" s="731">
        <f t="shared" si="29"/>
        <v>104</v>
      </c>
    </row>
    <row r="192" spans="1:14" ht="13.5" customHeight="1" x14ac:dyDescent="0.2">
      <c r="A192" s="562" t="str">
        <f t="shared" si="30"/>
        <v>Auxiliar4</v>
      </c>
      <c r="B192" s="562"/>
      <c r="C192" s="562"/>
      <c r="D192" s="562" t="str">
        <f t="shared" si="31"/>
        <v>AA103</v>
      </c>
      <c r="E192" s="562" t="str">
        <f t="shared" si="32"/>
        <v>Get Data</v>
      </c>
      <c r="F192" s="562" t="str">
        <f>'2nd_Post_Processing'!$L$6</f>
        <v>Line</v>
      </c>
      <c r="G192" s="562"/>
      <c r="H192" s="562"/>
      <c r="I192" s="562" t="str">
        <f t="shared" si="33"/>
        <v>Attachmenttype[103]</v>
      </c>
      <c r="J192" s="730">
        <f t="shared" si="28"/>
        <v>105</v>
      </c>
      <c r="K192" s="730" t="str">
        <f t="shared" si="25"/>
        <v/>
      </c>
      <c r="L192" s="730" t="str">
        <f t="shared" si="26"/>
        <v/>
      </c>
      <c r="M192" s="730" t="str">
        <f t="shared" si="27"/>
        <v/>
      </c>
      <c r="N192" s="731">
        <f t="shared" si="29"/>
        <v>105</v>
      </c>
    </row>
    <row r="193" spans="1:14" ht="13.5" customHeight="1" x14ac:dyDescent="0.2">
      <c r="A193" s="562" t="str">
        <f t="shared" si="30"/>
        <v>Auxiliar4</v>
      </c>
      <c r="B193" s="562"/>
      <c r="C193" s="562"/>
      <c r="D193" s="562" t="str">
        <f t="shared" si="31"/>
        <v>AA104</v>
      </c>
      <c r="E193" s="562" t="str">
        <f t="shared" si="32"/>
        <v>Get Data</v>
      </c>
      <c r="F193" s="562" t="str">
        <f>'2nd_Post_Processing'!$L$6</f>
        <v>Line</v>
      </c>
      <c r="G193" s="562"/>
      <c r="H193" s="562"/>
      <c r="I193" s="562" t="str">
        <f t="shared" si="33"/>
        <v>Attachmenttype[104]</v>
      </c>
      <c r="J193" s="730">
        <f t="shared" si="28"/>
        <v>106</v>
      </c>
      <c r="K193" s="730" t="str">
        <f t="shared" si="25"/>
        <v/>
      </c>
      <c r="L193" s="730" t="str">
        <f t="shared" si="26"/>
        <v/>
      </c>
      <c r="M193" s="730" t="str">
        <f t="shared" si="27"/>
        <v/>
      </c>
      <c r="N193" s="731">
        <f t="shared" si="29"/>
        <v>106</v>
      </c>
    </row>
    <row r="194" spans="1:14" ht="13.5" customHeight="1" x14ac:dyDescent="0.2">
      <c r="A194" s="562" t="str">
        <f t="shared" si="30"/>
        <v>Auxiliar4</v>
      </c>
      <c r="B194" s="562"/>
      <c r="C194" s="562"/>
      <c r="D194" s="562" t="str">
        <f t="shared" si="31"/>
        <v>AA105</v>
      </c>
      <c r="E194" s="562" t="str">
        <f t="shared" si="32"/>
        <v>Get Data</v>
      </c>
      <c r="F194" s="562" t="str">
        <f>'2nd_Post_Processing'!$L$6</f>
        <v>Line</v>
      </c>
      <c r="G194" s="562"/>
      <c r="H194" s="562"/>
      <c r="I194" s="562" t="str">
        <f t="shared" si="33"/>
        <v>Attachmenttype[105]</v>
      </c>
      <c r="J194" s="730">
        <f t="shared" si="28"/>
        <v>107</v>
      </c>
      <c r="K194" s="730" t="str">
        <f t="shared" si="25"/>
        <v/>
      </c>
      <c r="L194" s="730" t="str">
        <f t="shared" si="26"/>
        <v/>
      </c>
      <c r="M194" s="730" t="str">
        <f t="shared" si="27"/>
        <v/>
      </c>
      <c r="N194" s="731">
        <f t="shared" si="29"/>
        <v>107</v>
      </c>
    </row>
    <row r="195" spans="1:14" ht="13.5" customHeight="1" x14ac:dyDescent="0.2">
      <c r="A195" s="562" t="str">
        <f t="shared" si="30"/>
        <v>Auxiliar4</v>
      </c>
      <c r="B195" s="562"/>
      <c r="C195" s="562"/>
      <c r="D195" s="562" t="str">
        <f t="shared" si="31"/>
        <v>AA106</v>
      </c>
      <c r="E195" s="562" t="str">
        <f t="shared" si="32"/>
        <v>Get Data</v>
      </c>
      <c r="F195" s="562" t="str">
        <f>'2nd_Post_Processing'!$L$6</f>
        <v>Line</v>
      </c>
      <c r="G195" s="562"/>
      <c r="H195" s="562"/>
      <c r="I195" s="562" t="str">
        <f t="shared" si="33"/>
        <v>Attachmenttype[106]</v>
      </c>
      <c r="J195" s="730">
        <f t="shared" si="28"/>
        <v>108</v>
      </c>
      <c r="K195" s="730" t="str">
        <f t="shared" si="25"/>
        <v/>
      </c>
      <c r="L195" s="730" t="str">
        <f t="shared" si="26"/>
        <v/>
      </c>
      <c r="M195" s="730" t="str">
        <f t="shared" si="27"/>
        <v/>
      </c>
      <c r="N195" s="731">
        <f t="shared" si="29"/>
        <v>108</v>
      </c>
    </row>
    <row r="196" spans="1:14" ht="13.5" customHeight="1" x14ac:dyDescent="0.2">
      <c r="A196" s="562" t="str">
        <f t="shared" si="30"/>
        <v>Auxiliar4</v>
      </c>
      <c r="B196" s="562"/>
      <c r="C196" s="562"/>
      <c r="D196" s="562" t="str">
        <f t="shared" si="31"/>
        <v>AA107</v>
      </c>
      <c r="E196" s="562" t="str">
        <f t="shared" si="32"/>
        <v>Get Data</v>
      </c>
      <c r="F196" s="562" t="str">
        <f>'2nd_Post_Processing'!$L$6</f>
        <v>Line</v>
      </c>
      <c r="G196" s="562"/>
      <c r="H196" s="562"/>
      <c r="I196" s="562" t="str">
        <f t="shared" si="33"/>
        <v>Attachmenttype[107]</v>
      </c>
      <c r="J196" s="730">
        <f t="shared" si="28"/>
        <v>109</v>
      </c>
      <c r="K196" s="730" t="str">
        <f t="shared" si="25"/>
        <v/>
      </c>
      <c r="L196" s="730" t="str">
        <f t="shared" si="26"/>
        <v/>
      </c>
      <c r="M196" s="730" t="str">
        <f t="shared" si="27"/>
        <v/>
      </c>
      <c r="N196" s="731">
        <f t="shared" si="29"/>
        <v>109</v>
      </c>
    </row>
    <row r="197" spans="1:14" ht="13.5" customHeight="1" x14ac:dyDescent="0.2">
      <c r="A197" s="562" t="str">
        <f t="shared" si="30"/>
        <v>Auxiliar4</v>
      </c>
      <c r="B197" s="562"/>
      <c r="C197" s="562"/>
      <c r="D197" s="562" t="str">
        <f t="shared" si="31"/>
        <v>AA108</v>
      </c>
      <c r="E197" s="562" t="str">
        <f t="shared" si="32"/>
        <v>Get Data</v>
      </c>
      <c r="F197" s="562" t="str">
        <f>'2nd_Post_Processing'!$L$6</f>
        <v>Line</v>
      </c>
      <c r="G197" s="562"/>
      <c r="H197" s="562"/>
      <c r="I197" s="562" t="str">
        <f t="shared" si="33"/>
        <v>Attachmenttype[108]</v>
      </c>
      <c r="J197" s="730">
        <f t="shared" si="28"/>
        <v>110</v>
      </c>
      <c r="K197" s="730" t="str">
        <f t="shared" si="25"/>
        <v/>
      </c>
      <c r="L197" s="730" t="str">
        <f t="shared" si="26"/>
        <v/>
      </c>
      <c r="M197" s="730" t="str">
        <f t="shared" si="27"/>
        <v/>
      </c>
      <c r="N197" s="731">
        <f t="shared" si="29"/>
        <v>110</v>
      </c>
    </row>
    <row r="198" spans="1:14" ht="13.5" customHeight="1" x14ac:dyDescent="0.2">
      <c r="A198" s="562" t="str">
        <f t="shared" si="30"/>
        <v>Auxiliar4</v>
      </c>
      <c r="B198" s="562"/>
      <c r="C198" s="562"/>
      <c r="D198" s="562" t="str">
        <f t="shared" si="31"/>
        <v>AA109</v>
      </c>
      <c r="E198" s="562" t="str">
        <f t="shared" si="32"/>
        <v>Get Data</v>
      </c>
      <c r="F198" s="562" t="str">
        <f>'2nd_Post_Processing'!$L$6</f>
        <v>Line</v>
      </c>
      <c r="G198" s="562"/>
      <c r="H198" s="562"/>
      <c r="I198" s="562" t="str">
        <f t="shared" si="33"/>
        <v>Attachmenttype[109]</v>
      </c>
      <c r="J198" s="730">
        <f t="shared" si="28"/>
        <v>111</v>
      </c>
      <c r="K198" s="730" t="str">
        <f t="shared" si="25"/>
        <v/>
      </c>
      <c r="L198" s="730" t="str">
        <f t="shared" si="26"/>
        <v/>
      </c>
      <c r="M198" s="730" t="str">
        <f t="shared" si="27"/>
        <v/>
      </c>
      <c r="N198" s="731">
        <f t="shared" si="29"/>
        <v>111</v>
      </c>
    </row>
    <row r="199" spans="1:14" ht="13.5" customHeight="1" x14ac:dyDescent="0.2">
      <c r="A199" s="562" t="str">
        <f t="shared" si="30"/>
        <v>Auxiliar4</v>
      </c>
      <c r="B199" s="562"/>
      <c r="C199" s="562"/>
      <c r="D199" s="562" t="str">
        <f t="shared" si="31"/>
        <v>AA110</v>
      </c>
      <c r="E199" s="562" t="str">
        <f t="shared" si="32"/>
        <v>Get Data</v>
      </c>
      <c r="F199" s="562" t="str">
        <f>'2nd_Post_Processing'!$L$6</f>
        <v>Line</v>
      </c>
      <c r="G199" s="562"/>
      <c r="H199" s="562"/>
      <c r="I199" s="562" t="str">
        <f t="shared" si="33"/>
        <v>Attachmenttype[110]</v>
      </c>
      <c r="J199" s="730">
        <f t="shared" si="28"/>
        <v>112</v>
      </c>
      <c r="K199" s="730" t="str">
        <f t="shared" si="25"/>
        <v/>
      </c>
      <c r="L199" s="730" t="str">
        <f t="shared" si="26"/>
        <v/>
      </c>
      <c r="M199" s="730" t="str">
        <f t="shared" si="27"/>
        <v/>
      </c>
      <c r="N199" s="731">
        <f t="shared" si="29"/>
        <v>112</v>
      </c>
    </row>
    <row r="200" spans="1:14" ht="13.5" customHeight="1" x14ac:dyDescent="0.2">
      <c r="A200" s="562" t="str">
        <f t="shared" si="30"/>
        <v>Auxiliar4</v>
      </c>
      <c r="B200" s="562"/>
      <c r="C200" s="562"/>
      <c r="D200" s="562" t="str">
        <f t="shared" si="31"/>
        <v>AA111</v>
      </c>
      <c r="E200" s="562" t="str">
        <f t="shared" si="32"/>
        <v>Get Data</v>
      </c>
      <c r="F200" s="562" t="str">
        <f>'2nd_Post_Processing'!$L$6</f>
        <v>Line</v>
      </c>
      <c r="G200" s="562"/>
      <c r="H200" s="562"/>
      <c r="I200" s="562" t="str">
        <f t="shared" si="33"/>
        <v>Attachmenttype[111]</v>
      </c>
      <c r="J200" s="730">
        <f t="shared" si="28"/>
        <v>113</v>
      </c>
      <c r="K200" s="730" t="str">
        <f t="shared" si="25"/>
        <v/>
      </c>
      <c r="L200" s="730" t="str">
        <f t="shared" si="26"/>
        <v/>
      </c>
      <c r="M200" s="730" t="str">
        <f t="shared" si="27"/>
        <v/>
      </c>
      <c r="N200" s="731">
        <f t="shared" si="29"/>
        <v>113</v>
      </c>
    </row>
    <row r="201" spans="1:14" ht="13.5" customHeight="1" x14ac:dyDescent="0.2">
      <c r="A201" s="562" t="str">
        <f t="shared" si="30"/>
        <v>Auxiliar4</v>
      </c>
      <c r="B201" s="562"/>
      <c r="C201" s="562"/>
      <c r="D201" s="562" t="str">
        <f t="shared" si="31"/>
        <v>AA112</v>
      </c>
      <c r="E201" s="562" t="str">
        <f t="shared" si="32"/>
        <v>Get Data</v>
      </c>
      <c r="F201" s="562" t="str">
        <f>'2nd_Post_Processing'!$L$6</f>
        <v>Line</v>
      </c>
      <c r="G201" s="562"/>
      <c r="H201" s="562"/>
      <c r="I201" s="562" t="str">
        <f t="shared" si="33"/>
        <v>Attachmenttype[112]</v>
      </c>
      <c r="J201" s="730">
        <f t="shared" si="28"/>
        <v>114</v>
      </c>
      <c r="K201" s="730" t="str">
        <f t="shared" si="25"/>
        <v/>
      </c>
      <c r="L201" s="730" t="str">
        <f t="shared" si="26"/>
        <v/>
      </c>
      <c r="M201" s="730" t="str">
        <f t="shared" si="27"/>
        <v/>
      </c>
      <c r="N201" s="731">
        <f t="shared" si="29"/>
        <v>114</v>
      </c>
    </row>
    <row r="202" spans="1:14" ht="13.5" customHeight="1" x14ac:dyDescent="0.2">
      <c r="A202" s="562" t="str">
        <f t="shared" si="30"/>
        <v>Auxiliar4</v>
      </c>
      <c r="B202" s="562"/>
      <c r="C202" s="562"/>
      <c r="D202" s="562" t="str">
        <f t="shared" si="31"/>
        <v>AA113</v>
      </c>
      <c r="E202" s="562" t="str">
        <f t="shared" si="32"/>
        <v>Get Data</v>
      </c>
      <c r="F202" s="562" t="str">
        <f>'2nd_Post_Processing'!$L$6</f>
        <v>Line</v>
      </c>
      <c r="G202" s="562"/>
      <c r="H202" s="562"/>
      <c r="I202" s="562" t="str">
        <f t="shared" si="33"/>
        <v>Attachmenttype[113]</v>
      </c>
      <c r="J202" s="730">
        <f t="shared" si="28"/>
        <v>115</v>
      </c>
      <c r="K202" s="730" t="str">
        <f t="shared" si="25"/>
        <v/>
      </c>
      <c r="L202" s="730" t="str">
        <f t="shared" si="26"/>
        <v/>
      </c>
      <c r="M202" s="730" t="str">
        <f t="shared" si="27"/>
        <v/>
      </c>
      <c r="N202" s="731">
        <f t="shared" si="29"/>
        <v>115</v>
      </c>
    </row>
    <row r="203" spans="1:14" ht="13.5" customHeight="1" x14ac:dyDescent="0.2">
      <c r="A203" s="562" t="str">
        <f t="shared" si="30"/>
        <v>Auxiliar4</v>
      </c>
      <c r="B203" s="562"/>
      <c r="C203" s="562"/>
      <c r="D203" s="562" t="str">
        <f t="shared" si="31"/>
        <v>AA114</v>
      </c>
      <c r="E203" s="562" t="str">
        <f t="shared" si="32"/>
        <v>Get Data</v>
      </c>
      <c r="F203" s="562" t="str">
        <f>'2nd_Post_Processing'!$L$6</f>
        <v>Line</v>
      </c>
      <c r="G203" s="562"/>
      <c r="H203" s="562"/>
      <c r="I203" s="562" t="str">
        <f t="shared" si="33"/>
        <v>Attachmenttype[114]</v>
      </c>
      <c r="J203" s="730">
        <f t="shared" si="28"/>
        <v>116</v>
      </c>
      <c r="K203" s="730" t="str">
        <f t="shared" si="25"/>
        <v/>
      </c>
      <c r="L203" s="730" t="str">
        <f t="shared" si="26"/>
        <v/>
      </c>
      <c r="M203" s="730" t="str">
        <f t="shared" si="27"/>
        <v/>
      </c>
      <c r="N203" s="731">
        <f t="shared" si="29"/>
        <v>116</v>
      </c>
    </row>
    <row r="204" spans="1:14" ht="13.5" customHeight="1" x14ac:dyDescent="0.2">
      <c r="A204" s="562" t="str">
        <f t="shared" si="30"/>
        <v>Auxiliar4</v>
      </c>
      <c r="B204" s="562"/>
      <c r="C204" s="562"/>
      <c r="D204" s="562" t="str">
        <f t="shared" si="31"/>
        <v>AA115</v>
      </c>
      <c r="E204" s="562" t="str">
        <f t="shared" si="32"/>
        <v>Get Data</v>
      </c>
      <c r="F204" s="562" t="str">
        <f>'2nd_Post_Processing'!$L$6</f>
        <v>Line</v>
      </c>
      <c r="G204" s="562"/>
      <c r="H204" s="562"/>
      <c r="I204" s="562" t="str">
        <f t="shared" si="33"/>
        <v>Attachmenttype[115]</v>
      </c>
      <c r="J204" s="730">
        <f t="shared" si="28"/>
        <v>117</v>
      </c>
      <c r="K204" s="730" t="str">
        <f t="shared" si="25"/>
        <v/>
      </c>
      <c r="L204" s="730" t="str">
        <f t="shared" si="26"/>
        <v/>
      </c>
      <c r="M204" s="730" t="str">
        <f t="shared" si="27"/>
        <v/>
      </c>
      <c r="N204" s="731">
        <f t="shared" si="29"/>
        <v>117</v>
      </c>
    </row>
    <row r="205" spans="1:14" ht="13.5" customHeight="1" x14ac:dyDescent="0.2">
      <c r="A205" s="562" t="str">
        <f t="shared" si="30"/>
        <v>Auxiliar4</v>
      </c>
      <c r="B205" s="562"/>
      <c r="C205" s="562"/>
      <c r="D205" s="562" t="str">
        <f t="shared" si="31"/>
        <v>AA116</v>
      </c>
      <c r="E205" s="562" t="str">
        <f t="shared" si="32"/>
        <v>Get Data</v>
      </c>
      <c r="F205" s="562" t="str">
        <f>'2nd_Post_Processing'!$L$6</f>
        <v>Line</v>
      </c>
      <c r="G205" s="562"/>
      <c r="H205" s="562"/>
      <c r="I205" s="562" t="str">
        <f t="shared" si="33"/>
        <v>Attachmenttype[116]</v>
      </c>
      <c r="J205" s="730">
        <f t="shared" si="28"/>
        <v>118</v>
      </c>
      <c r="K205" s="730" t="str">
        <f t="shared" si="25"/>
        <v/>
      </c>
      <c r="L205" s="730" t="str">
        <f t="shared" si="26"/>
        <v/>
      </c>
      <c r="M205" s="730" t="str">
        <f t="shared" si="27"/>
        <v/>
      </c>
      <c r="N205" s="731">
        <f t="shared" si="29"/>
        <v>118</v>
      </c>
    </row>
    <row r="206" spans="1:14" ht="13.5" customHeight="1" x14ac:dyDescent="0.2">
      <c r="A206" s="562" t="str">
        <f t="shared" si="30"/>
        <v>Auxiliar4</v>
      </c>
      <c r="B206" s="562"/>
      <c r="C206" s="562"/>
      <c r="D206" s="562" t="str">
        <f t="shared" si="31"/>
        <v>AA117</v>
      </c>
      <c r="E206" s="562" t="str">
        <f t="shared" si="32"/>
        <v>Get Data</v>
      </c>
      <c r="F206" s="562" t="str">
        <f>'2nd_Post_Processing'!$L$6</f>
        <v>Line</v>
      </c>
      <c r="G206" s="562"/>
      <c r="H206" s="562"/>
      <c r="I206" s="562" t="str">
        <f t="shared" si="33"/>
        <v>Attachmenttype[117]</v>
      </c>
      <c r="J206" s="730">
        <f t="shared" si="28"/>
        <v>119</v>
      </c>
      <c r="K206" s="730" t="str">
        <f t="shared" si="25"/>
        <v/>
      </c>
      <c r="L206" s="730" t="str">
        <f t="shared" si="26"/>
        <v/>
      </c>
      <c r="M206" s="730" t="str">
        <f t="shared" si="27"/>
        <v/>
      </c>
      <c r="N206" s="731">
        <f t="shared" si="29"/>
        <v>119</v>
      </c>
    </row>
    <row r="207" spans="1:14" ht="13.5" customHeight="1" x14ac:dyDescent="0.2">
      <c r="A207" s="562" t="str">
        <f t="shared" si="30"/>
        <v>Auxiliar4</v>
      </c>
      <c r="B207" s="562"/>
      <c r="C207" s="562"/>
      <c r="D207" s="562" t="str">
        <f t="shared" si="31"/>
        <v>AA118</v>
      </c>
      <c r="E207" s="562" t="str">
        <f t="shared" si="32"/>
        <v>Get Data</v>
      </c>
      <c r="F207" s="562" t="str">
        <f>'2nd_Post_Processing'!$L$6</f>
        <v>Line</v>
      </c>
      <c r="G207" s="562"/>
      <c r="H207" s="562"/>
      <c r="I207" s="562" t="str">
        <f t="shared" si="33"/>
        <v>Attachmenttype[118]</v>
      </c>
      <c r="J207" s="730">
        <f t="shared" si="28"/>
        <v>120</v>
      </c>
      <c r="K207" s="730" t="str">
        <f t="shared" si="25"/>
        <v/>
      </c>
      <c r="L207" s="730" t="str">
        <f t="shared" si="26"/>
        <v/>
      </c>
      <c r="M207" s="730" t="str">
        <f t="shared" si="27"/>
        <v/>
      </c>
      <c r="N207" s="731">
        <f t="shared" si="29"/>
        <v>120</v>
      </c>
    </row>
    <row r="208" spans="1:14" ht="13.5" customHeight="1" x14ac:dyDescent="0.2">
      <c r="A208" s="562" t="str">
        <f t="shared" si="30"/>
        <v>Auxiliar4</v>
      </c>
      <c r="B208" s="562"/>
      <c r="C208" s="562"/>
      <c r="D208" s="562" t="str">
        <f t="shared" si="31"/>
        <v>AA119</v>
      </c>
      <c r="E208" s="562" t="str">
        <f t="shared" si="32"/>
        <v>Get Data</v>
      </c>
      <c r="F208" s="562" t="str">
        <f>'2nd_Post_Processing'!$L$6</f>
        <v>Line</v>
      </c>
      <c r="G208" s="562"/>
      <c r="H208" s="562"/>
      <c r="I208" s="562" t="str">
        <f t="shared" si="33"/>
        <v>Attachmenttype[119]</v>
      </c>
      <c r="J208" s="730">
        <f t="shared" si="28"/>
        <v>121</v>
      </c>
      <c r="K208" s="730" t="str">
        <f t="shared" si="25"/>
        <v/>
      </c>
      <c r="L208" s="730" t="str">
        <f t="shared" si="26"/>
        <v/>
      </c>
      <c r="M208" s="730" t="str">
        <f t="shared" si="27"/>
        <v/>
      </c>
      <c r="N208" s="731">
        <f t="shared" si="29"/>
        <v>121</v>
      </c>
    </row>
    <row r="209" spans="1:14" ht="13.5" customHeight="1" x14ac:dyDescent="0.2">
      <c r="A209" s="562" t="str">
        <f t="shared" si="30"/>
        <v>Auxiliar4</v>
      </c>
      <c r="B209" s="562"/>
      <c r="C209" s="562"/>
      <c r="D209" s="562" t="str">
        <f t="shared" si="31"/>
        <v>AA120</v>
      </c>
      <c r="E209" s="562" t="str">
        <f t="shared" si="32"/>
        <v>Get Data</v>
      </c>
      <c r="F209" s="562" t="str">
        <f>'2nd_Post_Processing'!$L$6</f>
        <v>Line</v>
      </c>
      <c r="G209" s="562"/>
      <c r="H209" s="562"/>
      <c r="I209" s="562" t="str">
        <f t="shared" si="33"/>
        <v>Attachmenttype[120]</v>
      </c>
      <c r="J209" s="730">
        <f t="shared" si="28"/>
        <v>122</v>
      </c>
      <c r="K209" s="730" t="str">
        <f t="shared" si="25"/>
        <v/>
      </c>
      <c r="L209" s="730" t="str">
        <f t="shared" si="26"/>
        <v/>
      </c>
      <c r="M209" s="730" t="str">
        <f t="shared" si="27"/>
        <v/>
      </c>
      <c r="N209" s="731">
        <f t="shared" si="29"/>
        <v>122</v>
      </c>
    </row>
    <row r="210" spans="1:14" ht="13.5" customHeight="1" x14ac:dyDescent="0.2">
      <c r="A210" s="562" t="str">
        <f t="shared" si="30"/>
        <v>Auxiliar4</v>
      </c>
      <c r="B210" s="562"/>
      <c r="C210" s="562"/>
      <c r="D210" s="562" t="str">
        <f t="shared" si="31"/>
        <v>AA121</v>
      </c>
      <c r="E210" s="562" t="str">
        <f t="shared" si="32"/>
        <v>Get Data</v>
      </c>
      <c r="F210" s="562" t="str">
        <f>'2nd_Post_Processing'!$L$6</f>
        <v>Line</v>
      </c>
      <c r="G210" s="562"/>
      <c r="H210" s="562"/>
      <c r="I210" s="562" t="str">
        <f t="shared" si="33"/>
        <v>Attachmenttype[121]</v>
      </c>
      <c r="J210" s="730">
        <f t="shared" si="28"/>
        <v>123</v>
      </c>
      <c r="K210" s="730" t="str">
        <f t="shared" si="25"/>
        <v/>
      </c>
      <c r="L210" s="730" t="str">
        <f t="shared" si="26"/>
        <v/>
      </c>
      <c r="M210" s="730" t="str">
        <f t="shared" si="27"/>
        <v/>
      </c>
      <c r="N210" s="731">
        <f t="shared" si="29"/>
        <v>123</v>
      </c>
    </row>
    <row r="211" spans="1:14" ht="13.5" customHeight="1" x14ac:dyDescent="0.2">
      <c r="A211" s="562" t="str">
        <f t="shared" si="30"/>
        <v>Auxiliar4</v>
      </c>
      <c r="B211" s="562"/>
      <c r="C211" s="562"/>
      <c r="D211" s="562" t="str">
        <f t="shared" si="31"/>
        <v>AA122</v>
      </c>
      <c r="E211" s="562" t="str">
        <f t="shared" si="32"/>
        <v>Get Data</v>
      </c>
      <c r="F211" s="562" t="str">
        <f>'2nd_Post_Processing'!$L$6</f>
        <v>Line</v>
      </c>
      <c r="G211" s="562"/>
      <c r="H211" s="562"/>
      <c r="I211" s="562" t="str">
        <f t="shared" si="33"/>
        <v>Attachmenttype[122]</v>
      </c>
      <c r="J211" s="730">
        <f t="shared" si="28"/>
        <v>124</v>
      </c>
      <c r="K211" s="730" t="str">
        <f t="shared" si="25"/>
        <v/>
      </c>
      <c r="L211" s="730" t="str">
        <f t="shared" si="26"/>
        <v/>
      </c>
      <c r="M211" s="730" t="str">
        <f t="shared" si="27"/>
        <v/>
      </c>
      <c r="N211" s="731">
        <f t="shared" si="29"/>
        <v>124</v>
      </c>
    </row>
    <row r="212" spans="1:14" ht="13.5" customHeight="1" x14ac:dyDescent="0.2">
      <c r="A212" s="562" t="str">
        <f t="shared" si="30"/>
        <v>Auxiliar4</v>
      </c>
      <c r="B212" s="562"/>
      <c r="C212" s="562"/>
      <c r="D212" s="562" t="str">
        <f t="shared" si="31"/>
        <v>AA123</v>
      </c>
      <c r="E212" s="562" t="str">
        <f t="shared" si="32"/>
        <v>Get Data</v>
      </c>
      <c r="F212" s="562" t="str">
        <f>'2nd_Post_Processing'!$L$6</f>
        <v>Line</v>
      </c>
      <c r="G212" s="562"/>
      <c r="H212" s="562"/>
      <c r="I212" s="562" t="str">
        <f t="shared" si="33"/>
        <v>Attachmenttype[123]</v>
      </c>
      <c r="J212" s="730">
        <f t="shared" si="28"/>
        <v>125</v>
      </c>
      <c r="K212" s="730" t="str">
        <f t="shared" si="25"/>
        <v/>
      </c>
      <c r="L212" s="730" t="str">
        <f t="shared" si="26"/>
        <v/>
      </c>
      <c r="M212" s="730" t="str">
        <f t="shared" si="27"/>
        <v/>
      </c>
      <c r="N212" s="731">
        <f t="shared" si="29"/>
        <v>125</v>
      </c>
    </row>
    <row r="213" spans="1:14" ht="13.5" customHeight="1" x14ac:dyDescent="0.2">
      <c r="A213" s="562" t="str">
        <f t="shared" si="30"/>
        <v>Auxiliar4</v>
      </c>
      <c r="B213" s="562"/>
      <c r="C213" s="562"/>
      <c r="D213" s="562" t="str">
        <f t="shared" si="31"/>
        <v>AA124</v>
      </c>
      <c r="E213" s="562" t="str">
        <f t="shared" si="32"/>
        <v>Get Data</v>
      </c>
      <c r="F213" s="562" t="str">
        <f>'2nd_Post_Processing'!$L$6</f>
        <v>Line</v>
      </c>
      <c r="G213" s="562"/>
      <c r="H213" s="562"/>
      <c r="I213" s="562" t="str">
        <f t="shared" si="33"/>
        <v>Attachmenttype[124]</v>
      </c>
      <c r="J213" s="730">
        <f t="shared" si="28"/>
        <v>126</v>
      </c>
      <c r="K213" s="730" t="str">
        <f t="shared" si="25"/>
        <v/>
      </c>
      <c r="L213" s="730" t="str">
        <f t="shared" si="26"/>
        <v/>
      </c>
      <c r="M213" s="730" t="str">
        <f t="shared" si="27"/>
        <v/>
      </c>
      <c r="N213" s="731">
        <f t="shared" si="29"/>
        <v>126</v>
      </c>
    </row>
    <row r="214" spans="1:14" ht="13.5" customHeight="1" x14ac:dyDescent="0.2">
      <c r="A214" s="562" t="str">
        <f t="shared" si="30"/>
        <v>Auxiliar4</v>
      </c>
      <c r="B214" s="562"/>
      <c r="C214" s="562"/>
      <c r="D214" s="562" t="str">
        <f t="shared" si="31"/>
        <v>AA125</v>
      </c>
      <c r="E214" s="562" t="str">
        <f t="shared" si="32"/>
        <v>Get Data</v>
      </c>
      <c r="F214" s="562" t="str">
        <f>'2nd_Post_Processing'!$L$6</f>
        <v>Line</v>
      </c>
      <c r="G214" s="562"/>
      <c r="H214" s="562"/>
      <c r="I214" s="562" t="str">
        <f t="shared" si="33"/>
        <v>Attachmenttype[125]</v>
      </c>
      <c r="J214" s="730">
        <f t="shared" si="28"/>
        <v>127</v>
      </c>
      <c r="K214" s="730" t="str">
        <f t="shared" si="25"/>
        <v/>
      </c>
      <c r="L214" s="730" t="str">
        <f t="shared" si="26"/>
        <v/>
      </c>
      <c r="M214" s="730" t="str">
        <f t="shared" si="27"/>
        <v/>
      </c>
      <c r="N214" s="731">
        <f t="shared" si="29"/>
        <v>127</v>
      </c>
    </row>
    <row r="215" spans="1:14" ht="13.5" customHeight="1" x14ac:dyDescent="0.2">
      <c r="A215" s="562" t="str">
        <f t="shared" si="30"/>
        <v>Auxiliar4</v>
      </c>
      <c r="B215" s="562"/>
      <c r="C215" s="562"/>
      <c r="D215" s="562" t="str">
        <f t="shared" si="31"/>
        <v>AA126</v>
      </c>
      <c r="E215" s="562" t="str">
        <f t="shared" si="32"/>
        <v>Get Data</v>
      </c>
      <c r="F215" s="562" t="str">
        <f>'2nd_Post_Processing'!$L$6</f>
        <v>Line</v>
      </c>
      <c r="G215" s="562"/>
      <c r="H215" s="562"/>
      <c r="I215" s="562" t="str">
        <f t="shared" si="33"/>
        <v>Attachmenttype[126]</v>
      </c>
      <c r="J215" s="730">
        <f t="shared" si="28"/>
        <v>128</v>
      </c>
      <c r="K215" s="730" t="str">
        <f t="shared" si="25"/>
        <v/>
      </c>
      <c r="L215" s="730" t="str">
        <f t="shared" si="26"/>
        <v/>
      </c>
      <c r="M215" s="730" t="str">
        <f t="shared" si="27"/>
        <v/>
      </c>
      <c r="N215" s="731">
        <f t="shared" si="29"/>
        <v>128</v>
      </c>
    </row>
    <row r="216" spans="1:14" ht="13.5" customHeight="1" x14ac:dyDescent="0.2">
      <c r="A216" s="562" t="str">
        <f t="shared" si="30"/>
        <v>Auxiliar4</v>
      </c>
      <c r="B216" s="562"/>
      <c r="C216" s="562"/>
      <c r="D216" s="562" t="str">
        <f t="shared" si="31"/>
        <v>AA127</v>
      </c>
      <c r="E216" s="562" t="str">
        <f t="shared" si="32"/>
        <v>Get Data</v>
      </c>
      <c r="F216" s="562" t="str">
        <f>'2nd_Post_Processing'!$L$6</f>
        <v>Line</v>
      </c>
      <c r="G216" s="562"/>
      <c r="H216" s="562"/>
      <c r="I216" s="562" t="str">
        <f t="shared" si="33"/>
        <v>Attachmenttype[127]</v>
      </c>
      <c r="J216" s="730">
        <f t="shared" si="28"/>
        <v>129</v>
      </c>
      <c r="K216" s="730" t="str">
        <f t="shared" ref="K216:K279" si="34">IF((J216="jj"),IFERROR(IF(K215="",J$26+1,IF(K215=J$76,"k",K215+1)),"kk"),"")</f>
        <v/>
      </c>
      <c r="L216" s="730" t="str">
        <f t="shared" ref="L216:L279" si="35">IF((K216="kk"),IFERROR(IF(L215="",2,IF(L215=J$26,"l",L215+1)),"ll"),"")</f>
        <v/>
      </c>
      <c r="M216" s="730" t="str">
        <f t="shared" ref="M216:M279" si="36">IF(OR(L216="l",L216="ll"),IFERROR(IF(M215="",2,IF(M215=J$26,"m",M215+1)),"mm"),"")</f>
        <v/>
      </c>
      <c r="N216" s="731">
        <f t="shared" si="29"/>
        <v>129</v>
      </c>
    </row>
    <row r="217" spans="1:14" ht="13.5" customHeight="1" x14ac:dyDescent="0.2">
      <c r="A217" s="562" t="str">
        <f t="shared" si="30"/>
        <v>Auxiliar4</v>
      </c>
      <c r="B217" s="562"/>
      <c r="C217" s="562"/>
      <c r="D217" s="562" t="str">
        <f t="shared" si="31"/>
        <v>AA128</v>
      </c>
      <c r="E217" s="562" t="str">
        <f t="shared" si="32"/>
        <v>Get Data</v>
      </c>
      <c r="F217" s="562" t="str">
        <f>'2nd_Post_Processing'!$L$6</f>
        <v>Line</v>
      </c>
      <c r="G217" s="562"/>
      <c r="H217" s="562"/>
      <c r="I217" s="562" t="str">
        <f t="shared" si="33"/>
        <v>Attachmenttype[128]</v>
      </c>
      <c r="J217" s="730">
        <f t="shared" ref="J217:J280" si="37">IFERROR(IF(J216="",J$26+1,IF(J216=J$85,"j",J216+1)),"jj")</f>
        <v>130</v>
      </c>
      <c r="K217" s="730" t="str">
        <f t="shared" si="34"/>
        <v/>
      </c>
      <c r="L217" s="730" t="str">
        <f t="shared" si="35"/>
        <v/>
      </c>
      <c r="M217" s="730" t="str">
        <f t="shared" si="36"/>
        <v/>
      </c>
      <c r="N217" s="731">
        <f t="shared" ref="N217:N280" si="38">IF(ISNUMBER(M217),"z",IF(ISNUMBER(L217),L217,IF(ISNUMBER(K217),K217,IF(ISNUMBER(J217),J217,""))))</f>
        <v>130</v>
      </c>
    </row>
    <row r="218" spans="1:14" ht="13.5" customHeight="1" x14ac:dyDescent="0.2">
      <c r="A218" s="562" t="str">
        <f t="shared" si="30"/>
        <v>Auxiliar4</v>
      </c>
      <c r="B218" s="562"/>
      <c r="C218" s="562"/>
      <c r="D218" s="562" t="str">
        <f t="shared" si="31"/>
        <v>AA129</v>
      </c>
      <c r="E218" s="562" t="str">
        <f t="shared" si="32"/>
        <v>Get Data</v>
      </c>
      <c r="F218" s="562" t="str">
        <f>'2nd_Post_Processing'!$L$6</f>
        <v>Line</v>
      </c>
      <c r="G218" s="562"/>
      <c r="H218" s="562"/>
      <c r="I218" s="562" t="str">
        <f t="shared" si="33"/>
        <v>Attachmenttype[129]</v>
      </c>
      <c r="J218" s="730">
        <f t="shared" si="37"/>
        <v>131</v>
      </c>
      <c r="K218" s="730" t="str">
        <f t="shared" si="34"/>
        <v/>
      </c>
      <c r="L218" s="730" t="str">
        <f t="shared" si="35"/>
        <v/>
      </c>
      <c r="M218" s="730" t="str">
        <f t="shared" si="36"/>
        <v/>
      </c>
      <c r="N218" s="731">
        <f t="shared" si="38"/>
        <v>131</v>
      </c>
    </row>
    <row r="219" spans="1:14" ht="13.5" customHeight="1" x14ac:dyDescent="0.2">
      <c r="A219" s="562" t="str">
        <f t="shared" ref="A219:A282" si="39">IF(N217="","",IF(ISNUMBER(J217),"Auxiliar4",IF(ISNUMBER(K217),"Auxiliar3",IF(ISNUMBER(L217),"Auxiliar2",IF(ISNUMBER(M217),"Auxiliar2")))))</f>
        <v>Auxiliar4</v>
      </c>
      <c r="B219" s="562"/>
      <c r="C219" s="562"/>
      <c r="D219" s="562" t="str">
        <f t="shared" ref="D219:D282" si="40">IF(N217="z",CONCATENATE("AB",M217),IF(N217="","",CONCATENATE("AA",N217)))</f>
        <v>AA130</v>
      </c>
      <c r="E219" s="562" t="str">
        <f t="shared" ref="E219:E282" si="41">IF(N217="",IF(J217="j","Load Cont1.sim",IF(K217="k","Load Estatico.sim","")),"Get Data")</f>
        <v>Get Data</v>
      </c>
      <c r="F219" s="562" t="str">
        <f>'2nd_Post_Processing'!$L$6</f>
        <v>Line</v>
      </c>
      <c r="G219" s="562"/>
      <c r="H219" s="562"/>
      <c r="I219" s="562" t="str">
        <f t="shared" ref="I219:I282" si="42">IF(N217="z",CONCATENATE("Attachmentz[",M217,"]"),IF(N217="","",CONCATENATE("Attachmenttype[",N217,"]")))</f>
        <v>Attachmenttype[130]</v>
      </c>
      <c r="J219" s="730">
        <f t="shared" si="37"/>
        <v>132</v>
      </c>
      <c r="K219" s="730" t="str">
        <f t="shared" si="34"/>
        <v/>
      </c>
      <c r="L219" s="730" t="str">
        <f t="shared" si="35"/>
        <v/>
      </c>
      <c r="M219" s="730" t="str">
        <f t="shared" si="36"/>
        <v/>
      </c>
      <c r="N219" s="731">
        <f t="shared" si="38"/>
        <v>132</v>
      </c>
    </row>
    <row r="220" spans="1:14" ht="13.5" customHeight="1" x14ac:dyDescent="0.2">
      <c r="A220" s="562" t="str">
        <f t="shared" si="39"/>
        <v>Auxiliar4</v>
      </c>
      <c r="B220" s="562"/>
      <c r="C220" s="562"/>
      <c r="D220" s="562" t="str">
        <f t="shared" si="40"/>
        <v>AA131</v>
      </c>
      <c r="E220" s="562" t="str">
        <f t="shared" si="41"/>
        <v>Get Data</v>
      </c>
      <c r="F220" s="562" t="str">
        <f>'2nd_Post_Processing'!$L$6</f>
        <v>Line</v>
      </c>
      <c r="G220" s="562"/>
      <c r="H220" s="562"/>
      <c r="I220" s="562" t="str">
        <f t="shared" si="42"/>
        <v>Attachmenttype[131]</v>
      </c>
      <c r="J220" s="730">
        <f t="shared" si="37"/>
        <v>133</v>
      </c>
      <c r="K220" s="730" t="str">
        <f t="shared" si="34"/>
        <v/>
      </c>
      <c r="L220" s="730" t="str">
        <f t="shared" si="35"/>
        <v/>
      </c>
      <c r="M220" s="730" t="str">
        <f t="shared" si="36"/>
        <v/>
      </c>
      <c r="N220" s="731">
        <f t="shared" si="38"/>
        <v>133</v>
      </c>
    </row>
    <row r="221" spans="1:14" ht="13.5" customHeight="1" x14ac:dyDescent="0.2">
      <c r="A221" s="562" t="str">
        <f t="shared" si="39"/>
        <v>Auxiliar4</v>
      </c>
      <c r="B221" s="562"/>
      <c r="C221" s="562"/>
      <c r="D221" s="562" t="str">
        <f t="shared" si="40"/>
        <v>AA132</v>
      </c>
      <c r="E221" s="562" t="str">
        <f t="shared" si="41"/>
        <v>Get Data</v>
      </c>
      <c r="F221" s="562" t="str">
        <f>'2nd_Post_Processing'!$L$6</f>
        <v>Line</v>
      </c>
      <c r="G221" s="562"/>
      <c r="H221" s="562"/>
      <c r="I221" s="562" t="str">
        <f t="shared" si="42"/>
        <v>Attachmenttype[132]</v>
      </c>
      <c r="J221" s="730">
        <f t="shared" si="37"/>
        <v>134</v>
      </c>
      <c r="K221" s="730" t="str">
        <f t="shared" si="34"/>
        <v/>
      </c>
      <c r="L221" s="730" t="str">
        <f t="shared" si="35"/>
        <v/>
      </c>
      <c r="M221" s="730" t="str">
        <f t="shared" si="36"/>
        <v/>
      </c>
      <c r="N221" s="731">
        <f t="shared" si="38"/>
        <v>134</v>
      </c>
    </row>
    <row r="222" spans="1:14" ht="13.5" customHeight="1" x14ac:dyDescent="0.2">
      <c r="A222" s="562" t="str">
        <f t="shared" si="39"/>
        <v>Auxiliar4</v>
      </c>
      <c r="B222" s="562"/>
      <c r="C222" s="562"/>
      <c r="D222" s="562" t="str">
        <f t="shared" si="40"/>
        <v>AA133</v>
      </c>
      <c r="E222" s="562" t="str">
        <f t="shared" si="41"/>
        <v>Get Data</v>
      </c>
      <c r="F222" s="562" t="str">
        <f>'2nd_Post_Processing'!$L$6</f>
        <v>Line</v>
      </c>
      <c r="G222" s="562"/>
      <c r="H222" s="562"/>
      <c r="I222" s="562" t="str">
        <f t="shared" si="42"/>
        <v>Attachmenttype[133]</v>
      </c>
      <c r="J222" s="730">
        <f t="shared" si="37"/>
        <v>135</v>
      </c>
      <c r="K222" s="730" t="str">
        <f t="shared" si="34"/>
        <v/>
      </c>
      <c r="L222" s="730" t="str">
        <f t="shared" si="35"/>
        <v/>
      </c>
      <c r="M222" s="730" t="str">
        <f t="shared" si="36"/>
        <v/>
      </c>
      <c r="N222" s="731">
        <f t="shared" si="38"/>
        <v>135</v>
      </c>
    </row>
    <row r="223" spans="1:14" ht="13.5" customHeight="1" x14ac:dyDescent="0.2">
      <c r="A223" s="562" t="str">
        <f t="shared" si="39"/>
        <v>Auxiliar4</v>
      </c>
      <c r="B223" s="562"/>
      <c r="C223" s="562"/>
      <c r="D223" s="562" t="str">
        <f t="shared" si="40"/>
        <v>AA134</v>
      </c>
      <c r="E223" s="562" t="str">
        <f t="shared" si="41"/>
        <v>Get Data</v>
      </c>
      <c r="F223" s="562" t="str">
        <f>'2nd_Post_Processing'!$L$6</f>
        <v>Line</v>
      </c>
      <c r="G223" s="562"/>
      <c r="H223" s="562"/>
      <c r="I223" s="562" t="str">
        <f t="shared" si="42"/>
        <v>Attachmenttype[134]</v>
      </c>
      <c r="J223" s="730">
        <f t="shared" si="37"/>
        <v>136</v>
      </c>
      <c r="K223" s="730" t="str">
        <f t="shared" si="34"/>
        <v/>
      </c>
      <c r="L223" s="730" t="str">
        <f t="shared" si="35"/>
        <v/>
      </c>
      <c r="M223" s="730" t="str">
        <f t="shared" si="36"/>
        <v/>
      </c>
      <c r="N223" s="731">
        <f t="shared" si="38"/>
        <v>136</v>
      </c>
    </row>
    <row r="224" spans="1:14" ht="13.5" customHeight="1" x14ac:dyDescent="0.2">
      <c r="A224" s="562" t="str">
        <f t="shared" si="39"/>
        <v>Auxiliar4</v>
      </c>
      <c r="B224" s="562"/>
      <c r="C224" s="562"/>
      <c r="D224" s="562" t="str">
        <f t="shared" si="40"/>
        <v>AA135</v>
      </c>
      <c r="E224" s="562" t="str">
        <f t="shared" si="41"/>
        <v>Get Data</v>
      </c>
      <c r="F224" s="562" t="str">
        <f>'2nd_Post_Processing'!$L$6</f>
        <v>Line</v>
      </c>
      <c r="G224" s="562"/>
      <c r="H224" s="562"/>
      <c r="I224" s="562" t="str">
        <f t="shared" si="42"/>
        <v>Attachmenttype[135]</v>
      </c>
      <c r="J224" s="730">
        <f t="shared" si="37"/>
        <v>137</v>
      </c>
      <c r="K224" s="730" t="str">
        <f t="shared" si="34"/>
        <v/>
      </c>
      <c r="L224" s="730" t="str">
        <f t="shared" si="35"/>
        <v/>
      </c>
      <c r="M224" s="730" t="str">
        <f t="shared" si="36"/>
        <v/>
      </c>
      <c r="N224" s="731">
        <f t="shared" si="38"/>
        <v>137</v>
      </c>
    </row>
    <row r="225" spans="1:14" ht="13.5" customHeight="1" x14ac:dyDescent="0.2">
      <c r="A225" s="562" t="str">
        <f t="shared" si="39"/>
        <v>Auxiliar4</v>
      </c>
      <c r="B225" s="562"/>
      <c r="C225" s="562"/>
      <c r="D225" s="562" t="str">
        <f t="shared" si="40"/>
        <v>AA136</v>
      </c>
      <c r="E225" s="562" t="str">
        <f t="shared" si="41"/>
        <v>Get Data</v>
      </c>
      <c r="F225" s="562" t="str">
        <f>'2nd_Post_Processing'!$L$6</f>
        <v>Line</v>
      </c>
      <c r="G225" s="562"/>
      <c r="H225" s="562"/>
      <c r="I225" s="562" t="str">
        <f t="shared" si="42"/>
        <v>Attachmenttype[136]</v>
      </c>
      <c r="J225" s="730">
        <f t="shared" si="37"/>
        <v>138</v>
      </c>
      <c r="K225" s="730" t="str">
        <f t="shared" si="34"/>
        <v/>
      </c>
      <c r="L225" s="730" t="str">
        <f t="shared" si="35"/>
        <v/>
      </c>
      <c r="M225" s="730" t="str">
        <f t="shared" si="36"/>
        <v/>
      </c>
      <c r="N225" s="731">
        <f t="shared" si="38"/>
        <v>138</v>
      </c>
    </row>
    <row r="226" spans="1:14" ht="13.5" customHeight="1" x14ac:dyDescent="0.2">
      <c r="A226" s="562" t="str">
        <f t="shared" si="39"/>
        <v>Auxiliar4</v>
      </c>
      <c r="B226" s="562"/>
      <c r="C226" s="562"/>
      <c r="D226" s="562" t="str">
        <f t="shared" si="40"/>
        <v>AA137</v>
      </c>
      <c r="E226" s="562" t="str">
        <f t="shared" si="41"/>
        <v>Get Data</v>
      </c>
      <c r="F226" s="562" t="str">
        <f>'2nd_Post_Processing'!$L$6</f>
        <v>Line</v>
      </c>
      <c r="G226" s="562"/>
      <c r="H226" s="562"/>
      <c r="I226" s="562" t="str">
        <f t="shared" si="42"/>
        <v>Attachmenttype[137]</v>
      </c>
      <c r="J226" s="730">
        <f t="shared" si="37"/>
        <v>139</v>
      </c>
      <c r="K226" s="730" t="str">
        <f t="shared" si="34"/>
        <v/>
      </c>
      <c r="L226" s="730" t="str">
        <f t="shared" si="35"/>
        <v/>
      </c>
      <c r="M226" s="730" t="str">
        <f t="shared" si="36"/>
        <v/>
      </c>
      <c r="N226" s="731">
        <f t="shared" si="38"/>
        <v>139</v>
      </c>
    </row>
    <row r="227" spans="1:14" ht="13.5" customHeight="1" x14ac:dyDescent="0.2">
      <c r="A227" s="562" t="str">
        <f t="shared" si="39"/>
        <v>Auxiliar4</v>
      </c>
      <c r="B227" s="562"/>
      <c r="C227" s="562"/>
      <c r="D227" s="562" t="str">
        <f t="shared" si="40"/>
        <v>AA138</v>
      </c>
      <c r="E227" s="562" t="str">
        <f t="shared" si="41"/>
        <v>Get Data</v>
      </c>
      <c r="F227" s="562" t="str">
        <f>'2nd_Post_Processing'!$L$6</f>
        <v>Line</v>
      </c>
      <c r="G227" s="562"/>
      <c r="H227" s="562"/>
      <c r="I227" s="562" t="str">
        <f t="shared" si="42"/>
        <v>Attachmenttype[138]</v>
      </c>
      <c r="J227" s="730">
        <f t="shared" si="37"/>
        <v>140</v>
      </c>
      <c r="K227" s="730" t="str">
        <f t="shared" si="34"/>
        <v/>
      </c>
      <c r="L227" s="730" t="str">
        <f t="shared" si="35"/>
        <v/>
      </c>
      <c r="M227" s="730" t="str">
        <f t="shared" si="36"/>
        <v/>
      </c>
      <c r="N227" s="731">
        <f t="shared" si="38"/>
        <v>140</v>
      </c>
    </row>
    <row r="228" spans="1:14" ht="13.5" customHeight="1" x14ac:dyDescent="0.2">
      <c r="A228" s="562" t="str">
        <f t="shared" si="39"/>
        <v>Auxiliar4</v>
      </c>
      <c r="B228" s="562"/>
      <c r="C228" s="562"/>
      <c r="D228" s="562" t="str">
        <f t="shared" si="40"/>
        <v>AA139</v>
      </c>
      <c r="E228" s="562" t="str">
        <f t="shared" si="41"/>
        <v>Get Data</v>
      </c>
      <c r="F228" s="562" t="str">
        <f>'2nd_Post_Processing'!$L$6</f>
        <v>Line</v>
      </c>
      <c r="G228" s="562"/>
      <c r="H228" s="562"/>
      <c r="I228" s="562" t="str">
        <f t="shared" si="42"/>
        <v>Attachmenttype[139]</v>
      </c>
      <c r="J228" s="730">
        <f t="shared" si="37"/>
        <v>141</v>
      </c>
      <c r="K228" s="730" t="str">
        <f t="shared" si="34"/>
        <v/>
      </c>
      <c r="L228" s="730" t="str">
        <f t="shared" si="35"/>
        <v/>
      </c>
      <c r="M228" s="730" t="str">
        <f t="shared" si="36"/>
        <v/>
      </c>
      <c r="N228" s="731">
        <f t="shared" si="38"/>
        <v>141</v>
      </c>
    </row>
    <row r="229" spans="1:14" ht="13.5" customHeight="1" x14ac:dyDescent="0.2">
      <c r="A229" s="562" t="str">
        <f t="shared" si="39"/>
        <v>Auxiliar4</v>
      </c>
      <c r="B229" s="562"/>
      <c r="C229" s="562"/>
      <c r="D229" s="562" t="str">
        <f t="shared" si="40"/>
        <v>AA140</v>
      </c>
      <c r="E229" s="562" t="str">
        <f t="shared" si="41"/>
        <v>Get Data</v>
      </c>
      <c r="F229" s="562" t="str">
        <f>'2nd_Post_Processing'!$L$6</f>
        <v>Line</v>
      </c>
      <c r="G229" s="562"/>
      <c r="H229" s="562"/>
      <c r="I229" s="562" t="str">
        <f t="shared" si="42"/>
        <v>Attachmenttype[140]</v>
      </c>
      <c r="J229" s="730">
        <f t="shared" si="37"/>
        <v>142</v>
      </c>
      <c r="K229" s="730" t="str">
        <f t="shared" si="34"/>
        <v/>
      </c>
      <c r="L229" s="730" t="str">
        <f t="shared" si="35"/>
        <v/>
      </c>
      <c r="M229" s="730" t="str">
        <f t="shared" si="36"/>
        <v/>
      </c>
      <c r="N229" s="731">
        <f t="shared" si="38"/>
        <v>142</v>
      </c>
    </row>
    <row r="230" spans="1:14" ht="13.5" customHeight="1" x14ac:dyDescent="0.2">
      <c r="A230" s="562" t="str">
        <f t="shared" si="39"/>
        <v>Auxiliar4</v>
      </c>
      <c r="B230" s="562"/>
      <c r="C230" s="562"/>
      <c r="D230" s="562" t="str">
        <f t="shared" si="40"/>
        <v>AA141</v>
      </c>
      <c r="E230" s="562" t="str">
        <f t="shared" si="41"/>
        <v>Get Data</v>
      </c>
      <c r="F230" s="562" t="str">
        <f>'2nd_Post_Processing'!$L$6</f>
        <v>Line</v>
      </c>
      <c r="G230" s="562"/>
      <c r="H230" s="562"/>
      <c r="I230" s="562" t="str">
        <f t="shared" si="42"/>
        <v>Attachmenttype[141]</v>
      </c>
      <c r="J230" s="730">
        <f t="shared" si="37"/>
        <v>143</v>
      </c>
      <c r="K230" s="730" t="str">
        <f t="shared" si="34"/>
        <v/>
      </c>
      <c r="L230" s="730" t="str">
        <f t="shared" si="35"/>
        <v/>
      </c>
      <c r="M230" s="730" t="str">
        <f t="shared" si="36"/>
        <v/>
      </c>
      <c r="N230" s="731">
        <f t="shared" si="38"/>
        <v>143</v>
      </c>
    </row>
    <row r="231" spans="1:14" ht="13.5" customHeight="1" x14ac:dyDescent="0.2">
      <c r="A231" s="562" t="str">
        <f t="shared" si="39"/>
        <v>Auxiliar4</v>
      </c>
      <c r="B231" s="562"/>
      <c r="C231" s="562"/>
      <c r="D231" s="562" t="str">
        <f t="shared" si="40"/>
        <v>AA142</v>
      </c>
      <c r="E231" s="562" t="str">
        <f t="shared" si="41"/>
        <v>Get Data</v>
      </c>
      <c r="F231" s="562" t="str">
        <f>'2nd_Post_Processing'!$L$6</f>
        <v>Line</v>
      </c>
      <c r="G231" s="562"/>
      <c r="H231" s="562"/>
      <c r="I231" s="562" t="str">
        <f t="shared" si="42"/>
        <v>Attachmenttype[142]</v>
      </c>
      <c r="J231" s="730">
        <f t="shared" si="37"/>
        <v>144</v>
      </c>
      <c r="K231" s="730" t="str">
        <f t="shared" si="34"/>
        <v/>
      </c>
      <c r="L231" s="730" t="str">
        <f t="shared" si="35"/>
        <v/>
      </c>
      <c r="M231" s="730" t="str">
        <f t="shared" si="36"/>
        <v/>
      </c>
      <c r="N231" s="731">
        <f t="shared" si="38"/>
        <v>144</v>
      </c>
    </row>
    <row r="232" spans="1:14" ht="13.5" customHeight="1" x14ac:dyDescent="0.2">
      <c r="A232" s="562" t="str">
        <f t="shared" si="39"/>
        <v>Auxiliar4</v>
      </c>
      <c r="B232" s="562"/>
      <c r="C232" s="562"/>
      <c r="D232" s="562" t="str">
        <f t="shared" si="40"/>
        <v>AA143</v>
      </c>
      <c r="E232" s="562" t="str">
        <f t="shared" si="41"/>
        <v>Get Data</v>
      </c>
      <c r="F232" s="562" t="str">
        <f>'2nd_Post_Processing'!$L$6</f>
        <v>Line</v>
      </c>
      <c r="G232" s="562"/>
      <c r="H232" s="562"/>
      <c r="I232" s="562" t="str">
        <f t="shared" si="42"/>
        <v>Attachmenttype[143]</v>
      </c>
      <c r="J232" s="730">
        <f t="shared" si="37"/>
        <v>145</v>
      </c>
      <c r="K232" s="730" t="str">
        <f t="shared" si="34"/>
        <v/>
      </c>
      <c r="L232" s="730" t="str">
        <f t="shared" si="35"/>
        <v/>
      </c>
      <c r="M232" s="730" t="str">
        <f t="shared" si="36"/>
        <v/>
      </c>
      <c r="N232" s="731">
        <f t="shared" si="38"/>
        <v>145</v>
      </c>
    </row>
    <row r="233" spans="1:14" ht="13.5" customHeight="1" x14ac:dyDescent="0.2">
      <c r="A233" s="562" t="str">
        <f t="shared" si="39"/>
        <v>Auxiliar4</v>
      </c>
      <c r="B233" s="562"/>
      <c r="C233" s="562"/>
      <c r="D233" s="562" t="str">
        <f t="shared" si="40"/>
        <v>AA144</v>
      </c>
      <c r="E233" s="562" t="str">
        <f t="shared" si="41"/>
        <v>Get Data</v>
      </c>
      <c r="F233" s="562" t="str">
        <f>'2nd_Post_Processing'!$L$6</f>
        <v>Line</v>
      </c>
      <c r="G233" s="562"/>
      <c r="H233" s="562"/>
      <c r="I233" s="562" t="str">
        <f t="shared" si="42"/>
        <v>Attachmenttype[144]</v>
      </c>
      <c r="J233" s="730">
        <f t="shared" si="37"/>
        <v>146</v>
      </c>
      <c r="K233" s="730" t="str">
        <f t="shared" si="34"/>
        <v/>
      </c>
      <c r="L233" s="730" t="str">
        <f t="shared" si="35"/>
        <v/>
      </c>
      <c r="M233" s="730" t="str">
        <f t="shared" si="36"/>
        <v/>
      </c>
      <c r="N233" s="731">
        <f t="shared" si="38"/>
        <v>146</v>
      </c>
    </row>
    <row r="234" spans="1:14" ht="13.5" customHeight="1" x14ac:dyDescent="0.2">
      <c r="A234" s="562" t="str">
        <f t="shared" si="39"/>
        <v>Auxiliar4</v>
      </c>
      <c r="B234" s="562"/>
      <c r="C234" s="562"/>
      <c r="D234" s="562" t="str">
        <f t="shared" si="40"/>
        <v>AA145</v>
      </c>
      <c r="E234" s="562" t="str">
        <f t="shared" si="41"/>
        <v>Get Data</v>
      </c>
      <c r="F234" s="562" t="str">
        <f>'2nd_Post_Processing'!$L$6</f>
        <v>Line</v>
      </c>
      <c r="G234" s="562"/>
      <c r="H234" s="562"/>
      <c r="I234" s="562" t="str">
        <f t="shared" si="42"/>
        <v>Attachmenttype[145]</v>
      </c>
      <c r="J234" s="730">
        <f t="shared" si="37"/>
        <v>147</v>
      </c>
      <c r="K234" s="730" t="str">
        <f t="shared" si="34"/>
        <v/>
      </c>
      <c r="L234" s="730" t="str">
        <f t="shared" si="35"/>
        <v/>
      </c>
      <c r="M234" s="730" t="str">
        <f t="shared" si="36"/>
        <v/>
      </c>
      <c r="N234" s="731">
        <f t="shared" si="38"/>
        <v>147</v>
      </c>
    </row>
    <row r="235" spans="1:14" ht="13.5" customHeight="1" x14ac:dyDescent="0.2">
      <c r="A235" s="562" t="str">
        <f t="shared" si="39"/>
        <v>Auxiliar4</v>
      </c>
      <c r="B235" s="562"/>
      <c r="C235" s="562"/>
      <c r="D235" s="562" t="str">
        <f t="shared" si="40"/>
        <v>AA146</v>
      </c>
      <c r="E235" s="562" t="str">
        <f t="shared" si="41"/>
        <v>Get Data</v>
      </c>
      <c r="F235" s="562" t="str">
        <f>'2nd_Post_Processing'!$L$6</f>
        <v>Line</v>
      </c>
      <c r="G235" s="562"/>
      <c r="H235" s="562"/>
      <c r="I235" s="562" t="str">
        <f t="shared" si="42"/>
        <v>Attachmenttype[146]</v>
      </c>
      <c r="J235" s="730">
        <f t="shared" si="37"/>
        <v>148</v>
      </c>
      <c r="K235" s="730" t="str">
        <f t="shared" si="34"/>
        <v/>
      </c>
      <c r="L235" s="730" t="str">
        <f t="shared" si="35"/>
        <v/>
      </c>
      <c r="M235" s="730" t="str">
        <f t="shared" si="36"/>
        <v/>
      </c>
      <c r="N235" s="731">
        <f t="shared" si="38"/>
        <v>148</v>
      </c>
    </row>
    <row r="236" spans="1:14" ht="13.5" customHeight="1" x14ac:dyDescent="0.2">
      <c r="A236" s="562" t="str">
        <f t="shared" si="39"/>
        <v>Auxiliar4</v>
      </c>
      <c r="B236" s="562"/>
      <c r="C236" s="562"/>
      <c r="D236" s="562" t="str">
        <f t="shared" si="40"/>
        <v>AA147</v>
      </c>
      <c r="E236" s="562" t="str">
        <f t="shared" si="41"/>
        <v>Get Data</v>
      </c>
      <c r="F236" s="562" t="str">
        <f>'2nd_Post_Processing'!$L$6</f>
        <v>Line</v>
      </c>
      <c r="G236" s="562"/>
      <c r="H236" s="562"/>
      <c r="I236" s="562" t="str">
        <f t="shared" si="42"/>
        <v>Attachmenttype[147]</v>
      </c>
      <c r="J236" s="730">
        <f t="shared" si="37"/>
        <v>149</v>
      </c>
      <c r="K236" s="730" t="str">
        <f t="shared" si="34"/>
        <v/>
      </c>
      <c r="L236" s="730" t="str">
        <f t="shared" si="35"/>
        <v/>
      </c>
      <c r="M236" s="730" t="str">
        <f t="shared" si="36"/>
        <v/>
      </c>
      <c r="N236" s="731">
        <f t="shared" si="38"/>
        <v>149</v>
      </c>
    </row>
    <row r="237" spans="1:14" ht="13.5" customHeight="1" x14ac:dyDescent="0.2">
      <c r="A237" s="562" t="str">
        <f t="shared" si="39"/>
        <v>Auxiliar4</v>
      </c>
      <c r="B237" s="562"/>
      <c r="C237" s="562"/>
      <c r="D237" s="562" t="str">
        <f t="shared" si="40"/>
        <v>AA148</v>
      </c>
      <c r="E237" s="562" t="str">
        <f t="shared" si="41"/>
        <v>Get Data</v>
      </c>
      <c r="F237" s="562" t="str">
        <f>'2nd_Post_Processing'!$L$6</f>
        <v>Line</v>
      </c>
      <c r="G237" s="562"/>
      <c r="H237" s="562"/>
      <c r="I237" s="562" t="str">
        <f t="shared" si="42"/>
        <v>Attachmenttype[148]</v>
      </c>
      <c r="J237" s="730">
        <f t="shared" si="37"/>
        <v>150</v>
      </c>
      <c r="K237" s="730" t="str">
        <f t="shared" si="34"/>
        <v/>
      </c>
      <c r="L237" s="730" t="str">
        <f t="shared" si="35"/>
        <v/>
      </c>
      <c r="M237" s="730" t="str">
        <f t="shared" si="36"/>
        <v/>
      </c>
      <c r="N237" s="731">
        <f t="shared" si="38"/>
        <v>150</v>
      </c>
    </row>
    <row r="238" spans="1:14" ht="13.5" customHeight="1" x14ac:dyDescent="0.2">
      <c r="A238" s="562" t="str">
        <f t="shared" si="39"/>
        <v>Auxiliar4</v>
      </c>
      <c r="B238" s="562"/>
      <c r="C238" s="562"/>
      <c r="D238" s="562" t="str">
        <f t="shared" si="40"/>
        <v>AA149</v>
      </c>
      <c r="E238" s="562" t="str">
        <f t="shared" si="41"/>
        <v>Get Data</v>
      </c>
      <c r="F238" s="562" t="str">
        <f>'2nd_Post_Processing'!$L$6</f>
        <v>Line</v>
      </c>
      <c r="G238" s="562"/>
      <c r="H238" s="562"/>
      <c r="I238" s="562" t="str">
        <f t="shared" si="42"/>
        <v>Attachmenttype[149]</v>
      </c>
      <c r="J238" s="730">
        <f t="shared" si="37"/>
        <v>151</v>
      </c>
      <c r="K238" s="730" t="str">
        <f t="shared" si="34"/>
        <v/>
      </c>
      <c r="L238" s="730" t="str">
        <f t="shared" si="35"/>
        <v/>
      </c>
      <c r="M238" s="730" t="str">
        <f t="shared" si="36"/>
        <v/>
      </c>
      <c r="N238" s="731">
        <f t="shared" si="38"/>
        <v>151</v>
      </c>
    </row>
    <row r="239" spans="1:14" ht="13.5" customHeight="1" x14ac:dyDescent="0.2">
      <c r="A239" s="562" t="str">
        <f t="shared" si="39"/>
        <v>Auxiliar4</v>
      </c>
      <c r="B239" s="562"/>
      <c r="C239" s="562"/>
      <c r="D239" s="562" t="str">
        <f t="shared" si="40"/>
        <v>AA150</v>
      </c>
      <c r="E239" s="562" t="str">
        <f t="shared" si="41"/>
        <v>Get Data</v>
      </c>
      <c r="F239" s="562" t="str">
        <f>'2nd_Post_Processing'!$L$6</f>
        <v>Line</v>
      </c>
      <c r="G239" s="562"/>
      <c r="H239" s="562"/>
      <c r="I239" s="562" t="str">
        <f t="shared" si="42"/>
        <v>Attachmenttype[150]</v>
      </c>
      <c r="J239" s="730">
        <f t="shared" si="37"/>
        <v>152</v>
      </c>
      <c r="K239" s="730" t="str">
        <f t="shared" si="34"/>
        <v/>
      </c>
      <c r="L239" s="730" t="str">
        <f t="shared" si="35"/>
        <v/>
      </c>
      <c r="M239" s="730" t="str">
        <f t="shared" si="36"/>
        <v/>
      </c>
      <c r="N239" s="731">
        <f t="shared" si="38"/>
        <v>152</v>
      </c>
    </row>
    <row r="240" spans="1:14" ht="13.5" customHeight="1" x14ac:dyDescent="0.2">
      <c r="A240" s="562" t="str">
        <f t="shared" si="39"/>
        <v>Auxiliar4</v>
      </c>
      <c r="B240" s="562"/>
      <c r="C240" s="562"/>
      <c r="D240" s="562" t="str">
        <f t="shared" si="40"/>
        <v>AA151</v>
      </c>
      <c r="E240" s="562" t="str">
        <f t="shared" si="41"/>
        <v>Get Data</v>
      </c>
      <c r="F240" s="562" t="str">
        <f>'2nd_Post_Processing'!$L$6</f>
        <v>Line</v>
      </c>
      <c r="G240" s="562"/>
      <c r="H240" s="562"/>
      <c r="I240" s="562" t="str">
        <f t="shared" si="42"/>
        <v>Attachmenttype[151]</v>
      </c>
      <c r="J240" s="730">
        <f t="shared" si="37"/>
        <v>153</v>
      </c>
      <c r="K240" s="730" t="str">
        <f t="shared" si="34"/>
        <v/>
      </c>
      <c r="L240" s="730" t="str">
        <f t="shared" si="35"/>
        <v/>
      </c>
      <c r="M240" s="730" t="str">
        <f t="shared" si="36"/>
        <v/>
      </c>
      <c r="N240" s="731">
        <f t="shared" si="38"/>
        <v>153</v>
      </c>
    </row>
    <row r="241" spans="1:14" ht="13.5" customHeight="1" x14ac:dyDescent="0.2">
      <c r="A241" s="562" t="str">
        <f t="shared" si="39"/>
        <v>Auxiliar4</v>
      </c>
      <c r="B241" s="562"/>
      <c r="C241" s="562"/>
      <c r="D241" s="562" t="str">
        <f t="shared" si="40"/>
        <v>AA152</v>
      </c>
      <c r="E241" s="562" t="str">
        <f t="shared" si="41"/>
        <v>Get Data</v>
      </c>
      <c r="F241" s="562" t="str">
        <f>'2nd_Post_Processing'!$L$6</f>
        <v>Line</v>
      </c>
      <c r="G241" s="562"/>
      <c r="H241" s="562"/>
      <c r="I241" s="562" t="str">
        <f t="shared" si="42"/>
        <v>Attachmenttype[152]</v>
      </c>
      <c r="J241" s="730">
        <f t="shared" si="37"/>
        <v>154</v>
      </c>
      <c r="K241" s="730" t="str">
        <f t="shared" si="34"/>
        <v/>
      </c>
      <c r="L241" s="730" t="str">
        <f t="shared" si="35"/>
        <v/>
      </c>
      <c r="M241" s="730" t="str">
        <f t="shared" si="36"/>
        <v/>
      </c>
      <c r="N241" s="731">
        <f t="shared" si="38"/>
        <v>154</v>
      </c>
    </row>
    <row r="242" spans="1:14" ht="13.5" customHeight="1" x14ac:dyDescent="0.2">
      <c r="A242" s="562" t="str">
        <f t="shared" si="39"/>
        <v>Auxiliar4</v>
      </c>
      <c r="B242" s="562"/>
      <c r="C242" s="562"/>
      <c r="D242" s="562" t="str">
        <f t="shared" si="40"/>
        <v>AA153</v>
      </c>
      <c r="E242" s="562" t="str">
        <f t="shared" si="41"/>
        <v>Get Data</v>
      </c>
      <c r="F242" s="562" t="str">
        <f>'2nd_Post_Processing'!$L$6</f>
        <v>Line</v>
      </c>
      <c r="G242" s="562"/>
      <c r="H242" s="562"/>
      <c r="I242" s="562" t="str">
        <f t="shared" si="42"/>
        <v>Attachmenttype[153]</v>
      </c>
      <c r="J242" s="730">
        <f t="shared" si="37"/>
        <v>155</v>
      </c>
      <c r="K242" s="730" t="str">
        <f t="shared" si="34"/>
        <v/>
      </c>
      <c r="L242" s="730" t="str">
        <f t="shared" si="35"/>
        <v/>
      </c>
      <c r="M242" s="730" t="str">
        <f t="shared" si="36"/>
        <v/>
      </c>
      <c r="N242" s="731">
        <f t="shared" si="38"/>
        <v>155</v>
      </c>
    </row>
    <row r="243" spans="1:14" ht="13.5" customHeight="1" x14ac:dyDescent="0.2">
      <c r="A243" s="562" t="str">
        <f t="shared" si="39"/>
        <v>Auxiliar4</v>
      </c>
      <c r="B243" s="562"/>
      <c r="C243" s="562"/>
      <c r="D243" s="562" t="str">
        <f t="shared" si="40"/>
        <v>AA154</v>
      </c>
      <c r="E243" s="562" t="str">
        <f t="shared" si="41"/>
        <v>Get Data</v>
      </c>
      <c r="F243" s="562" t="str">
        <f>'2nd_Post_Processing'!$L$6</f>
        <v>Line</v>
      </c>
      <c r="G243" s="562"/>
      <c r="H243" s="562"/>
      <c r="I243" s="562" t="str">
        <f t="shared" si="42"/>
        <v>Attachmenttype[154]</v>
      </c>
      <c r="J243" s="730">
        <f t="shared" si="37"/>
        <v>156</v>
      </c>
      <c r="K243" s="730" t="str">
        <f t="shared" si="34"/>
        <v/>
      </c>
      <c r="L243" s="730" t="str">
        <f t="shared" si="35"/>
        <v/>
      </c>
      <c r="M243" s="730" t="str">
        <f t="shared" si="36"/>
        <v/>
      </c>
      <c r="N243" s="731">
        <f t="shared" si="38"/>
        <v>156</v>
      </c>
    </row>
    <row r="244" spans="1:14" ht="13.5" customHeight="1" x14ac:dyDescent="0.2">
      <c r="A244" s="562" t="str">
        <f t="shared" si="39"/>
        <v>Auxiliar4</v>
      </c>
      <c r="B244" s="562"/>
      <c r="C244" s="562"/>
      <c r="D244" s="562" t="str">
        <f t="shared" si="40"/>
        <v>AA155</v>
      </c>
      <c r="E244" s="562" t="str">
        <f t="shared" si="41"/>
        <v>Get Data</v>
      </c>
      <c r="F244" s="562" t="str">
        <f>'2nd_Post_Processing'!$L$6</f>
        <v>Line</v>
      </c>
      <c r="G244" s="562"/>
      <c r="H244" s="562"/>
      <c r="I244" s="562" t="str">
        <f t="shared" si="42"/>
        <v>Attachmenttype[155]</v>
      </c>
      <c r="J244" s="730">
        <f t="shared" si="37"/>
        <v>157</v>
      </c>
      <c r="K244" s="730" t="str">
        <f t="shared" si="34"/>
        <v/>
      </c>
      <c r="L244" s="730" t="str">
        <f t="shared" si="35"/>
        <v/>
      </c>
      <c r="M244" s="730" t="str">
        <f t="shared" si="36"/>
        <v/>
      </c>
      <c r="N244" s="731">
        <f t="shared" si="38"/>
        <v>157</v>
      </c>
    </row>
    <row r="245" spans="1:14" ht="13.5" customHeight="1" x14ac:dyDescent="0.2">
      <c r="A245" s="562" t="str">
        <f t="shared" si="39"/>
        <v>Auxiliar4</v>
      </c>
      <c r="B245" s="562"/>
      <c r="C245" s="562"/>
      <c r="D245" s="562" t="str">
        <f t="shared" si="40"/>
        <v>AA156</v>
      </c>
      <c r="E245" s="562" t="str">
        <f t="shared" si="41"/>
        <v>Get Data</v>
      </c>
      <c r="F245" s="562" t="str">
        <f>'2nd_Post_Processing'!$L$6</f>
        <v>Line</v>
      </c>
      <c r="G245" s="562"/>
      <c r="H245" s="562"/>
      <c r="I245" s="562" t="str">
        <f t="shared" si="42"/>
        <v>Attachmenttype[156]</v>
      </c>
      <c r="J245" s="730">
        <f t="shared" si="37"/>
        <v>158</v>
      </c>
      <c r="K245" s="730" t="str">
        <f t="shared" si="34"/>
        <v/>
      </c>
      <c r="L245" s="730" t="str">
        <f t="shared" si="35"/>
        <v/>
      </c>
      <c r="M245" s="730" t="str">
        <f t="shared" si="36"/>
        <v/>
      </c>
      <c r="N245" s="731">
        <f t="shared" si="38"/>
        <v>158</v>
      </c>
    </row>
    <row r="246" spans="1:14" ht="13.5" customHeight="1" x14ac:dyDescent="0.2">
      <c r="A246" s="562" t="str">
        <f t="shared" si="39"/>
        <v>Auxiliar4</v>
      </c>
      <c r="B246" s="562"/>
      <c r="C246" s="562"/>
      <c r="D246" s="562" t="str">
        <f t="shared" si="40"/>
        <v>AA157</v>
      </c>
      <c r="E246" s="562" t="str">
        <f t="shared" si="41"/>
        <v>Get Data</v>
      </c>
      <c r="F246" s="562" t="str">
        <f>'2nd_Post_Processing'!$L$6</f>
        <v>Line</v>
      </c>
      <c r="G246" s="562"/>
      <c r="H246" s="562"/>
      <c r="I246" s="562" t="str">
        <f t="shared" si="42"/>
        <v>Attachmenttype[157]</v>
      </c>
      <c r="J246" s="730">
        <f t="shared" si="37"/>
        <v>159</v>
      </c>
      <c r="K246" s="730" t="str">
        <f t="shared" si="34"/>
        <v/>
      </c>
      <c r="L246" s="730" t="str">
        <f t="shared" si="35"/>
        <v/>
      </c>
      <c r="M246" s="730" t="str">
        <f t="shared" si="36"/>
        <v/>
      </c>
      <c r="N246" s="731">
        <f t="shared" si="38"/>
        <v>159</v>
      </c>
    </row>
    <row r="247" spans="1:14" ht="13.5" customHeight="1" x14ac:dyDescent="0.2">
      <c r="A247" s="562" t="str">
        <f t="shared" si="39"/>
        <v>Auxiliar4</v>
      </c>
      <c r="B247" s="562"/>
      <c r="C247" s="562"/>
      <c r="D247" s="562" t="str">
        <f t="shared" si="40"/>
        <v>AA158</v>
      </c>
      <c r="E247" s="562" t="str">
        <f t="shared" si="41"/>
        <v>Get Data</v>
      </c>
      <c r="F247" s="562" t="str">
        <f>'2nd_Post_Processing'!$L$6</f>
        <v>Line</v>
      </c>
      <c r="G247" s="562"/>
      <c r="H247" s="562"/>
      <c r="I247" s="562" t="str">
        <f t="shared" si="42"/>
        <v>Attachmenttype[158]</v>
      </c>
      <c r="J247" s="730">
        <f t="shared" si="37"/>
        <v>160</v>
      </c>
      <c r="K247" s="730" t="str">
        <f t="shared" si="34"/>
        <v/>
      </c>
      <c r="L247" s="730" t="str">
        <f t="shared" si="35"/>
        <v/>
      </c>
      <c r="M247" s="730" t="str">
        <f t="shared" si="36"/>
        <v/>
      </c>
      <c r="N247" s="731">
        <f t="shared" si="38"/>
        <v>160</v>
      </c>
    </row>
    <row r="248" spans="1:14" ht="13.5" customHeight="1" x14ac:dyDescent="0.2">
      <c r="A248" s="562" t="str">
        <f t="shared" si="39"/>
        <v>Auxiliar4</v>
      </c>
      <c r="B248" s="562"/>
      <c r="C248" s="562"/>
      <c r="D248" s="562" t="str">
        <f t="shared" si="40"/>
        <v>AA159</v>
      </c>
      <c r="E248" s="562" t="str">
        <f t="shared" si="41"/>
        <v>Get Data</v>
      </c>
      <c r="F248" s="562" t="str">
        <f>'2nd_Post_Processing'!$L$6</f>
        <v>Line</v>
      </c>
      <c r="G248" s="562"/>
      <c r="H248" s="562"/>
      <c r="I248" s="562" t="str">
        <f t="shared" si="42"/>
        <v>Attachmenttype[159]</v>
      </c>
      <c r="J248" s="730">
        <f t="shared" si="37"/>
        <v>161</v>
      </c>
      <c r="K248" s="730" t="str">
        <f t="shared" si="34"/>
        <v/>
      </c>
      <c r="L248" s="730" t="str">
        <f t="shared" si="35"/>
        <v/>
      </c>
      <c r="M248" s="730" t="str">
        <f t="shared" si="36"/>
        <v/>
      </c>
      <c r="N248" s="731">
        <f t="shared" si="38"/>
        <v>161</v>
      </c>
    </row>
    <row r="249" spans="1:14" ht="13.5" customHeight="1" x14ac:dyDescent="0.2">
      <c r="A249" s="562" t="str">
        <f t="shared" si="39"/>
        <v>Auxiliar4</v>
      </c>
      <c r="B249" s="562"/>
      <c r="C249" s="562"/>
      <c r="D249" s="562" t="str">
        <f t="shared" si="40"/>
        <v>AA160</v>
      </c>
      <c r="E249" s="562" t="str">
        <f t="shared" si="41"/>
        <v>Get Data</v>
      </c>
      <c r="F249" s="562" t="str">
        <f>'2nd_Post_Processing'!$L$6</f>
        <v>Line</v>
      </c>
      <c r="G249" s="562"/>
      <c r="H249" s="562"/>
      <c r="I249" s="562" t="str">
        <f t="shared" si="42"/>
        <v>Attachmenttype[160]</v>
      </c>
      <c r="J249" s="730">
        <f t="shared" si="37"/>
        <v>162</v>
      </c>
      <c r="K249" s="730" t="str">
        <f t="shared" si="34"/>
        <v/>
      </c>
      <c r="L249" s="730" t="str">
        <f t="shared" si="35"/>
        <v/>
      </c>
      <c r="M249" s="730" t="str">
        <f t="shared" si="36"/>
        <v/>
      </c>
      <c r="N249" s="731">
        <f t="shared" si="38"/>
        <v>162</v>
      </c>
    </row>
    <row r="250" spans="1:14" ht="13.5" customHeight="1" x14ac:dyDescent="0.2">
      <c r="A250" s="562" t="str">
        <f t="shared" si="39"/>
        <v>Auxiliar4</v>
      </c>
      <c r="B250" s="562"/>
      <c r="C250" s="562"/>
      <c r="D250" s="562" t="str">
        <f t="shared" si="40"/>
        <v>AA161</v>
      </c>
      <c r="E250" s="562" t="str">
        <f t="shared" si="41"/>
        <v>Get Data</v>
      </c>
      <c r="F250" s="562" t="str">
        <f>'2nd_Post_Processing'!$L$6</f>
        <v>Line</v>
      </c>
      <c r="G250" s="562"/>
      <c r="H250" s="562"/>
      <c r="I250" s="562" t="str">
        <f t="shared" si="42"/>
        <v>Attachmenttype[161]</v>
      </c>
      <c r="J250" s="730">
        <f t="shared" si="37"/>
        <v>163</v>
      </c>
      <c r="K250" s="730" t="str">
        <f t="shared" si="34"/>
        <v/>
      </c>
      <c r="L250" s="730" t="str">
        <f t="shared" si="35"/>
        <v/>
      </c>
      <c r="M250" s="730" t="str">
        <f t="shared" si="36"/>
        <v/>
      </c>
      <c r="N250" s="731">
        <f t="shared" si="38"/>
        <v>163</v>
      </c>
    </row>
    <row r="251" spans="1:14" ht="13.5" customHeight="1" x14ac:dyDescent="0.2">
      <c r="A251" s="562" t="str">
        <f t="shared" si="39"/>
        <v>Auxiliar4</v>
      </c>
      <c r="B251" s="562"/>
      <c r="C251" s="562"/>
      <c r="D251" s="562" t="str">
        <f t="shared" si="40"/>
        <v>AA162</v>
      </c>
      <c r="E251" s="562" t="str">
        <f t="shared" si="41"/>
        <v>Get Data</v>
      </c>
      <c r="F251" s="562" t="str">
        <f>'2nd_Post_Processing'!$L$6</f>
        <v>Line</v>
      </c>
      <c r="G251" s="562"/>
      <c r="H251" s="562"/>
      <c r="I251" s="562" t="str">
        <f t="shared" si="42"/>
        <v>Attachmenttype[162]</v>
      </c>
      <c r="J251" s="730">
        <f t="shared" si="37"/>
        <v>164</v>
      </c>
      <c r="K251" s="730" t="str">
        <f t="shared" si="34"/>
        <v/>
      </c>
      <c r="L251" s="730" t="str">
        <f t="shared" si="35"/>
        <v/>
      </c>
      <c r="M251" s="730" t="str">
        <f t="shared" si="36"/>
        <v/>
      </c>
      <c r="N251" s="731">
        <f t="shared" si="38"/>
        <v>164</v>
      </c>
    </row>
    <row r="252" spans="1:14" ht="13.5" customHeight="1" x14ac:dyDescent="0.2">
      <c r="A252" s="562" t="str">
        <f t="shared" si="39"/>
        <v>Auxiliar4</v>
      </c>
      <c r="B252" s="562"/>
      <c r="C252" s="562"/>
      <c r="D252" s="562" t="str">
        <f t="shared" si="40"/>
        <v>AA163</v>
      </c>
      <c r="E252" s="562" t="str">
        <f t="shared" si="41"/>
        <v>Get Data</v>
      </c>
      <c r="F252" s="562" t="str">
        <f>'2nd_Post_Processing'!$L$6</f>
        <v>Line</v>
      </c>
      <c r="G252" s="562"/>
      <c r="H252" s="562"/>
      <c r="I252" s="562" t="str">
        <f t="shared" si="42"/>
        <v>Attachmenttype[163]</v>
      </c>
      <c r="J252" s="730">
        <f t="shared" si="37"/>
        <v>165</v>
      </c>
      <c r="K252" s="730" t="str">
        <f t="shared" si="34"/>
        <v/>
      </c>
      <c r="L252" s="730" t="str">
        <f t="shared" si="35"/>
        <v/>
      </c>
      <c r="M252" s="730" t="str">
        <f t="shared" si="36"/>
        <v/>
      </c>
      <c r="N252" s="731">
        <f t="shared" si="38"/>
        <v>165</v>
      </c>
    </row>
    <row r="253" spans="1:14" ht="13.5" customHeight="1" x14ac:dyDescent="0.2">
      <c r="A253" s="562" t="str">
        <f t="shared" si="39"/>
        <v>Auxiliar4</v>
      </c>
      <c r="B253" s="562"/>
      <c r="C253" s="562"/>
      <c r="D253" s="562" t="str">
        <f t="shared" si="40"/>
        <v>AA164</v>
      </c>
      <c r="E253" s="562" t="str">
        <f t="shared" si="41"/>
        <v>Get Data</v>
      </c>
      <c r="F253" s="562" t="str">
        <f>'2nd_Post_Processing'!$L$6</f>
        <v>Line</v>
      </c>
      <c r="G253" s="562"/>
      <c r="H253" s="562"/>
      <c r="I253" s="562" t="str">
        <f t="shared" si="42"/>
        <v>Attachmenttype[164]</v>
      </c>
      <c r="J253" s="730">
        <f t="shared" si="37"/>
        <v>166</v>
      </c>
      <c r="K253" s="730" t="str">
        <f t="shared" si="34"/>
        <v/>
      </c>
      <c r="L253" s="730" t="str">
        <f t="shared" si="35"/>
        <v/>
      </c>
      <c r="M253" s="730" t="str">
        <f t="shared" si="36"/>
        <v/>
      </c>
      <c r="N253" s="731">
        <f t="shared" si="38"/>
        <v>166</v>
      </c>
    </row>
    <row r="254" spans="1:14" ht="13.5" customHeight="1" x14ac:dyDescent="0.2">
      <c r="A254" s="562" t="str">
        <f t="shared" si="39"/>
        <v>Auxiliar4</v>
      </c>
      <c r="B254" s="562"/>
      <c r="C254" s="562"/>
      <c r="D254" s="562" t="str">
        <f t="shared" si="40"/>
        <v>AA165</v>
      </c>
      <c r="E254" s="562" t="str">
        <f t="shared" si="41"/>
        <v>Get Data</v>
      </c>
      <c r="F254" s="562" t="str">
        <f>'2nd_Post_Processing'!$L$6</f>
        <v>Line</v>
      </c>
      <c r="G254" s="562"/>
      <c r="H254" s="562"/>
      <c r="I254" s="562" t="str">
        <f t="shared" si="42"/>
        <v>Attachmenttype[165]</v>
      </c>
      <c r="J254" s="730">
        <f t="shared" si="37"/>
        <v>167</v>
      </c>
      <c r="K254" s="730" t="str">
        <f t="shared" si="34"/>
        <v/>
      </c>
      <c r="L254" s="730" t="str">
        <f t="shared" si="35"/>
        <v/>
      </c>
      <c r="M254" s="730" t="str">
        <f t="shared" si="36"/>
        <v/>
      </c>
      <c r="N254" s="731">
        <f t="shared" si="38"/>
        <v>167</v>
      </c>
    </row>
    <row r="255" spans="1:14" ht="13.5" customHeight="1" x14ac:dyDescent="0.2">
      <c r="A255" s="562" t="str">
        <f t="shared" si="39"/>
        <v>Auxiliar4</v>
      </c>
      <c r="B255" s="562"/>
      <c r="C255" s="562"/>
      <c r="D255" s="562" t="str">
        <f t="shared" si="40"/>
        <v>AA166</v>
      </c>
      <c r="E255" s="562" t="str">
        <f t="shared" si="41"/>
        <v>Get Data</v>
      </c>
      <c r="F255" s="562" t="str">
        <f>'2nd_Post_Processing'!$L$6</f>
        <v>Line</v>
      </c>
      <c r="G255" s="562"/>
      <c r="H255" s="562"/>
      <c r="I255" s="562" t="str">
        <f t="shared" si="42"/>
        <v>Attachmenttype[166]</v>
      </c>
      <c r="J255" s="730">
        <f t="shared" si="37"/>
        <v>168</v>
      </c>
      <c r="K255" s="730" t="str">
        <f t="shared" si="34"/>
        <v/>
      </c>
      <c r="L255" s="730" t="str">
        <f t="shared" si="35"/>
        <v/>
      </c>
      <c r="M255" s="730" t="str">
        <f t="shared" si="36"/>
        <v/>
      </c>
      <c r="N255" s="731">
        <f t="shared" si="38"/>
        <v>168</v>
      </c>
    </row>
    <row r="256" spans="1:14" ht="13.5" customHeight="1" x14ac:dyDescent="0.2">
      <c r="A256" s="562" t="str">
        <f t="shared" si="39"/>
        <v>Auxiliar4</v>
      </c>
      <c r="B256" s="562"/>
      <c r="C256" s="562"/>
      <c r="D256" s="562" t="str">
        <f t="shared" si="40"/>
        <v>AA167</v>
      </c>
      <c r="E256" s="562" t="str">
        <f t="shared" si="41"/>
        <v>Get Data</v>
      </c>
      <c r="F256" s="562" t="str">
        <f>'2nd_Post_Processing'!$L$6</f>
        <v>Line</v>
      </c>
      <c r="G256" s="562"/>
      <c r="H256" s="562"/>
      <c r="I256" s="562" t="str">
        <f t="shared" si="42"/>
        <v>Attachmenttype[167]</v>
      </c>
      <c r="J256" s="730">
        <f t="shared" si="37"/>
        <v>169</v>
      </c>
      <c r="K256" s="730" t="str">
        <f t="shared" si="34"/>
        <v/>
      </c>
      <c r="L256" s="730" t="str">
        <f t="shared" si="35"/>
        <v/>
      </c>
      <c r="M256" s="730" t="str">
        <f t="shared" si="36"/>
        <v/>
      </c>
      <c r="N256" s="731">
        <f t="shared" si="38"/>
        <v>169</v>
      </c>
    </row>
    <row r="257" spans="1:14" ht="13.5" customHeight="1" x14ac:dyDescent="0.2">
      <c r="A257" s="562" t="str">
        <f t="shared" si="39"/>
        <v>Auxiliar4</v>
      </c>
      <c r="B257" s="562"/>
      <c r="C257" s="562"/>
      <c r="D257" s="562" t="str">
        <f t="shared" si="40"/>
        <v>AA168</v>
      </c>
      <c r="E257" s="562" t="str">
        <f t="shared" si="41"/>
        <v>Get Data</v>
      </c>
      <c r="F257" s="562" t="str">
        <f>'2nd_Post_Processing'!$L$6</f>
        <v>Line</v>
      </c>
      <c r="G257" s="562"/>
      <c r="H257" s="562"/>
      <c r="I257" s="562" t="str">
        <f t="shared" si="42"/>
        <v>Attachmenttype[168]</v>
      </c>
      <c r="J257" s="730">
        <f t="shared" si="37"/>
        <v>170</v>
      </c>
      <c r="K257" s="730" t="str">
        <f t="shared" si="34"/>
        <v/>
      </c>
      <c r="L257" s="730" t="str">
        <f t="shared" si="35"/>
        <v/>
      </c>
      <c r="M257" s="730" t="str">
        <f t="shared" si="36"/>
        <v/>
      </c>
      <c r="N257" s="731">
        <f t="shared" si="38"/>
        <v>170</v>
      </c>
    </row>
    <row r="258" spans="1:14" ht="13.5" customHeight="1" x14ac:dyDescent="0.2">
      <c r="A258" s="562" t="str">
        <f t="shared" si="39"/>
        <v>Auxiliar4</v>
      </c>
      <c r="B258" s="562"/>
      <c r="C258" s="562"/>
      <c r="D258" s="562" t="str">
        <f t="shared" si="40"/>
        <v>AA169</v>
      </c>
      <c r="E258" s="562" t="str">
        <f t="shared" si="41"/>
        <v>Get Data</v>
      </c>
      <c r="F258" s="562" t="str">
        <f>'2nd_Post_Processing'!$L$6</f>
        <v>Line</v>
      </c>
      <c r="G258" s="562"/>
      <c r="H258" s="562"/>
      <c r="I258" s="562" t="str">
        <f t="shared" si="42"/>
        <v>Attachmenttype[169]</v>
      </c>
      <c r="J258" s="730">
        <f t="shared" si="37"/>
        <v>171</v>
      </c>
      <c r="K258" s="730" t="str">
        <f t="shared" si="34"/>
        <v/>
      </c>
      <c r="L258" s="730" t="str">
        <f t="shared" si="35"/>
        <v/>
      </c>
      <c r="M258" s="730" t="str">
        <f t="shared" si="36"/>
        <v/>
      </c>
      <c r="N258" s="731">
        <f t="shared" si="38"/>
        <v>171</v>
      </c>
    </row>
    <row r="259" spans="1:14" ht="13.5" customHeight="1" x14ac:dyDescent="0.2">
      <c r="A259" s="562" t="str">
        <f t="shared" si="39"/>
        <v>Auxiliar4</v>
      </c>
      <c r="B259" s="562"/>
      <c r="C259" s="562"/>
      <c r="D259" s="562" t="str">
        <f t="shared" si="40"/>
        <v>AA170</v>
      </c>
      <c r="E259" s="562" t="str">
        <f t="shared" si="41"/>
        <v>Get Data</v>
      </c>
      <c r="F259" s="562" t="str">
        <f>'2nd_Post_Processing'!$L$6</f>
        <v>Line</v>
      </c>
      <c r="G259" s="562"/>
      <c r="H259" s="562"/>
      <c r="I259" s="562" t="str">
        <f t="shared" si="42"/>
        <v>Attachmenttype[170]</v>
      </c>
      <c r="J259" s="730">
        <f t="shared" si="37"/>
        <v>172</v>
      </c>
      <c r="K259" s="730" t="str">
        <f t="shared" si="34"/>
        <v/>
      </c>
      <c r="L259" s="730" t="str">
        <f t="shared" si="35"/>
        <v/>
      </c>
      <c r="M259" s="730" t="str">
        <f t="shared" si="36"/>
        <v/>
      </c>
      <c r="N259" s="731">
        <f t="shared" si="38"/>
        <v>172</v>
      </c>
    </row>
    <row r="260" spans="1:14" ht="13.5" customHeight="1" x14ac:dyDescent="0.2">
      <c r="A260" s="562" t="str">
        <f t="shared" si="39"/>
        <v>Auxiliar4</v>
      </c>
      <c r="B260" s="562"/>
      <c r="C260" s="562"/>
      <c r="D260" s="562" t="str">
        <f t="shared" si="40"/>
        <v>AA171</v>
      </c>
      <c r="E260" s="562" t="str">
        <f t="shared" si="41"/>
        <v>Get Data</v>
      </c>
      <c r="F260" s="562" t="str">
        <f>'2nd_Post_Processing'!$L$6</f>
        <v>Line</v>
      </c>
      <c r="G260" s="562"/>
      <c r="H260" s="562"/>
      <c r="I260" s="562" t="str">
        <f t="shared" si="42"/>
        <v>Attachmenttype[171]</v>
      </c>
      <c r="J260" s="730">
        <f t="shared" si="37"/>
        <v>173</v>
      </c>
      <c r="K260" s="730" t="str">
        <f t="shared" si="34"/>
        <v/>
      </c>
      <c r="L260" s="730" t="str">
        <f t="shared" si="35"/>
        <v/>
      </c>
      <c r="M260" s="730" t="str">
        <f t="shared" si="36"/>
        <v/>
      </c>
      <c r="N260" s="731">
        <f t="shared" si="38"/>
        <v>173</v>
      </c>
    </row>
    <row r="261" spans="1:14" ht="13.5" customHeight="1" x14ac:dyDescent="0.2">
      <c r="A261" s="562" t="str">
        <f t="shared" si="39"/>
        <v>Auxiliar4</v>
      </c>
      <c r="B261" s="562"/>
      <c r="C261" s="562"/>
      <c r="D261" s="562" t="str">
        <f t="shared" si="40"/>
        <v>AA172</v>
      </c>
      <c r="E261" s="562" t="str">
        <f t="shared" si="41"/>
        <v>Get Data</v>
      </c>
      <c r="F261" s="562" t="str">
        <f>'2nd_Post_Processing'!$L$6</f>
        <v>Line</v>
      </c>
      <c r="G261" s="562"/>
      <c r="H261" s="562"/>
      <c r="I261" s="562" t="str">
        <f t="shared" si="42"/>
        <v>Attachmenttype[172]</v>
      </c>
      <c r="J261" s="730">
        <f t="shared" si="37"/>
        <v>174</v>
      </c>
      <c r="K261" s="730" t="str">
        <f t="shared" si="34"/>
        <v/>
      </c>
      <c r="L261" s="730" t="str">
        <f t="shared" si="35"/>
        <v/>
      </c>
      <c r="M261" s="730" t="str">
        <f t="shared" si="36"/>
        <v/>
      </c>
      <c r="N261" s="731">
        <f t="shared" si="38"/>
        <v>174</v>
      </c>
    </row>
    <row r="262" spans="1:14" ht="13.5" customHeight="1" x14ac:dyDescent="0.2">
      <c r="A262" s="562" t="str">
        <f t="shared" si="39"/>
        <v>Auxiliar4</v>
      </c>
      <c r="B262" s="562"/>
      <c r="C262" s="562"/>
      <c r="D262" s="562" t="str">
        <f t="shared" si="40"/>
        <v>AA173</v>
      </c>
      <c r="E262" s="562" t="str">
        <f t="shared" si="41"/>
        <v>Get Data</v>
      </c>
      <c r="F262" s="562" t="str">
        <f>'2nd_Post_Processing'!$L$6</f>
        <v>Line</v>
      </c>
      <c r="G262" s="562"/>
      <c r="H262" s="562"/>
      <c r="I262" s="562" t="str">
        <f t="shared" si="42"/>
        <v>Attachmenttype[173]</v>
      </c>
      <c r="J262" s="730">
        <f t="shared" si="37"/>
        <v>175</v>
      </c>
      <c r="K262" s="730" t="str">
        <f t="shared" si="34"/>
        <v/>
      </c>
      <c r="L262" s="730" t="str">
        <f t="shared" si="35"/>
        <v/>
      </c>
      <c r="M262" s="730" t="str">
        <f t="shared" si="36"/>
        <v/>
      </c>
      <c r="N262" s="731">
        <f t="shared" si="38"/>
        <v>175</v>
      </c>
    </row>
    <row r="263" spans="1:14" ht="13.5" customHeight="1" x14ac:dyDescent="0.2">
      <c r="A263" s="562" t="str">
        <f t="shared" si="39"/>
        <v>Auxiliar4</v>
      </c>
      <c r="B263" s="562"/>
      <c r="C263" s="562"/>
      <c r="D263" s="562" t="str">
        <f t="shared" si="40"/>
        <v>AA174</v>
      </c>
      <c r="E263" s="562" t="str">
        <f t="shared" si="41"/>
        <v>Get Data</v>
      </c>
      <c r="F263" s="562" t="str">
        <f>'2nd_Post_Processing'!$L$6</f>
        <v>Line</v>
      </c>
      <c r="G263" s="562"/>
      <c r="H263" s="562"/>
      <c r="I263" s="562" t="str">
        <f t="shared" si="42"/>
        <v>Attachmenttype[174]</v>
      </c>
      <c r="J263" s="730">
        <f t="shared" si="37"/>
        <v>176</v>
      </c>
      <c r="K263" s="730" t="str">
        <f t="shared" si="34"/>
        <v/>
      </c>
      <c r="L263" s="730" t="str">
        <f t="shared" si="35"/>
        <v/>
      </c>
      <c r="M263" s="730" t="str">
        <f t="shared" si="36"/>
        <v/>
      </c>
      <c r="N263" s="731">
        <f t="shared" si="38"/>
        <v>176</v>
      </c>
    </row>
    <row r="264" spans="1:14" ht="13.5" customHeight="1" x14ac:dyDescent="0.2">
      <c r="A264" s="562" t="str">
        <f t="shared" si="39"/>
        <v>Auxiliar4</v>
      </c>
      <c r="B264" s="562"/>
      <c r="C264" s="562"/>
      <c r="D264" s="562" t="str">
        <f t="shared" si="40"/>
        <v>AA175</v>
      </c>
      <c r="E264" s="562" t="str">
        <f t="shared" si="41"/>
        <v>Get Data</v>
      </c>
      <c r="F264" s="562" t="str">
        <f>'2nd_Post_Processing'!$L$6</f>
        <v>Line</v>
      </c>
      <c r="G264" s="562"/>
      <c r="H264" s="562"/>
      <c r="I264" s="562" t="str">
        <f t="shared" si="42"/>
        <v>Attachmenttype[175]</v>
      </c>
      <c r="J264" s="730">
        <f t="shared" si="37"/>
        <v>177</v>
      </c>
      <c r="K264" s="730" t="str">
        <f t="shared" si="34"/>
        <v/>
      </c>
      <c r="L264" s="730" t="str">
        <f t="shared" si="35"/>
        <v/>
      </c>
      <c r="M264" s="730" t="str">
        <f t="shared" si="36"/>
        <v/>
      </c>
      <c r="N264" s="731">
        <f t="shared" si="38"/>
        <v>177</v>
      </c>
    </row>
    <row r="265" spans="1:14" ht="13.5" customHeight="1" x14ac:dyDescent="0.2">
      <c r="A265" s="562" t="str">
        <f t="shared" si="39"/>
        <v>Auxiliar4</v>
      </c>
      <c r="B265" s="562"/>
      <c r="C265" s="562"/>
      <c r="D265" s="562" t="str">
        <f t="shared" si="40"/>
        <v>AA176</v>
      </c>
      <c r="E265" s="562" t="str">
        <f t="shared" si="41"/>
        <v>Get Data</v>
      </c>
      <c r="F265" s="562" t="str">
        <f>'2nd_Post_Processing'!$L$6</f>
        <v>Line</v>
      </c>
      <c r="G265" s="562"/>
      <c r="H265" s="562"/>
      <c r="I265" s="562" t="str">
        <f t="shared" si="42"/>
        <v>Attachmenttype[176]</v>
      </c>
      <c r="J265" s="730">
        <f t="shared" si="37"/>
        <v>178</v>
      </c>
      <c r="K265" s="730" t="str">
        <f t="shared" si="34"/>
        <v/>
      </c>
      <c r="L265" s="730" t="str">
        <f t="shared" si="35"/>
        <v/>
      </c>
      <c r="M265" s="730" t="str">
        <f t="shared" si="36"/>
        <v/>
      </c>
      <c r="N265" s="731">
        <f t="shared" si="38"/>
        <v>178</v>
      </c>
    </row>
    <row r="266" spans="1:14" ht="13.5" customHeight="1" x14ac:dyDescent="0.2">
      <c r="A266" s="562" t="str">
        <f t="shared" si="39"/>
        <v>Auxiliar4</v>
      </c>
      <c r="B266" s="562"/>
      <c r="C266" s="562"/>
      <c r="D266" s="562" t="str">
        <f t="shared" si="40"/>
        <v>AA177</v>
      </c>
      <c r="E266" s="562" t="str">
        <f t="shared" si="41"/>
        <v>Get Data</v>
      </c>
      <c r="F266" s="562" t="str">
        <f>'2nd_Post_Processing'!$L$6</f>
        <v>Line</v>
      </c>
      <c r="G266" s="562"/>
      <c r="H266" s="562"/>
      <c r="I266" s="562" t="str">
        <f t="shared" si="42"/>
        <v>Attachmenttype[177]</v>
      </c>
      <c r="J266" s="730">
        <f t="shared" si="37"/>
        <v>179</v>
      </c>
      <c r="K266" s="730" t="str">
        <f t="shared" si="34"/>
        <v/>
      </c>
      <c r="L266" s="730" t="str">
        <f t="shared" si="35"/>
        <v/>
      </c>
      <c r="M266" s="730" t="str">
        <f t="shared" si="36"/>
        <v/>
      </c>
      <c r="N266" s="731">
        <f t="shared" si="38"/>
        <v>179</v>
      </c>
    </row>
    <row r="267" spans="1:14" ht="13.5" customHeight="1" x14ac:dyDescent="0.2">
      <c r="A267" s="562" t="str">
        <f t="shared" si="39"/>
        <v>Auxiliar4</v>
      </c>
      <c r="B267" s="562"/>
      <c r="C267" s="562"/>
      <c r="D267" s="562" t="str">
        <f t="shared" si="40"/>
        <v>AA178</v>
      </c>
      <c r="E267" s="562" t="str">
        <f t="shared" si="41"/>
        <v>Get Data</v>
      </c>
      <c r="F267" s="562" t="str">
        <f>'2nd_Post_Processing'!$L$6</f>
        <v>Line</v>
      </c>
      <c r="G267" s="562"/>
      <c r="H267" s="562"/>
      <c r="I267" s="562" t="str">
        <f t="shared" si="42"/>
        <v>Attachmenttype[178]</v>
      </c>
      <c r="J267" s="730">
        <f t="shared" si="37"/>
        <v>180</v>
      </c>
      <c r="K267" s="730" t="str">
        <f t="shared" si="34"/>
        <v/>
      </c>
      <c r="L267" s="730" t="str">
        <f t="shared" si="35"/>
        <v/>
      </c>
      <c r="M267" s="730" t="str">
        <f t="shared" si="36"/>
        <v/>
      </c>
      <c r="N267" s="731">
        <f t="shared" si="38"/>
        <v>180</v>
      </c>
    </row>
    <row r="268" spans="1:14" ht="13.5" customHeight="1" x14ac:dyDescent="0.2">
      <c r="A268" s="562" t="str">
        <f t="shared" si="39"/>
        <v>Auxiliar4</v>
      </c>
      <c r="B268" s="562"/>
      <c r="C268" s="562"/>
      <c r="D268" s="562" t="str">
        <f t="shared" si="40"/>
        <v>AA179</v>
      </c>
      <c r="E268" s="562" t="str">
        <f t="shared" si="41"/>
        <v>Get Data</v>
      </c>
      <c r="F268" s="562" t="str">
        <f>'2nd_Post_Processing'!$L$6</f>
        <v>Line</v>
      </c>
      <c r="G268" s="562"/>
      <c r="H268" s="562"/>
      <c r="I268" s="562" t="str">
        <f t="shared" si="42"/>
        <v>Attachmenttype[179]</v>
      </c>
      <c r="J268" s="730">
        <f t="shared" si="37"/>
        <v>181</v>
      </c>
      <c r="K268" s="730" t="str">
        <f t="shared" si="34"/>
        <v/>
      </c>
      <c r="L268" s="730" t="str">
        <f t="shared" si="35"/>
        <v/>
      </c>
      <c r="M268" s="730" t="str">
        <f t="shared" si="36"/>
        <v/>
      </c>
      <c r="N268" s="731">
        <f t="shared" si="38"/>
        <v>181</v>
      </c>
    </row>
    <row r="269" spans="1:14" ht="13.5" customHeight="1" x14ac:dyDescent="0.2">
      <c r="A269" s="562" t="str">
        <f t="shared" si="39"/>
        <v>Auxiliar4</v>
      </c>
      <c r="B269" s="562"/>
      <c r="C269" s="562"/>
      <c r="D269" s="562" t="str">
        <f t="shared" si="40"/>
        <v>AA180</v>
      </c>
      <c r="E269" s="562" t="str">
        <f t="shared" si="41"/>
        <v>Get Data</v>
      </c>
      <c r="F269" s="562" t="str">
        <f>'2nd_Post_Processing'!$L$6</f>
        <v>Line</v>
      </c>
      <c r="G269" s="562"/>
      <c r="H269" s="562"/>
      <c r="I269" s="562" t="str">
        <f t="shared" si="42"/>
        <v>Attachmenttype[180]</v>
      </c>
      <c r="J269" s="730">
        <f t="shared" si="37"/>
        <v>182</v>
      </c>
      <c r="K269" s="730" t="str">
        <f t="shared" si="34"/>
        <v/>
      </c>
      <c r="L269" s="730" t="str">
        <f t="shared" si="35"/>
        <v/>
      </c>
      <c r="M269" s="730" t="str">
        <f t="shared" si="36"/>
        <v/>
      </c>
      <c r="N269" s="731">
        <f t="shared" si="38"/>
        <v>182</v>
      </c>
    </row>
    <row r="270" spans="1:14" ht="13.5" customHeight="1" x14ac:dyDescent="0.2">
      <c r="A270" s="562" t="str">
        <f t="shared" si="39"/>
        <v>Auxiliar4</v>
      </c>
      <c r="B270" s="562"/>
      <c r="C270" s="562"/>
      <c r="D270" s="562" t="str">
        <f t="shared" si="40"/>
        <v>AA181</v>
      </c>
      <c r="E270" s="562" t="str">
        <f t="shared" si="41"/>
        <v>Get Data</v>
      </c>
      <c r="F270" s="562" t="str">
        <f>'2nd_Post_Processing'!$L$6</f>
        <v>Line</v>
      </c>
      <c r="G270" s="562"/>
      <c r="H270" s="562"/>
      <c r="I270" s="562" t="str">
        <f t="shared" si="42"/>
        <v>Attachmenttype[181]</v>
      </c>
      <c r="J270" s="730">
        <f t="shared" si="37"/>
        <v>183</v>
      </c>
      <c r="K270" s="730" t="str">
        <f t="shared" si="34"/>
        <v/>
      </c>
      <c r="L270" s="730" t="str">
        <f t="shared" si="35"/>
        <v/>
      </c>
      <c r="M270" s="730" t="str">
        <f t="shared" si="36"/>
        <v/>
      </c>
      <c r="N270" s="731">
        <f t="shared" si="38"/>
        <v>183</v>
      </c>
    </row>
    <row r="271" spans="1:14" ht="13.5" customHeight="1" x14ac:dyDescent="0.2">
      <c r="A271" s="562" t="str">
        <f t="shared" si="39"/>
        <v>Auxiliar4</v>
      </c>
      <c r="B271" s="562"/>
      <c r="C271" s="562"/>
      <c r="D271" s="562" t="str">
        <f t="shared" si="40"/>
        <v>AA182</v>
      </c>
      <c r="E271" s="562" t="str">
        <f t="shared" si="41"/>
        <v>Get Data</v>
      </c>
      <c r="F271" s="562" t="str">
        <f>'2nd_Post_Processing'!$L$6</f>
        <v>Line</v>
      </c>
      <c r="G271" s="562"/>
      <c r="H271" s="562"/>
      <c r="I271" s="562" t="str">
        <f t="shared" si="42"/>
        <v>Attachmenttype[182]</v>
      </c>
      <c r="J271" s="730">
        <f t="shared" si="37"/>
        <v>184</v>
      </c>
      <c r="K271" s="730" t="str">
        <f t="shared" si="34"/>
        <v/>
      </c>
      <c r="L271" s="730" t="str">
        <f t="shared" si="35"/>
        <v/>
      </c>
      <c r="M271" s="730" t="str">
        <f t="shared" si="36"/>
        <v/>
      </c>
      <c r="N271" s="731">
        <f t="shared" si="38"/>
        <v>184</v>
      </c>
    </row>
    <row r="272" spans="1:14" ht="13.5" customHeight="1" x14ac:dyDescent="0.2">
      <c r="A272" s="562" t="str">
        <f t="shared" si="39"/>
        <v>Auxiliar4</v>
      </c>
      <c r="B272" s="562"/>
      <c r="C272" s="562"/>
      <c r="D272" s="562" t="str">
        <f t="shared" si="40"/>
        <v>AA183</v>
      </c>
      <c r="E272" s="562" t="str">
        <f t="shared" si="41"/>
        <v>Get Data</v>
      </c>
      <c r="F272" s="562" t="str">
        <f>'2nd_Post_Processing'!$L$6</f>
        <v>Line</v>
      </c>
      <c r="G272" s="562"/>
      <c r="H272" s="562"/>
      <c r="I272" s="562" t="str">
        <f t="shared" si="42"/>
        <v>Attachmenttype[183]</v>
      </c>
      <c r="J272" s="730">
        <f t="shared" si="37"/>
        <v>185</v>
      </c>
      <c r="K272" s="730" t="str">
        <f t="shared" si="34"/>
        <v/>
      </c>
      <c r="L272" s="730" t="str">
        <f t="shared" si="35"/>
        <v/>
      </c>
      <c r="M272" s="730" t="str">
        <f t="shared" si="36"/>
        <v/>
      </c>
      <c r="N272" s="731">
        <f t="shared" si="38"/>
        <v>185</v>
      </c>
    </row>
    <row r="273" spans="1:14" ht="13.5" customHeight="1" x14ac:dyDescent="0.2">
      <c r="A273" s="562" t="str">
        <f t="shared" si="39"/>
        <v>Auxiliar4</v>
      </c>
      <c r="B273" s="562"/>
      <c r="C273" s="562"/>
      <c r="D273" s="562" t="str">
        <f t="shared" si="40"/>
        <v>AA184</v>
      </c>
      <c r="E273" s="562" t="str">
        <f t="shared" si="41"/>
        <v>Get Data</v>
      </c>
      <c r="F273" s="562" t="str">
        <f>'2nd_Post_Processing'!$L$6</f>
        <v>Line</v>
      </c>
      <c r="G273" s="562"/>
      <c r="H273" s="562"/>
      <c r="I273" s="562" t="str">
        <f t="shared" si="42"/>
        <v>Attachmenttype[184]</v>
      </c>
      <c r="J273" s="730">
        <f t="shared" si="37"/>
        <v>186</v>
      </c>
      <c r="K273" s="730" t="str">
        <f t="shared" si="34"/>
        <v/>
      </c>
      <c r="L273" s="730" t="str">
        <f t="shared" si="35"/>
        <v/>
      </c>
      <c r="M273" s="730" t="str">
        <f t="shared" si="36"/>
        <v/>
      </c>
      <c r="N273" s="731">
        <f t="shared" si="38"/>
        <v>186</v>
      </c>
    </row>
    <row r="274" spans="1:14" ht="13.5" customHeight="1" x14ac:dyDescent="0.2">
      <c r="A274" s="562" t="str">
        <f t="shared" si="39"/>
        <v>Auxiliar4</v>
      </c>
      <c r="B274" s="562"/>
      <c r="C274" s="562"/>
      <c r="D274" s="562" t="str">
        <f t="shared" si="40"/>
        <v>AA185</v>
      </c>
      <c r="E274" s="562" t="str">
        <f t="shared" si="41"/>
        <v>Get Data</v>
      </c>
      <c r="F274" s="562" t="str">
        <f>'2nd_Post_Processing'!$L$6</f>
        <v>Line</v>
      </c>
      <c r="G274" s="562"/>
      <c r="H274" s="562"/>
      <c r="I274" s="562" t="str">
        <f t="shared" si="42"/>
        <v>Attachmenttype[185]</v>
      </c>
      <c r="J274" s="730">
        <f t="shared" si="37"/>
        <v>187</v>
      </c>
      <c r="K274" s="730" t="str">
        <f t="shared" si="34"/>
        <v/>
      </c>
      <c r="L274" s="730" t="str">
        <f t="shared" si="35"/>
        <v/>
      </c>
      <c r="M274" s="730" t="str">
        <f t="shared" si="36"/>
        <v/>
      </c>
      <c r="N274" s="731">
        <f t="shared" si="38"/>
        <v>187</v>
      </c>
    </row>
    <row r="275" spans="1:14" ht="13.5" customHeight="1" x14ac:dyDescent="0.2">
      <c r="A275" s="562" t="str">
        <f t="shared" si="39"/>
        <v>Auxiliar4</v>
      </c>
      <c r="B275" s="562"/>
      <c r="C275" s="562"/>
      <c r="D275" s="562" t="str">
        <f t="shared" si="40"/>
        <v>AA186</v>
      </c>
      <c r="E275" s="562" t="str">
        <f t="shared" si="41"/>
        <v>Get Data</v>
      </c>
      <c r="F275" s="562" t="str">
        <f>'2nd_Post_Processing'!$L$6</f>
        <v>Line</v>
      </c>
      <c r="G275" s="562"/>
      <c r="H275" s="562"/>
      <c r="I275" s="562" t="str">
        <f t="shared" si="42"/>
        <v>Attachmenttype[186]</v>
      </c>
      <c r="J275" s="730">
        <f t="shared" si="37"/>
        <v>188</v>
      </c>
      <c r="K275" s="730" t="str">
        <f t="shared" si="34"/>
        <v/>
      </c>
      <c r="L275" s="730" t="str">
        <f t="shared" si="35"/>
        <v/>
      </c>
      <c r="M275" s="730" t="str">
        <f t="shared" si="36"/>
        <v/>
      </c>
      <c r="N275" s="731">
        <f t="shared" si="38"/>
        <v>188</v>
      </c>
    </row>
    <row r="276" spans="1:14" ht="13.5" customHeight="1" x14ac:dyDescent="0.2">
      <c r="A276" s="562" t="str">
        <f t="shared" si="39"/>
        <v>Auxiliar4</v>
      </c>
      <c r="B276" s="562"/>
      <c r="C276" s="562"/>
      <c r="D276" s="562" t="str">
        <f t="shared" si="40"/>
        <v>AA187</v>
      </c>
      <c r="E276" s="562" t="str">
        <f t="shared" si="41"/>
        <v>Get Data</v>
      </c>
      <c r="F276" s="562" t="str">
        <f>'2nd_Post_Processing'!$L$6</f>
        <v>Line</v>
      </c>
      <c r="G276" s="562"/>
      <c r="H276" s="562"/>
      <c r="I276" s="562" t="str">
        <f t="shared" si="42"/>
        <v>Attachmenttype[187]</v>
      </c>
      <c r="J276" s="730">
        <f t="shared" si="37"/>
        <v>189</v>
      </c>
      <c r="K276" s="730" t="str">
        <f t="shared" si="34"/>
        <v/>
      </c>
      <c r="L276" s="730" t="str">
        <f t="shared" si="35"/>
        <v/>
      </c>
      <c r="M276" s="730" t="str">
        <f t="shared" si="36"/>
        <v/>
      </c>
      <c r="N276" s="731">
        <f t="shared" si="38"/>
        <v>189</v>
      </c>
    </row>
    <row r="277" spans="1:14" ht="13.5" customHeight="1" x14ac:dyDescent="0.2">
      <c r="A277" s="562" t="str">
        <f t="shared" si="39"/>
        <v>Auxiliar4</v>
      </c>
      <c r="B277" s="562"/>
      <c r="C277" s="562"/>
      <c r="D277" s="562" t="str">
        <f t="shared" si="40"/>
        <v>AA188</v>
      </c>
      <c r="E277" s="562" t="str">
        <f t="shared" si="41"/>
        <v>Get Data</v>
      </c>
      <c r="F277" s="562" t="str">
        <f>'2nd_Post_Processing'!$L$6</f>
        <v>Line</v>
      </c>
      <c r="G277" s="562"/>
      <c r="H277" s="562"/>
      <c r="I277" s="562" t="str">
        <f t="shared" si="42"/>
        <v>Attachmenttype[188]</v>
      </c>
      <c r="J277" s="730">
        <f t="shared" si="37"/>
        <v>190</v>
      </c>
      <c r="K277" s="730" t="str">
        <f t="shared" si="34"/>
        <v/>
      </c>
      <c r="L277" s="730" t="str">
        <f t="shared" si="35"/>
        <v/>
      </c>
      <c r="M277" s="730" t="str">
        <f t="shared" si="36"/>
        <v/>
      </c>
      <c r="N277" s="731">
        <f t="shared" si="38"/>
        <v>190</v>
      </c>
    </row>
    <row r="278" spans="1:14" ht="13.5" customHeight="1" x14ac:dyDescent="0.2">
      <c r="A278" s="562" t="str">
        <f t="shared" si="39"/>
        <v>Auxiliar4</v>
      </c>
      <c r="B278" s="562"/>
      <c r="C278" s="562"/>
      <c r="D278" s="562" t="str">
        <f t="shared" si="40"/>
        <v>AA189</v>
      </c>
      <c r="E278" s="562" t="str">
        <f t="shared" si="41"/>
        <v>Get Data</v>
      </c>
      <c r="F278" s="562" t="str">
        <f>'2nd_Post_Processing'!$L$6</f>
        <v>Line</v>
      </c>
      <c r="G278" s="562"/>
      <c r="H278" s="562"/>
      <c r="I278" s="562" t="str">
        <f t="shared" si="42"/>
        <v>Attachmenttype[189]</v>
      </c>
      <c r="J278" s="730">
        <f t="shared" si="37"/>
        <v>191</v>
      </c>
      <c r="K278" s="730" t="str">
        <f t="shared" si="34"/>
        <v/>
      </c>
      <c r="L278" s="730" t="str">
        <f t="shared" si="35"/>
        <v/>
      </c>
      <c r="M278" s="730" t="str">
        <f t="shared" si="36"/>
        <v/>
      </c>
      <c r="N278" s="731">
        <f t="shared" si="38"/>
        <v>191</v>
      </c>
    </row>
    <row r="279" spans="1:14" ht="13.5" customHeight="1" x14ac:dyDescent="0.2">
      <c r="A279" s="562" t="str">
        <f t="shared" si="39"/>
        <v>Auxiliar4</v>
      </c>
      <c r="B279" s="562"/>
      <c r="C279" s="562"/>
      <c r="D279" s="562" t="str">
        <f t="shared" si="40"/>
        <v>AA190</v>
      </c>
      <c r="E279" s="562" t="str">
        <f t="shared" si="41"/>
        <v>Get Data</v>
      </c>
      <c r="F279" s="562" t="str">
        <f>'2nd_Post_Processing'!$L$6</f>
        <v>Line</v>
      </c>
      <c r="G279" s="562"/>
      <c r="H279" s="562"/>
      <c r="I279" s="562" t="str">
        <f t="shared" si="42"/>
        <v>Attachmenttype[190]</v>
      </c>
      <c r="J279" s="730">
        <f t="shared" si="37"/>
        <v>192</v>
      </c>
      <c r="K279" s="730" t="str">
        <f t="shared" si="34"/>
        <v/>
      </c>
      <c r="L279" s="730" t="str">
        <f t="shared" si="35"/>
        <v/>
      </c>
      <c r="M279" s="730" t="str">
        <f t="shared" si="36"/>
        <v/>
      </c>
      <c r="N279" s="731">
        <f t="shared" si="38"/>
        <v>192</v>
      </c>
    </row>
    <row r="280" spans="1:14" ht="13.5" customHeight="1" x14ac:dyDescent="0.2">
      <c r="A280" s="562" t="str">
        <f t="shared" si="39"/>
        <v>Auxiliar4</v>
      </c>
      <c r="B280" s="562"/>
      <c r="C280" s="562"/>
      <c r="D280" s="562" t="str">
        <f t="shared" si="40"/>
        <v>AA191</v>
      </c>
      <c r="E280" s="562" t="str">
        <f t="shared" si="41"/>
        <v>Get Data</v>
      </c>
      <c r="F280" s="562" t="str">
        <f>'2nd_Post_Processing'!$L$6</f>
        <v>Line</v>
      </c>
      <c r="G280" s="562"/>
      <c r="H280" s="562"/>
      <c r="I280" s="562" t="str">
        <f t="shared" si="42"/>
        <v>Attachmenttype[191]</v>
      </c>
      <c r="J280" s="730">
        <f t="shared" si="37"/>
        <v>193</v>
      </c>
      <c r="K280" s="730" t="str">
        <f t="shared" ref="K280:K315" si="43">IF((J280="jj"),IFERROR(IF(K279="",J$26+1,IF(K279=J$76,"k",K279+1)),"kk"),"")</f>
        <v/>
      </c>
      <c r="L280" s="730" t="str">
        <f t="shared" ref="L280:L315" si="44">IF((K280="kk"),IFERROR(IF(L279="",2,IF(L279=J$26,"l",L279+1)),"ll"),"")</f>
        <v/>
      </c>
      <c r="M280" s="730" t="str">
        <f t="shared" ref="M280:M315" si="45">IF(OR(L280="l",L280="ll"),IFERROR(IF(M279="",2,IF(M279=J$26,"m",M279+1)),"mm"),"")</f>
        <v/>
      </c>
      <c r="N280" s="731">
        <f t="shared" si="38"/>
        <v>193</v>
      </c>
    </row>
    <row r="281" spans="1:14" ht="13.5" customHeight="1" x14ac:dyDescent="0.2">
      <c r="A281" s="562" t="str">
        <f t="shared" si="39"/>
        <v>Auxiliar4</v>
      </c>
      <c r="B281" s="562"/>
      <c r="C281" s="562"/>
      <c r="D281" s="562" t="str">
        <f t="shared" si="40"/>
        <v>AA192</v>
      </c>
      <c r="E281" s="562" t="str">
        <f t="shared" si="41"/>
        <v>Get Data</v>
      </c>
      <c r="F281" s="562" t="str">
        <f>'2nd_Post_Processing'!$L$6</f>
        <v>Line</v>
      </c>
      <c r="G281" s="562"/>
      <c r="H281" s="562"/>
      <c r="I281" s="562" t="str">
        <f t="shared" si="42"/>
        <v>Attachmenttype[192]</v>
      </c>
      <c r="J281" s="730">
        <f t="shared" ref="J281:J315" si="46">IFERROR(IF(J280="",J$26+1,IF(J280=J$85,"j",J280+1)),"jj")</f>
        <v>194</v>
      </c>
      <c r="K281" s="730" t="str">
        <f t="shared" si="43"/>
        <v/>
      </c>
      <c r="L281" s="730" t="str">
        <f t="shared" si="44"/>
        <v/>
      </c>
      <c r="M281" s="730" t="str">
        <f t="shared" si="45"/>
        <v/>
      </c>
      <c r="N281" s="731">
        <f t="shared" ref="N281:N315" si="47">IF(ISNUMBER(M281),"z",IF(ISNUMBER(L281),L281,IF(ISNUMBER(K281),K281,IF(ISNUMBER(J281),J281,""))))</f>
        <v>194</v>
      </c>
    </row>
    <row r="282" spans="1:14" ht="13.5" customHeight="1" x14ac:dyDescent="0.2">
      <c r="A282" s="562" t="str">
        <f t="shared" si="39"/>
        <v>Auxiliar4</v>
      </c>
      <c r="B282" s="562"/>
      <c r="C282" s="562"/>
      <c r="D282" s="562" t="str">
        <f t="shared" si="40"/>
        <v>AA193</v>
      </c>
      <c r="E282" s="562" t="str">
        <f t="shared" si="41"/>
        <v>Get Data</v>
      </c>
      <c r="F282" s="562" t="str">
        <f>'2nd_Post_Processing'!$L$6</f>
        <v>Line</v>
      </c>
      <c r="G282" s="562"/>
      <c r="H282" s="562"/>
      <c r="I282" s="562" t="str">
        <f t="shared" si="42"/>
        <v>Attachmenttype[193]</v>
      </c>
      <c r="J282" s="730">
        <f t="shared" si="46"/>
        <v>195</v>
      </c>
      <c r="K282" s="730" t="str">
        <f t="shared" si="43"/>
        <v/>
      </c>
      <c r="L282" s="730" t="str">
        <f t="shared" si="44"/>
        <v/>
      </c>
      <c r="M282" s="730" t="str">
        <f t="shared" si="45"/>
        <v/>
      </c>
      <c r="N282" s="731">
        <f t="shared" si="47"/>
        <v>195</v>
      </c>
    </row>
    <row r="283" spans="1:14" ht="13.5" customHeight="1" x14ac:dyDescent="0.2">
      <c r="A283" s="562" t="str">
        <f t="shared" ref="A283:A317" si="48">IF(N281="","",IF(ISNUMBER(J281),"Auxiliar4",IF(ISNUMBER(K281),"Auxiliar3",IF(ISNUMBER(L281),"Auxiliar2",IF(ISNUMBER(M281),"Auxiliar2")))))</f>
        <v>Auxiliar4</v>
      </c>
      <c r="B283" s="562"/>
      <c r="C283" s="562"/>
      <c r="D283" s="562" t="str">
        <f t="shared" ref="D283:D317" si="49">IF(N281="z",CONCATENATE("AB",M281),IF(N281="","",CONCATENATE("AA",N281)))</f>
        <v>AA194</v>
      </c>
      <c r="E283" s="562" t="str">
        <f t="shared" ref="E283:E317" si="50">IF(N281="",IF(J281="j","Load Cont1.sim",IF(K281="k","Load Estatico.sim","")),"Get Data")</f>
        <v>Get Data</v>
      </c>
      <c r="F283" s="562" t="str">
        <f>'2nd_Post_Processing'!$L$6</f>
        <v>Line</v>
      </c>
      <c r="G283" s="562"/>
      <c r="H283" s="562"/>
      <c r="I283" s="562" t="str">
        <f t="shared" ref="I283:I317" si="51">IF(N281="z",CONCATENATE("Attachmentz[",M281,"]"),IF(N281="","",CONCATENATE("Attachmenttype[",N281,"]")))</f>
        <v>Attachmenttype[194]</v>
      </c>
      <c r="J283" s="730">
        <f t="shared" si="46"/>
        <v>196</v>
      </c>
      <c r="K283" s="730" t="str">
        <f t="shared" si="43"/>
        <v/>
      </c>
      <c r="L283" s="730" t="str">
        <f t="shared" si="44"/>
        <v/>
      </c>
      <c r="M283" s="730" t="str">
        <f t="shared" si="45"/>
        <v/>
      </c>
      <c r="N283" s="731">
        <f t="shared" si="47"/>
        <v>196</v>
      </c>
    </row>
    <row r="284" spans="1:14" ht="13.5" customHeight="1" x14ac:dyDescent="0.2">
      <c r="A284" s="562" t="str">
        <f t="shared" si="48"/>
        <v>Auxiliar4</v>
      </c>
      <c r="B284" s="562"/>
      <c r="C284" s="562"/>
      <c r="D284" s="562" t="str">
        <f t="shared" si="49"/>
        <v>AA195</v>
      </c>
      <c r="E284" s="562" t="str">
        <f t="shared" si="50"/>
        <v>Get Data</v>
      </c>
      <c r="F284" s="562" t="str">
        <f>'2nd_Post_Processing'!$L$6</f>
        <v>Line</v>
      </c>
      <c r="G284" s="562"/>
      <c r="H284" s="562"/>
      <c r="I284" s="562" t="str">
        <f t="shared" si="51"/>
        <v>Attachmenttype[195]</v>
      </c>
      <c r="J284" s="730">
        <f t="shared" si="46"/>
        <v>197</v>
      </c>
      <c r="K284" s="730" t="str">
        <f t="shared" si="43"/>
        <v/>
      </c>
      <c r="L284" s="730" t="str">
        <f t="shared" si="44"/>
        <v/>
      </c>
      <c r="M284" s="730" t="str">
        <f t="shared" si="45"/>
        <v/>
      </c>
      <c r="N284" s="731">
        <f t="shared" si="47"/>
        <v>197</v>
      </c>
    </row>
    <row r="285" spans="1:14" ht="13.5" customHeight="1" x14ac:dyDescent="0.2">
      <c r="A285" s="562" t="str">
        <f t="shared" si="48"/>
        <v>Auxiliar4</v>
      </c>
      <c r="B285" s="562"/>
      <c r="C285" s="562"/>
      <c r="D285" s="562" t="str">
        <f t="shared" si="49"/>
        <v>AA196</v>
      </c>
      <c r="E285" s="562" t="str">
        <f t="shared" si="50"/>
        <v>Get Data</v>
      </c>
      <c r="F285" s="562" t="str">
        <f>'2nd_Post_Processing'!$L$6</f>
        <v>Line</v>
      </c>
      <c r="G285" s="562"/>
      <c r="H285" s="562"/>
      <c r="I285" s="562" t="str">
        <f t="shared" si="51"/>
        <v>Attachmenttype[196]</v>
      </c>
      <c r="J285" s="730">
        <f t="shared" si="46"/>
        <v>198</v>
      </c>
      <c r="K285" s="730" t="str">
        <f t="shared" si="43"/>
        <v/>
      </c>
      <c r="L285" s="730" t="str">
        <f t="shared" si="44"/>
        <v/>
      </c>
      <c r="M285" s="730" t="str">
        <f t="shared" si="45"/>
        <v/>
      </c>
      <c r="N285" s="731">
        <f t="shared" si="47"/>
        <v>198</v>
      </c>
    </row>
    <row r="286" spans="1:14" ht="13.5" customHeight="1" x14ac:dyDescent="0.2">
      <c r="A286" s="562" t="str">
        <f t="shared" si="48"/>
        <v>Auxiliar4</v>
      </c>
      <c r="B286" s="562"/>
      <c r="C286" s="562"/>
      <c r="D286" s="562" t="str">
        <f t="shared" si="49"/>
        <v>AA197</v>
      </c>
      <c r="E286" s="562" t="str">
        <f t="shared" si="50"/>
        <v>Get Data</v>
      </c>
      <c r="F286" s="562" t="str">
        <f>'2nd_Post_Processing'!$L$6</f>
        <v>Line</v>
      </c>
      <c r="G286" s="562"/>
      <c r="H286" s="562"/>
      <c r="I286" s="562" t="str">
        <f t="shared" si="51"/>
        <v>Attachmenttype[197]</v>
      </c>
      <c r="J286" s="730">
        <f t="shared" si="46"/>
        <v>199</v>
      </c>
      <c r="K286" s="730" t="str">
        <f t="shared" si="43"/>
        <v/>
      </c>
      <c r="L286" s="730" t="str">
        <f t="shared" si="44"/>
        <v/>
      </c>
      <c r="M286" s="730" t="str">
        <f t="shared" si="45"/>
        <v/>
      </c>
      <c r="N286" s="731">
        <f t="shared" si="47"/>
        <v>199</v>
      </c>
    </row>
    <row r="287" spans="1:14" ht="13.5" customHeight="1" x14ac:dyDescent="0.2">
      <c r="A287" s="562" t="str">
        <f t="shared" si="48"/>
        <v>Auxiliar4</v>
      </c>
      <c r="B287" s="562"/>
      <c r="C287" s="562"/>
      <c r="D287" s="562" t="str">
        <f t="shared" si="49"/>
        <v>AA198</v>
      </c>
      <c r="E287" s="562" t="str">
        <f t="shared" si="50"/>
        <v>Get Data</v>
      </c>
      <c r="F287" s="562" t="str">
        <f>'2nd_Post_Processing'!$L$6</f>
        <v>Line</v>
      </c>
      <c r="G287" s="562"/>
      <c r="H287" s="562"/>
      <c r="I287" s="562" t="str">
        <f t="shared" si="51"/>
        <v>Attachmenttype[198]</v>
      </c>
      <c r="J287" s="730">
        <f t="shared" si="46"/>
        <v>200</v>
      </c>
      <c r="K287" s="730" t="str">
        <f t="shared" si="43"/>
        <v/>
      </c>
      <c r="L287" s="730" t="str">
        <f t="shared" si="44"/>
        <v/>
      </c>
      <c r="M287" s="730" t="str">
        <f t="shared" si="45"/>
        <v/>
      </c>
      <c r="N287" s="731">
        <f t="shared" si="47"/>
        <v>200</v>
      </c>
    </row>
    <row r="288" spans="1:14" ht="13.5" customHeight="1" x14ac:dyDescent="0.2">
      <c r="A288" s="562" t="str">
        <f t="shared" si="48"/>
        <v>Auxiliar4</v>
      </c>
      <c r="B288" s="562"/>
      <c r="C288" s="562"/>
      <c r="D288" s="562" t="str">
        <f t="shared" si="49"/>
        <v>AA199</v>
      </c>
      <c r="E288" s="562" t="str">
        <f t="shared" si="50"/>
        <v>Get Data</v>
      </c>
      <c r="F288" s="562" t="str">
        <f>'2nd_Post_Processing'!$L$6</f>
        <v>Line</v>
      </c>
      <c r="G288" s="562"/>
      <c r="H288" s="562"/>
      <c r="I288" s="562" t="str">
        <f t="shared" si="51"/>
        <v>Attachmenttype[199]</v>
      </c>
      <c r="J288" s="730">
        <f t="shared" si="46"/>
        <v>201</v>
      </c>
      <c r="K288" s="730" t="str">
        <f t="shared" si="43"/>
        <v/>
      </c>
      <c r="L288" s="730" t="str">
        <f t="shared" si="44"/>
        <v/>
      </c>
      <c r="M288" s="730" t="str">
        <f t="shared" si="45"/>
        <v/>
      </c>
      <c r="N288" s="731">
        <f t="shared" si="47"/>
        <v>201</v>
      </c>
    </row>
    <row r="289" spans="1:14" ht="13.5" customHeight="1" x14ac:dyDescent="0.2">
      <c r="A289" s="562" t="str">
        <f t="shared" si="48"/>
        <v>Auxiliar4</v>
      </c>
      <c r="B289" s="562"/>
      <c r="C289" s="562"/>
      <c r="D289" s="562" t="str">
        <f t="shared" si="49"/>
        <v>AA200</v>
      </c>
      <c r="E289" s="562" t="str">
        <f t="shared" si="50"/>
        <v>Get Data</v>
      </c>
      <c r="F289" s="562" t="str">
        <f>'2nd_Post_Processing'!$L$6</f>
        <v>Line</v>
      </c>
      <c r="G289" s="562"/>
      <c r="H289" s="562"/>
      <c r="I289" s="562" t="str">
        <f t="shared" si="51"/>
        <v>Attachmenttype[200]</v>
      </c>
      <c r="J289" s="730">
        <f t="shared" si="46"/>
        <v>202</v>
      </c>
      <c r="K289" s="730" t="str">
        <f t="shared" si="43"/>
        <v/>
      </c>
      <c r="L289" s="730" t="str">
        <f t="shared" si="44"/>
        <v/>
      </c>
      <c r="M289" s="730" t="str">
        <f t="shared" si="45"/>
        <v/>
      </c>
      <c r="N289" s="731">
        <f t="shared" si="47"/>
        <v>202</v>
      </c>
    </row>
    <row r="290" spans="1:14" ht="13.5" customHeight="1" x14ac:dyDescent="0.2">
      <c r="A290" s="562" t="str">
        <f t="shared" si="48"/>
        <v>Auxiliar4</v>
      </c>
      <c r="B290" s="562"/>
      <c r="C290" s="562"/>
      <c r="D290" s="562" t="str">
        <f t="shared" si="49"/>
        <v>AA201</v>
      </c>
      <c r="E290" s="562" t="str">
        <f t="shared" si="50"/>
        <v>Get Data</v>
      </c>
      <c r="F290" s="562" t="str">
        <f>'2nd_Post_Processing'!$L$6</f>
        <v>Line</v>
      </c>
      <c r="G290" s="562"/>
      <c r="H290" s="562"/>
      <c r="I290" s="562" t="str">
        <f t="shared" si="51"/>
        <v>Attachmenttype[201]</v>
      </c>
      <c r="J290" s="730">
        <f t="shared" si="46"/>
        <v>203</v>
      </c>
      <c r="K290" s="730" t="str">
        <f t="shared" si="43"/>
        <v/>
      </c>
      <c r="L290" s="730" t="str">
        <f t="shared" si="44"/>
        <v/>
      </c>
      <c r="M290" s="730" t="str">
        <f t="shared" si="45"/>
        <v/>
      </c>
      <c r="N290" s="731">
        <f t="shared" si="47"/>
        <v>203</v>
      </c>
    </row>
    <row r="291" spans="1:14" ht="13.5" customHeight="1" x14ac:dyDescent="0.2">
      <c r="A291" s="562" t="str">
        <f t="shared" si="48"/>
        <v>Auxiliar4</v>
      </c>
      <c r="B291" s="562"/>
      <c r="C291" s="562"/>
      <c r="D291" s="562" t="str">
        <f t="shared" si="49"/>
        <v>AA202</v>
      </c>
      <c r="E291" s="562" t="str">
        <f t="shared" si="50"/>
        <v>Get Data</v>
      </c>
      <c r="F291" s="562" t="str">
        <f>'2nd_Post_Processing'!$L$6</f>
        <v>Line</v>
      </c>
      <c r="G291" s="562"/>
      <c r="H291" s="562"/>
      <c r="I291" s="562" t="str">
        <f t="shared" si="51"/>
        <v>Attachmenttype[202]</v>
      </c>
      <c r="J291" s="730">
        <f t="shared" si="46"/>
        <v>204</v>
      </c>
      <c r="K291" s="730" t="str">
        <f t="shared" si="43"/>
        <v/>
      </c>
      <c r="L291" s="730" t="str">
        <f t="shared" si="44"/>
        <v/>
      </c>
      <c r="M291" s="730" t="str">
        <f t="shared" si="45"/>
        <v/>
      </c>
      <c r="N291" s="731">
        <f t="shared" si="47"/>
        <v>204</v>
      </c>
    </row>
    <row r="292" spans="1:14" ht="13.5" customHeight="1" x14ac:dyDescent="0.2">
      <c r="A292" s="562" t="str">
        <f t="shared" si="48"/>
        <v>Auxiliar4</v>
      </c>
      <c r="B292" s="562"/>
      <c r="C292" s="562"/>
      <c r="D292" s="562" t="str">
        <f t="shared" si="49"/>
        <v>AA203</v>
      </c>
      <c r="E292" s="562" t="str">
        <f t="shared" si="50"/>
        <v>Get Data</v>
      </c>
      <c r="F292" s="562" t="str">
        <f>'2nd_Post_Processing'!$L$6</f>
        <v>Line</v>
      </c>
      <c r="G292" s="562"/>
      <c r="H292" s="562"/>
      <c r="I292" s="562" t="str">
        <f t="shared" si="51"/>
        <v>Attachmenttype[203]</v>
      </c>
      <c r="J292" s="730">
        <f t="shared" si="46"/>
        <v>205</v>
      </c>
      <c r="K292" s="730" t="str">
        <f t="shared" si="43"/>
        <v/>
      </c>
      <c r="L292" s="730" t="str">
        <f t="shared" si="44"/>
        <v/>
      </c>
      <c r="M292" s="730" t="str">
        <f t="shared" si="45"/>
        <v/>
      </c>
      <c r="N292" s="731">
        <f t="shared" si="47"/>
        <v>205</v>
      </c>
    </row>
    <row r="293" spans="1:14" ht="13.5" customHeight="1" x14ac:dyDescent="0.2">
      <c r="A293" s="562" t="str">
        <f t="shared" si="48"/>
        <v>Auxiliar4</v>
      </c>
      <c r="B293" s="562"/>
      <c r="C293" s="562"/>
      <c r="D293" s="562" t="str">
        <f t="shared" si="49"/>
        <v>AA204</v>
      </c>
      <c r="E293" s="562" t="str">
        <f t="shared" si="50"/>
        <v>Get Data</v>
      </c>
      <c r="F293" s="562" t="str">
        <f>'2nd_Post_Processing'!$L$6</f>
        <v>Line</v>
      </c>
      <c r="G293" s="562"/>
      <c r="H293" s="562"/>
      <c r="I293" s="562" t="str">
        <f t="shared" si="51"/>
        <v>Attachmenttype[204]</v>
      </c>
      <c r="J293" s="730">
        <f t="shared" si="46"/>
        <v>206</v>
      </c>
      <c r="K293" s="730" t="str">
        <f t="shared" si="43"/>
        <v/>
      </c>
      <c r="L293" s="730" t="str">
        <f t="shared" si="44"/>
        <v/>
      </c>
      <c r="M293" s="730" t="str">
        <f t="shared" si="45"/>
        <v/>
      </c>
      <c r="N293" s="731">
        <f t="shared" si="47"/>
        <v>206</v>
      </c>
    </row>
    <row r="294" spans="1:14" ht="13.5" customHeight="1" x14ac:dyDescent="0.2">
      <c r="A294" s="562" t="str">
        <f t="shared" si="48"/>
        <v>Auxiliar4</v>
      </c>
      <c r="B294" s="562"/>
      <c r="C294" s="562"/>
      <c r="D294" s="562" t="str">
        <f t="shared" si="49"/>
        <v>AA205</v>
      </c>
      <c r="E294" s="562" t="str">
        <f t="shared" si="50"/>
        <v>Get Data</v>
      </c>
      <c r="F294" s="562" t="str">
        <f>'2nd_Post_Processing'!$L$6</f>
        <v>Line</v>
      </c>
      <c r="G294" s="562"/>
      <c r="H294" s="562"/>
      <c r="I294" s="562" t="str">
        <f t="shared" si="51"/>
        <v>Attachmenttype[205]</v>
      </c>
      <c r="J294" s="730">
        <f t="shared" si="46"/>
        <v>207</v>
      </c>
      <c r="K294" s="730" t="str">
        <f t="shared" si="43"/>
        <v/>
      </c>
      <c r="L294" s="730" t="str">
        <f t="shared" si="44"/>
        <v/>
      </c>
      <c r="M294" s="730" t="str">
        <f t="shared" si="45"/>
        <v/>
      </c>
      <c r="N294" s="731">
        <f t="shared" si="47"/>
        <v>207</v>
      </c>
    </row>
    <row r="295" spans="1:14" ht="13.5" customHeight="1" x14ac:dyDescent="0.2">
      <c r="A295" s="562" t="str">
        <f t="shared" si="48"/>
        <v>Auxiliar4</v>
      </c>
      <c r="B295" s="562"/>
      <c r="C295" s="562"/>
      <c r="D295" s="562" t="str">
        <f t="shared" si="49"/>
        <v>AA206</v>
      </c>
      <c r="E295" s="562" t="str">
        <f t="shared" si="50"/>
        <v>Get Data</v>
      </c>
      <c r="F295" s="562" t="str">
        <f>'2nd_Post_Processing'!$L$6</f>
        <v>Line</v>
      </c>
      <c r="G295" s="562"/>
      <c r="H295" s="562"/>
      <c r="I295" s="562" t="str">
        <f t="shared" si="51"/>
        <v>Attachmenttype[206]</v>
      </c>
      <c r="J295" s="730">
        <f t="shared" si="46"/>
        <v>208</v>
      </c>
      <c r="K295" s="730" t="str">
        <f t="shared" si="43"/>
        <v/>
      </c>
      <c r="L295" s="730" t="str">
        <f t="shared" si="44"/>
        <v/>
      </c>
      <c r="M295" s="730" t="str">
        <f t="shared" si="45"/>
        <v/>
      </c>
      <c r="N295" s="731">
        <f t="shared" si="47"/>
        <v>208</v>
      </c>
    </row>
    <row r="296" spans="1:14" ht="13.5" customHeight="1" x14ac:dyDescent="0.2">
      <c r="A296" s="562" t="str">
        <f t="shared" si="48"/>
        <v>Auxiliar4</v>
      </c>
      <c r="B296" s="562"/>
      <c r="C296" s="562"/>
      <c r="D296" s="562" t="str">
        <f t="shared" si="49"/>
        <v>AA207</v>
      </c>
      <c r="E296" s="562" t="str">
        <f t="shared" si="50"/>
        <v>Get Data</v>
      </c>
      <c r="F296" s="562" t="str">
        <f>'2nd_Post_Processing'!$L$6</f>
        <v>Line</v>
      </c>
      <c r="G296" s="562"/>
      <c r="H296" s="562"/>
      <c r="I296" s="562" t="str">
        <f t="shared" si="51"/>
        <v>Attachmenttype[207]</v>
      </c>
      <c r="J296" s="730">
        <f t="shared" si="46"/>
        <v>209</v>
      </c>
      <c r="K296" s="730" t="str">
        <f t="shared" si="43"/>
        <v/>
      </c>
      <c r="L296" s="730" t="str">
        <f t="shared" si="44"/>
        <v/>
      </c>
      <c r="M296" s="730" t="str">
        <f t="shared" si="45"/>
        <v/>
      </c>
      <c r="N296" s="731">
        <f t="shared" si="47"/>
        <v>209</v>
      </c>
    </row>
    <row r="297" spans="1:14" ht="13.5" customHeight="1" x14ac:dyDescent="0.2">
      <c r="A297" s="562" t="str">
        <f t="shared" si="48"/>
        <v>Auxiliar4</v>
      </c>
      <c r="B297" s="562"/>
      <c r="C297" s="562"/>
      <c r="D297" s="562" t="str">
        <f t="shared" si="49"/>
        <v>AA208</v>
      </c>
      <c r="E297" s="562" t="str">
        <f t="shared" si="50"/>
        <v>Get Data</v>
      </c>
      <c r="F297" s="562" t="str">
        <f>'2nd_Post_Processing'!$L$6</f>
        <v>Line</v>
      </c>
      <c r="G297" s="562"/>
      <c r="H297" s="562"/>
      <c r="I297" s="562" t="str">
        <f t="shared" si="51"/>
        <v>Attachmenttype[208]</v>
      </c>
      <c r="J297" s="730">
        <f t="shared" si="46"/>
        <v>210</v>
      </c>
      <c r="K297" s="730" t="str">
        <f t="shared" si="43"/>
        <v/>
      </c>
      <c r="L297" s="730" t="str">
        <f t="shared" si="44"/>
        <v/>
      </c>
      <c r="M297" s="730" t="str">
        <f t="shared" si="45"/>
        <v/>
      </c>
      <c r="N297" s="731">
        <f t="shared" si="47"/>
        <v>210</v>
      </c>
    </row>
    <row r="298" spans="1:14" ht="13.5" customHeight="1" x14ac:dyDescent="0.2">
      <c r="A298" s="562" t="str">
        <f t="shared" si="48"/>
        <v>Auxiliar4</v>
      </c>
      <c r="B298" s="562"/>
      <c r="C298" s="562"/>
      <c r="D298" s="562" t="str">
        <f t="shared" si="49"/>
        <v>AA209</v>
      </c>
      <c r="E298" s="562" t="str">
        <f t="shared" si="50"/>
        <v>Get Data</v>
      </c>
      <c r="F298" s="562" t="str">
        <f>'2nd_Post_Processing'!$L$6</f>
        <v>Line</v>
      </c>
      <c r="G298" s="562"/>
      <c r="H298" s="562"/>
      <c r="I298" s="562" t="str">
        <f t="shared" si="51"/>
        <v>Attachmenttype[209]</v>
      </c>
      <c r="J298" s="730">
        <f t="shared" si="46"/>
        <v>211</v>
      </c>
      <c r="K298" s="730" t="str">
        <f t="shared" si="43"/>
        <v/>
      </c>
      <c r="L298" s="730" t="str">
        <f t="shared" si="44"/>
        <v/>
      </c>
      <c r="M298" s="730" t="str">
        <f t="shared" si="45"/>
        <v/>
      </c>
      <c r="N298" s="731">
        <f t="shared" si="47"/>
        <v>211</v>
      </c>
    </row>
    <row r="299" spans="1:14" ht="13.5" customHeight="1" x14ac:dyDescent="0.2">
      <c r="A299" s="562" t="str">
        <f t="shared" si="48"/>
        <v>Auxiliar4</v>
      </c>
      <c r="B299" s="562"/>
      <c r="C299" s="562"/>
      <c r="D299" s="562" t="str">
        <f t="shared" si="49"/>
        <v>AA210</v>
      </c>
      <c r="E299" s="562" t="str">
        <f t="shared" si="50"/>
        <v>Get Data</v>
      </c>
      <c r="F299" s="562" t="str">
        <f>'2nd_Post_Processing'!$L$6</f>
        <v>Line</v>
      </c>
      <c r="G299" s="562"/>
      <c r="H299" s="562"/>
      <c r="I299" s="562" t="str">
        <f t="shared" si="51"/>
        <v>Attachmenttype[210]</v>
      </c>
      <c r="J299" s="730">
        <f t="shared" si="46"/>
        <v>212</v>
      </c>
      <c r="K299" s="730" t="str">
        <f t="shared" si="43"/>
        <v/>
      </c>
      <c r="L299" s="730" t="str">
        <f t="shared" si="44"/>
        <v/>
      </c>
      <c r="M299" s="730" t="str">
        <f t="shared" si="45"/>
        <v/>
      </c>
      <c r="N299" s="731">
        <f t="shared" si="47"/>
        <v>212</v>
      </c>
    </row>
    <row r="300" spans="1:14" ht="13.5" customHeight="1" x14ac:dyDescent="0.2">
      <c r="A300" s="562" t="str">
        <f t="shared" si="48"/>
        <v>Auxiliar4</v>
      </c>
      <c r="B300" s="562"/>
      <c r="C300" s="562"/>
      <c r="D300" s="562" t="str">
        <f t="shared" si="49"/>
        <v>AA211</v>
      </c>
      <c r="E300" s="562" t="str">
        <f t="shared" si="50"/>
        <v>Get Data</v>
      </c>
      <c r="F300" s="562" t="str">
        <f>'2nd_Post_Processing'!$L$6</f>
        <v>Line</v>
      </c>
      <c r="G300" s="562"/>
      <c r="H300" s="562"/>
      <c r="I300" s="562" t="str">
        <f t="shared" si="51"/>
        <v>Attachmenttype[211]</v>
      </c>
      <c r="J300" s="730">
        <f t="shared" si="46"/>
        <v>213</v>
      </c>
      <c r="K300" s="730" t="str">
        <f t="shared" si="43"/>
        <v/>
      </c>
      <c r="L300" s="730" t="str">
        <f t="shared" si="44"/>
        <v/>
      </c>
      <c r="M300" s="730" t="str">
        <f t="shared" si="45"/>
        <v/>
      </c>
      <c r="N300" s="731">
        <f t="shared" si="47"/>
        <v>213</v>
      </c>
    </row>
    <row r="301" spans="1:14" ht="13.5" customHeight="1" x14ac:dyDescent="0.2">
      <c r="A301" s="562" t="str">
        <f t="shared" si="48"/>
        <v>Auxiliar4</v>
      </c>
      <c r="B301" s="562"/>
      <c r="C301" s="562"/>
      <c r="D301" s="562" t="str">
        <f t="shared" si="49"/>
        <v>AA212</v>
      </c>
      <c r="E301" s="562" t="str">
        <f t="shared" si="50"/>
        <v>Get Data</v>
      </c>
      <c r="F301" s="562" t="str">
        <f>'2nd_Post_Processing'!$L$6</f>
        <v>Line</v>
      </c>
      <c r="G301" s="562"/>
      <c r="H301" s="562"/>
      <c r="I301" s="562" t="str">
        <f t="shared" si="51"/>
        <v>Attachmenttype[212]</v>
      </c>
      <c r="J301" s="730">
        <f t="shared" si="46"/>
        <v>214</v>
      </c>
      <c r="K301" s="730" t="str">
        <f t="shared" si="43"/>
        <v/>
      </c>
      <c r="L301" s="730" t="str">
        <f t="shared" si="44"/>
        <v/>
      </c>
      <c r="M301" s="730" t="str">
        <f t="shared" si="45"/>
        <v/>
      </c>
      <c r="N301" s="731">
        <f t="shared" si="47"/>
        <v>214</v>
      </c>
    </row>
    <row r="302" spans="1:14" ht="13.5" customHeight="1" x14ac:dyDescent="0.2">
      <c r="A302" s="562" t="str">
        <f t="shared" si="48"/>
        <v>Auxiliar4</v>
      </c>
      <c r="B302" s="562"/>
      <c r="C302" s="562"/>
      <c r="D302" s="562" t="str">
        <f t="shared" si="49"/>
        <v>AA213</v>
      </c>
      <c r="E302" s="562" t="str">
        <f t="shared" si="50"/>
        <v>Get Data</v>
      </c>
      <c r="F302" s="562" t="str">
        <f>'2nd_Post_Processing'!$L$6</f>
        <v>Line</v>
      </c>
      <c r="G302" s="562"/>
      <c r="H302" s="562"/>
      <c r="I302" s="562" t="str">
        <f t="shared" si="51"/>
        <v>Attachmenttype[213]</v>
      </c>
      <c r="J302" s="730">
        <f t="shared" si="46"/>
        <v>215</v>
      </c>
      <c r="K302" s="730" t="str">
        <f t="shared" si="43"/>
        <v/>
      </c>
      <c r="L302" s="730" t="str">
        <f t="shared" si="44"/>
        <v/>
      </c>
      <c r="M302" s="730" t="str">
        <f t="shared" si="45"/>
        <v/>
      </c>
      <c r="N302" s="731">
        <f t="shared" si="47"/>
        <v>215</v>
      </c>
    </row>
    <row r="303" spans="1:14" ht="13.5" customHeight="1" x14ac:dyDescent="0.2">
      <c r="A303" s="562" t="str">
        <f t="shared" si="48"/>
        <v>Auxiliar4</v>
      </c>
      <c r="B303" s="562"/>
      <c r="C303" s="562"/>
      <c r="D303" s="562" t="str">
        <f t="shared" si="49"/>
        <v>AA214</v>
      </c>
      <c r="E303" s="562" t="str">
        <f t="shared" si="50"/>
        <v>Get Data</v>
      </c>
      <c r="F303" s="562" t="str">
        <f>'2nd_Post_Processing'!$L$6</f>
        <v>Line</v>
      </c>
      <c r="G303" s="562"/>
      <c r="H303" s="562"/>
      <c r="I303" s="562" t="str">
        <f t="shared" si="51"/>
        <v>Attachmenttype[214]</v>
      </c>
      <c r="J303" s="730">
        <f t="shared" si="46"/>
        <v>216</v>
      </c>
      <c r="K303" s="730" t="str">
        <f t="shared" si="43"/>
        <v/>
      </c>
      <c r="L303" s="730" t="str">
        <f t="shared" si="44"/>
        <v/>
      </c>
      <c r="M303" s="730" t="str">
        <f t="shared" si="45"/>
        <v/>
      </c>
      <c r="N303" s="731">
        <f t="shared" si="47"/>
        <v>216</v>
      </c>
    </row>
    <row r="304" spans="1:14" ht="13.5" customHeight="1" x14ac:dyDescent="0.2">
      <c r="A304" s="562" t="str">
        <f t="shared" si="48"/>
        <v>Auxiliar4</v>
      </c>
      <c r="B304" s="562"/>
      <c r="C304" s="562"/>
      <c r="D304" s="562" t="str">
        <f t="shared" si="49"/>
        <v>AA215</v>
      </c>
      <c r="E304" s="562" t="str">
        <f t="shared" si="50"/>
        <v>Get Data</v>
      </c>
      <c r="F304" s="562" t="str">
        <f>'2nd_Post_Processing'!$L$6</f>
        <v>Line</v>
      </c>
      <c r="G304" s="562"/>
      <c r="H304" s="562"/>
      <c r="I304" s="562" t="str">
        <f t="shared" si="51"/>
        <v>Attachmenttype[215]</v>
      </c>
      <c r="J304" s="730">
        <f t="shared" si="46"/>
        <v>217</v>
      </c>
      <c r="K304" s="730" t="str">
        <f t="shared" si="43"/>
        <v/>
      </c>
      <c r="L304" s="730" t="str">
        <f t="shared" si="44"/>
        <v/>
      </c>
      <c r="M304" s="730" t="str">
        <f t="shared" si="45"/>
        <v/>
      </c>
      <c r="N304" s="731">
        <f t="shared" si="47"/>
        <v>217</v>
      </c>
    </row>
    <row r="305" spans="1:14" ht="13.5" customHeight="1" x14ac:dyDescent="0.2">
      <c r="A305" s="562" t="str">
        <f t="shared" si="48"/>
        <v>Auxiliar4</v>
      </c>
      <c r="B305" s="562"/>
      <c r="C305" s="562"/>
      <c r="D305" s="562" t="str">
        <f t="shared" si="49"/>
        <v>AA216</v>
      </c>
      <c r="E305" s="562" t="str">
        <f t="shared" si="50"/>
        <v>Get Data</v>
      </c>
      <c r="F305" s="562" t="str">
        <f>'2nd_Post_Processing'!$L$6</f>
        <v>Line</v>
      </c>
      <c r="G305" s="562"/>
      <c r="H305" s="562"/>
      <c r="I305" s="562" t="str">
        <f t="shared" si="51"/>
        <v>Attachmenttype[216]</v>
      </c>
      <c r="J305" s="730">
        <f t="shared" si="46"/>
        <v>218</v>
      </c>
      <c r="K305" s="730" t="str">
        <f t="shared" si="43"/>
        <v/>
      </c>
      <c r="L305" s="730" t="str">
        <f t="shared" si="44"/>
        <v/>
      </c>
      <c r="M305" s="730" t="str">
        <f t="shared" si="45"/>
        <v/>
      </c>
      <c r="N305" s="731">
        <f t="shared" si="47"/>
        <v>218</v>
      </c>
    </row>
    <row r="306" spans="1:14" ht="13.5" customHeight="1" x14ac:dyDescent="0.2">
      <c r="A306" s="562" t="str">
        <f t="shared" si="48"/>
        <v>Auxiliar4</v>
      </c>
      <c r="B306" s="562"/>
      <c r="C306" s="562"/>
      <c r="D306" s="562" t="str">
        <f t="shared" si="49"/>
        <v>AA217</v>
      </c>
      <c r="E306" s="562" t="str">
        <f t="shared" si="50"/>
        <v>Get Data</v>
      </c>
      <c r="F306" s="562" t="str">
        <f>'2nd_Post_Processing'!$L$6</f>
        <v>Line</v>
      </c>
      <c r="G306" s="562"/>
      <c r="H306" s="562"/>
      <c r="I306" s="562" t="str">
        <f t="shared" si="51"/>
        <v>Attachmenttype[217]</v>
      </c>
      <c r="J306" s="730">
        <f t="shared" si="46"/>
        <v>219</v>
      </c>
      <c r="K306" s="730" t="str">
        <f t="shared" si="43"/>
        <v/>
      </c>
      <c r="L306" s="730" t="str">
        <f t="shared" si="44"/>
        <v/>
      </c>
      <c r="M306" s="730" t="str">
        <f t="shared" si="45"/>
        <v/>
      </c>
      <c r="N306" s="731">
        <f t="shared" si="47"/>
        <v>219</v>
      </c>
    </row>
    <row r="307" spans="1:14" ht="13.5" customHeight="1" x14ac:dyDescent="0.2">
      <c r="A307" s="562" t="str">
        <f t="shared" si="48"/>
        <v>Auxiliar4</v>
      </c>
      <c r="B307" s="562"/>
      <c r="C307" s="562"/>
      <c r="D307" s="562" t="str">
        <f t="shared" si="49"/>
        <v>AA218</v>
      </c>
      <c r="E307" s="562" t="str">
        <f t="shared" si="50"/>
        <v>Get Data</v>
      </c>
      <c r="F307" s="562" t="str">
        <f>'2nd_Post_Processing'!$L$6</f>
        <v>Line</v>
      </c>
      <c r="G307" s="562"/>
      <c r="H307" s="562"/>
      <c r="I307" s="562" t="str">
        <f t="shared" si="51"/>
        <v>Attachmenttype[218]</v>
      </c>
      <c r="J307" s="730">
        <f t="shared" si="46"/>
        <v>220</v>
      </c>
      <c r="K307" s="730" t="str">
        <f t="shared" si="43"/>
        <v/>
      </c>
      <c r="L307" s="730" t="str">
        <f t="shared" si="44"/>
        <v/>
      </c>
      <c r="M307" s="730" t="str">
        <f t="shared" si="45"/>
        <v/>
      </c>
      <c r="N307" s="731">
        <f t="shared" si="47"/>
        <v>220</v>
      </c>
    </row>
    <row r="308" spans="1:14" ht="13.5" customHeight="1" x14ac:dyDescent="0.2">
      <c r="A308" s="562" t="str">
        <f t="shared" si="48"/>
        <v>Auxiliar4</v>
      </c>
      <c r="B308" s="562"/>
      <c r="C308" s="562"/>
      <c r="D308" s="562" t="str">
        <f t="shared" si="49"/>
        <v>AA219</v>
      </c>
      <c r="E308" s="562" t="str">
        <f t="shared" si="50"/>
        <v>Get Data</v>
      </c>
      <c r="F308" s="562" t="str">
        <f>'2nd_Post_Processing'!$L$6</f>
        <v>Line</v>
      </c>
      <c r="G308" s="562"/>
      <c r="H308" s="562"/>
      <c r="I308" s="562" t="str">
        <f t="shared" si="51"/>
        <v>Attachmenttype[219]</v>
      </c>
      <c r="J308" s="730">
        <f t="shared" si="46"/>
        <v>221</v>
      </c>
      <c r="K308" s="730" t="str">
        <f t="shared" si="43"/>
        <v/>
      </c>
      <c r="L308" s="730" t="str">
        <f t="shared" si="44"/>
        <v/>
      </c>
      <c r="M308" s="730" t="str">
        <f t="shared" si="45"/>
        <v/>
      </c>
      <c r="N308" s="731">
        <f t="shared" si="47"/>
        <v>221</v>
      </c>
    </row>
    <row r="309" spans="1:14" ht="13.5" customHeight="1" x14ac:dyDescent="0.2">
      <c r="A309" s="562" t="str">
        <f t="shared" si="48"/>
        <v>Auxiliar4</v>
      </c>
      <c r="B309" s="562"/>
      <c r="C309" s="562"/>
      <c r="D309" s="562" t="str">
        <f t="shared" si="49"/>
        <v>AA220</v>
      </c>
      <c r="E309" s="562" t="str">
        <f t="shared" si="50"/>
        <v>Get Data</v>
      </c>
      <c r="F309" s="562" t="str">
        <f>'2nd_Post_Processing'!$L$6</f>
        <v>Line</v>
      </c>
      <c r="G309" s="562"/>
      <c r="H309" s="562"/>
      <c r="I309" s="562" t="str">
        <f t="shared" si="51"/>
        <v>Attachmenttype[220]</v>
      </c>
      <c r="J309" s="730">
        <f t="shared" si="46"/>
        <v>222</v>
      </c>
      <c r="K309" s="730" t="str">
        <f t="shared" si="43"/>
        <v/>
      </c>
      <c r="L309" s="730" t="str">
        <f t="shared" si="44"/>
        <v/>
      </c>
      <c r="M309" s="730" t="str">
        <f t="shared" si="45"/>
        <v/>
      </c>
      <c r="N309" s="731">
        <f t="shared" si="47"/>
        <v>222</v>
      </c>
    </row>
    <row r="310" spans="1:14" ht="13.5" customHeight="1" x14ac:dyDescent="0.2">
      <c r="A310" s="562" t="str">
        <f t="shared" si="48"/>
        <v>Auxiliar4</v>
      </c>
      <c r="B310" s="562"/>
      <c r="C310" s="562"/>
      <c r="D310" s="562" t="str">
        <f t="shared" si="49"/>
        <v>AA221</v>
      </c>
      <c r="E310" s="562" t="str">
        <f t="shared" si="50"/>
        <v>Get Data</v>
      </c>
      <c r="F310" s="562" t="str">
        <f>'2nd_Post_Processing'!$L$6</f>
        <v>Line</v>
      </c>
      <c r="G310" s="562"/>
      <c r="H310" s="562"/>
      <c r="I310" s="562" t="str">
        <f t="shared" si="51"/>
        <v>Attachmenttype[221]</v>
      </c>
      <c r="J310" s="730">
        <f t="shared" si="46"/>
        <v>223</v>
      </c>
      <c r="K310" s="730" t="str">
        <f t="shared" si="43"/>
        <v/>
      </c>
      <c r="L310" s="730" t="str">
        <f t="shared" si="44"/>
        <v/>
      </c>
      <c r="M310" s="730" t="str">
        <f t="shared" si="45"/>
        <v/>
      </c>
      <c r="N310" s="731">
        <f t="shared" si="47"/>
        <v>223</v>
      </c>
    </row>
    <row r="311" spans="1:14" ht="13.5" customHeight="1" x14ac:dyDescent="0.2">
      <c r="A311" s="562" t="str">
        <f t="shared" si="48"/>
        <v>Auxiliar4</v>
      </c>
      <c r="B311" s="562"/>
      <c r="C311" s="562"/>
      <c r="D311" s="562" t="str">
        <f t="shared" si="49"/>
        <v>AA222</v>
      </c>
      <c r="E311" s="562" t="str">
        <f t="shared" si="50"/>
        <v>Get Data</v>
      </c>
      <c r="F311" s="562" t="str">
        <f>'2nd_Post_Processing'!$L$6</f>
        <v>Line</v>
      </c>
      <c r="G311" s="562"/>
      <c r="H311" s="562"/>
      <c r="I311" s="562" t="str">
        <f t="shared" si="51"/>
        <v>Attachmenttype[222]</v>
      </c>
      <c r="J311" s="730">
        <f t="shared" si="46"/>
        <v>224</v>
      </c>
      <c r="K311" s="730" t="str">
        <f t="shared" si="43"/>
        <v/>
      </c>
      <c r="L311" s="730" t="str">
        <f t="shared" si="44"/>
        <v/>
      </c>
      <c r="M311" s="730" t="str">
        <f t="shared" si="45"/>
        <v/>
      </c>
      <c r="N311" s="731">
        <f t="shared" si="47"/>
        <v>224</v>
      </c>
    </row>
    <row r="312" spans="1:14" ht="13.5" customHeight="1" x14ac:dyDescent="0.2">
      <c r="A312" s="562" t="str">
        <f t="shared" si="48"/>
        <v>Auxiliar4</v>
      </c>
      <c r="B312" s="562"/>
      <c r="C312" s="562"/>
      <c r="D312" s="562" t="str">
        <f t="shared" si="49"/>
        <v>AA223</v>
      </c>
      <c r="E312" s="562" t="str">
        <f t="shared" si="50"/>
        <v>Get Data</v>
      </c>
      <c r="F312" s="562" t="str">
        <f>'2nd_Post_Processing'!$L$6</f>
        <v>Line</v>
      </c>
      <c r="G312" s="562"/>
      <c r="H312" s="562"/>
      <c r="I312" s="562" t="str">
        <f t="shared" si="51"/>
        <v>Attachmenttype[223]</v>
      </c>
      <c r="J312" s="730">
        <f t="shared" si="46"/>
        <v>225</v>
      </c>
      <c r="K312" s="730" t="str">
        <f t="shared" si="43"/>
        <v/>
      </c>
      <c r="L312" s="730" t="str">
        <f t="shared" si="44"/>
        <v/>
      </c>
      <c r="M312" s="730" t="str">
        <f t="shared" si="45"/>
        <v/>
      </c>
      <c r="N312" s="731">
        <f t="shared" si="47"/>
        <v>225</v>
      </c>
    </row>
    <row r="313" spans="1:14" ht="13.5" customHeight="1" x14ac:dyDescent="0.2">
      <c r="A313" s="562" t="str">
        <f t="shared" si="48"/>
        <v>Auxiliar4</v>
      </c>
      <c r="B313" s="562"/>
      <c r="C313" s="562"/>
      <c r="D313" s="562" t="str">
        <f t="shared" si="49"/>
        <v>AA224</v>
      </c>
      <c r="E313" s="562" t="str">
        <f t="shared" si="50"/>
        <v>Get Data</v>
      </c>
      <c r="F313" s="562" t="str">
        <f>'2nd_Post_Processing'!$L$6</f>
        <v>Line</v>
      </c>
      <c r="G313" s="562"/>
      <c r="H313" s="562"/>
      <c r="I313" s="562" t="str">
        <f t="shared" si="51"/>
        <v>Attachmenttype[224]</v>
      </c>
      <c r="J313" s="730">
        <f t="shared" si="46"/>
        <v>226</v>
      </c>
      <c r="K313" s="730" t="str">
        <f t="shared" si="43"/>
        <v/>
      </c>
      <c r="L313" s="730" t="str">
        <f t="shared" si="44"/>
        <v/>
      </c>
      <c r="M313" s="730" t="str">
        <f t="shared" si="45"/>
        <v/>
      </c>
      <c r="N313" s="731">
        <f t="shared" si="47"/>
        <v>226</v>
      </c>
    </row>
    <row r="314" spans="1:14" ht="13.5" customHeight="1" x14ac:dyDescent="0.2">
      <c r="A314" s="562" t="str">
        <f t="shared" si="48"/>
        <v>Auxiliar4</v>
      </c>
      <c r="B314" s="562"/>
      <c r="C314" s="562"/>
      <c r="D314" s="562" t="str">
        <f t="shared" si="49"/>
        <v>AA225</v>
      </c>
      <c r="E314" s="562" t="str">
        <f t="shared" si="50"/>
        <v>Get Data</v>
      </c>
      <c r="F314" s="562" t="str">
        <f>'2nd_Post_Processing'!$L$6</f>
        <v>Line</v>
      </c>
      <c r="G314" s="562"/>
      <c r="H314" s="562"/>
      <c r="I314" s="562" t="str">
        <f t="shared" si="51"/>
        <v>Attachmenttype[225]</v>
      </c>
      <c r="J314" s="730">
        <f t="shared" si="46"/>
        <v>227</v>
      </c>
      <c r="K314" s="730" t="str">
        <f t="shared" si="43"/>
        <v/>
      </c>
      <c r="L314" s="730" t="str">
        <f t="shared" si="44"/>
        <v/>
      </c>
      <c r="M314" s="730" t="str">
        <f t="shared" si="45"/>
        <v/>
      </c>
      <c r="N314" s="731">
        <f t="shared" si="47"/>
        <v>227</v>
      </c>
    </row>
    <row r="315" spans="1:14" ht="13.5" customHeight="1" x14ac:dyDescent="0.2">
      <c r="A315" s="562" t="str">
        <f t="shared" si="48"/>
        <v>Auxiliar4</v>
      </c>
      <c r="B315" s="562"/>
      <c r="C315" s="562"/>
      <c r="D315" s="562" t="str">
        <f t="shared" si="49"/>
        <v>AA226</v>
      </c>
      <c r="E315" s="562" t="str">
        <f t="shared" si="50"/>
        <v>Get Data</v>
      </c>
      <c r="F315" s="562" t="str">
        <f>'2nd_Post_Processing'!$L$6</f>
        <v>Line</v>
      </c>
      <c r="G315" s="562"/>
      <c r="H315" s="562"/>
      <c r="I315" s="562" t="str">
        <f t="shared" si="51"/>
        <v>Attachmenttype[226]</v>
      </c>
      <c r="J315" s="730">
        <f t="shared" si="46"/>
        <v>228</v>
      </c>
      <c r="K315" s="730" t="str">
        <f t="shared" si="43"/>
        <v/>
      </c>
      <c r="L315" s="730" t="str">
        <f t="shared" si="44"/>
        <v/>
      </c>
      <c r="M315" s="730" t="str">
        <f t="shared" si="45"/>
        <v/>
      </c>
      <c r="N315" s="731">
        <f t="shared" si="47"/>
        <v>228</v>
      </c>
    </row>
    <row r="316" spans="1:14" ht="13.5" customHeight="1" x14ac:dyDescent="0.2">
      <c r="A316" s="562" t="str">
        <f t="shared" si="48"/>
        <v>Auxiliar4</v>
      </c>
      <c r="B316" s="562"/>
      <c r="C316" s="562"/>
      <c r="D316" s="562" t="str">
        <f t="shared" si="49"/>
        <v>AA227</v>
      </c>
      <c r="E316" s="562" t="str">
        <f t="shared" si="50"/>
        <v>Get Data</v>
      </c>
      <c r="F316" s="562" t="str">
        <f>'2nd_Post_Processing'!$L$6</f>
        <v>Line</v>
      </c>
      <c r="G316" s="562"/>
      <c r="H316" s="562"/>
      <c r="I316" s="562" t="str">
        <f t="shared" si="51"/>
        <v>Attachmenttype[227]</v>
      </c>
      <c r="J316" s="730">
        <f t="shared" ref="J316:J317" si="52">IFERROR(IF(J315="",J$26+1,IF(J315=J$85,"j",J315+1)),"jj")</f>
        <v>229</v>
      </c>
      <c r="K316" s="730" t="str">
        <f t="shared" ref="K316:K317" si="53">IF((J316="jj"),IFERROR(IF(K315="",J$26+1,IF(K315=J$76,"k",K315+1)),"kk"),"")</f>
        <v/>
      </c>
      <c r="L316" s="730" t="str">
        <f t="shared" ref="L316:L317" si="54">IF((K316="kk"),IFERROR(IF(L315="",2,IF(L315=J$26,"l",L315+1)),"ll"),"")</f>
        <v/>
      </c>
      <c r="M316" s="730" t="str">
        <f t="shared" ref="M316:M317" si="55">IF(OR(L316="l",L316="ll"),IFERROR(IF(M315="",2,IF(M315=J$26,"m",M315+1)),"mm"),"")</f>
        <v/>
      </c>
      <c r="N316" s="731">
        <f t="shared" ref="N316:N317" si="56">IF(ISNUMBER(M316),"z",IF(ISNUMBER(L316),L316,IF(ISNUMBER(K316),K316,IF(ISNUMBER(J316),J316,""))))</f>
        <v>229</v>
      </c>
    </row>
    <row r="317" spans="1:14" ht="13.5" customHeight="1" x14ac:dyDescent="0.2">
      <c r="A317" s="562" t="str">
        <f t="shared" si="48"/>
        <v>Auxiliar4</v>
      </c>
      <c r="B317" s="562"/>
      <c r="C317" s="562"/>
      <c r="D317" s="562" t="str">
        <f t="shared" si="49"/>
        <v>AA228</v>
      </c>
      <c r="E317" s="562" t="str">
        <f t="shared" si="50"/>
        <v>Get Data</v>
      </c>
      <c r="F317" s="562" t="str">
        <f>'2nd_Post_Processing'!$L$6</f>
        <v>Line</v>
      </c>
      <c r="G317" s="562"/>
      <c r="H317" s="562"/>
      <c r="I317" s="562" t="str">
        <f t="shared" si="51"/>
        <v>Attachmenttype[228]</v>
      </c>
      <c r="J317" s="730">
        <f t="shared" si="52"/>
        <v>230</v>
      </c>
      <c r="K317" s="730" t="str">
        <f t="shared" si="53"/>
        <v/>
      </c>
      <c r="L317" s="730" t="str">
        <f t="shared" si="54"/>
        <v/>
      </c>
      <c r="M317" s="730" t="str">
        <f t="shared" si="55"/>
        <v/>
      </c>
      <c r="N317" s="731">
        <f t="shared" si="56"/>
        <v>230</v>
      </c>
    </row>
  </sheetData>
  <dataConsolidate/>
  <mergeCells count="2">
    <mergeCell ref="K5:L5"/>
    <mergeCell ref="J86:N86"/>
  </mergeCells>
  <phoneticPr fontId="25" type="noConversion"/>
  <dataValidations disablePrompts="1" count="1">
    <dataValidation allowBlank="1" showErrorMessage="1" prompt="O conteúdo desta célula não deve ser alterado." sqref="L6:L12" xr:uid="{00000000-0002-0000-1100-000003000000}"/>
  </dataValidations>
  <pageMargins left="0.75" right="0.75" top="1" bottom="1" header="0.5" footer="0.5"/>
  <pageSetup paperSize="9" scale="82" fitToHeight="0" orientation="landscape" r:id="rId1"/>
  <headerFooter alignWithMargins="0"/>
  <ignoredErrors>
    <ignoredError sqref="C37 F54" formula="1"/>
    <ignoredError sqref="C38 H38" evalError="1"/>
  </ignoredErrors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D9F0E-F465-4A2C-8A50-382B085BD8BD}">
  <sheetPr codeName="Sheet15"/>
  <dimension ref="A1:BJ2270"/>
  <sheetViews>
    <sheetView workbookViewId="0"/>
  </sheetViews>
  <sheetFormatPr defaultColWidth="0" defaultRowHeight="12.75" zeroHeight="1" x14ac:dyDescent="0.2"/>
  <cols>
    <col min="1" max="1" width="2.7109375" style="213" customWidth="1"/>
    <col min="2" max="2" width="25.7109375" style="51" customWidth="1"/>
    <col min="3" max="6" width="14.7109375" style="51" customWidth="1"/>
    <col min="7" max="7" width="5.7109375" style="213" customWidth="1"/>
    <col min="8" max="8" width="25.7109375" style="51" customWidth="1"/>
    <col min="9" max="12" width="14.7109375" style="51" customWidth="1"/>
    <col min="13" max="13" width="2.7109375" style="213" customWidth="1"/>
    <col min="14" max="15" width="20.7109375" style="51" customWidth="1"/>
    <col min="16" max="16" width="2.7109375" style="213" customWidth="1"/>
    <col min="17" max="19" width="20.7109375" style="51" customWidth="1"/>
    <col min="20" max="20" width="2.7109375" style="213" customWidth="1"/>
    <col min="21" max="62" width="0" style="51" hidden="1" customWidth="1"/>
    <col min="63" max="16384" width="9.140625" style="148" hidden="1"/>
  </cols>
  <sheetData>
    <row r="1" spans="1:62" s="551" customFormat="1" x14ac:dyDescent="0.2">
      <c r="A1" s="213"/>
      <c r="B1" s="392"/>
      <c r="C1" s="213"/>
      <c r="D1" s="213"/>
      <c r="E1" s="213"/>
      <c r="F1" s="213"/>
      <c r="G1" s="213"/>
      <c r="H1" s="213"/>
      <c r="I1" s="213"/>
      <c r="J1" s="213"/>
      <c r="K1" s="213"/>
      <c r="L1" s="213"/>
      <c r="M1" s="213"/>
      <c r="N1" s="213"/>
      <c r="O1" s="213"/>
      <c r="P1" s="213"/>
      <c r="Q1" s="213"/>
      <c r="R1" s="213"/>
      <c r="S1" s="213"/>
      <c r="T1" s="213"/>
      <c r="U1" s="213"/>
      <c r="V1" s="213"/>
      <c r="W1" s="213"/>
      <c r="X1" s="213"/>
      <c r="Y1" s="213"/>
      <c r="Z1" s="213"/>
      <c r="AA1" s="213"/>
      <c r="AB1" s="213"/>
      <c r="AC1" s="213"/>
      <c r="AD1" s="213"/>
      <c r="AE1" s="213"/>
      <c r="AF1" s="213"/>
      <c r="AG1" s="213"/>
      <c r="AH1" s="213"/>
      <c r="AI1" s="213"/>
      <c r="AJ1" s="213"/>
      <c r="AK1" s="213"/>
      <c r="AL1" s="213"/>
      <c r="AM1" s="213"/>
      <c r="AN1" s="213"/>
      <c r="AO1" s="213"/>
      <c r="AP1" s="213"/>
      <c r="AQ1" s="213"/>
      <c r="AR1" s="213"/>
      <c r="AS1" s="213"/>
      <c r="AT1" s="213"/>
      <c r="AU1" s="213"/>
      <c r="AV1" s="213"/>
      <c r="AW1" s="213"/>
      <c r="AX1" s="213"/>
      <c r="AY1" s="213"/>
      <c r="AZ1" s="213"/>
      <c r="BA1" s="213"/>
      <c r="BB1" s="213"/>
      <c r="BC1" s="213"/>
      <c r="BD1" s="213"/>
      <c r="BE1" s="213"/>
      <c r="BF1" s="213"/>
      <c r="BG1" s="213"/>
      <c r="BH1" s="213"/>
      <c r="BI1" s="213"/>
      <c r="BJ1" s="213"/>
    </row>
    <row r="2" spans="1:62" s="551" customFormat="1" x14ac:dyDescent="0.2">
      <c r="A2" s="392" t="s">
        <v>1743</v>
      </c>
      <c r="B2" s="392"/>
      <c r="C2" s="213"/>
      <c r="D2" s="213"/>
      <c r="E2" s="213"/>
      <c r="F2" s="213"/>
      <c r="G2" s="392" t="s">
        <v>1744</v>
      </c>
      <c r="H2" s="392"/>
      <c r="I2" s="392"/>
      <c r="J2" s="392"/>
      <c r="K2" s="392"/>
      <c r="L2" s="392"/>
      <c r="M2" s="213"/>
      <c r="N2" s="213"/>
      <c r="O2" s="213"/>
      <c r="P2" s="213"/>
      <c r="Q2" s="213"/>
      <c r="R2" s="213"/>
      <c r="S2" s="213"/>
      <c r="T2" s="213"/>
      <c r="U2" s="213"/>
      <c r="V2" s="213"/>
      <c r="W2" s="213"/>
      <c r="X2" s="213"/>
      <c r="Y2" s="213"/>
      <c r="Z2" s="213"/>
      <c r="AA2" s="213"/>
      <c r="AB2" s="213"/>
      <c r="AC2" s="213"/>
      <c r="AD2" s="213"/>
      <c r="AE2" s="213"/>
      <c r="AF2" s="213"/>
      <c r="AG2" s="213"/>
      <c r="AH2" s="213"/>
      <c r="AI2" s="213"/>
      <c r="AJ2" s="213"/>
      <c r="AK2" s="213"/>
      <c r="AL2" s="213"/>
      <c r="AM2" s="213"/>
      <c r="AN2" s="213"/>
      <c r="AO2" s="213"/>
      <c r="AP2" s="213"/>
      <c r="AQ2" s="213"/>
      <c r="AR2" s="213"/>
      <c r="AS2" s="213"/>
      <c r="AT2" s="213"/>
      <c r="AU2" s="213"/>
      <c r="AV2" s="213"/>
      <c r="AW2" s="213"/>
      <c r="AX2" s="213"/>
      <c r="AY2" s="213"/>
      <c r="AZ2" s="213"/>
      <c r="BA2" s="213"/>
      <c r="BB2" s="213"/>
      <c r="BC2" s="213"/>
      <c r="BD2" s="213"/>
      <c r="BE2" s="213"/>
      <c r="BF2" s="213"/>
      <c r="BG2" s="213"/>
      <c r="BH2" s="213"/>
      <c r="BI2" s="213"/>
      <c r="BJ2" s="213"/>
    </row>
    <row r="3" spans="1:62" s="551" customFormat="1" ht="13.5" thickBot="1" x14ac:dyDescent="0.25">
      <c r="A3" s="213"/>
      <c r="B3" s="213"/>
      <c r="C3" s="213"/>
      <c r="D3" s="213"/>
      <c r="E3" s="213"/>
      <c r="F3" s="213"/>
      <c r="G3" s="213"/>
      <c r="H3" s="213"/>
      <c r="I3" s="213"/>
      <c r="J3" s="213"/>
      <c r="K3" s="213"/>
      <c r="L3" s="213"/>
      <c r="M3" s="213"/>
      <c r="N3" s="213"/>
      <c r="O3" s="213"/>
      <c r="P3" s="213"/>
      <c r="Q3" s="213"/>
      <c r="R3" s="213"/>
      <c r="S3" s="213"/>
      <c r="T3" s="213"/>
      <c r="U3" s="213"/>
      <c r="V3" s="213"/>
      <c r="W3" s="213"/>
      <c r="X3" s="213"/>
      <c r="Y3" s="213"/>
      <c r="Z3" s="213"/>
      <c r="AA3" s="213"/>
      <c r="AB3" s="213"/>
      <c r="AC3" s="213"/>
      <c r="AD3" s="213"/>
      <c r="AE3" s="213"/>
      <c r="AF3" s="213"/>
      <c r="AG3" s="213"/>
      <c r="AH3" s="213"/>
      <c r="AI3" s="213"/>
      <c r="AJ3" s="213"/>
      <c r="AK3" s="213"/>
      <c r="AL3" s="213"/>
      <c r="AM3" s="213"/>
      <c r="AN3" s="213"/>
      <c r="AO3" s="213"/>
      <c r="AP3" s="213"/>
      <c r="AQ3" s="213"/>
      <c r="AR3" s="213"/>
      <c r="AS3" s="213"/>
      <c r="AT3" s="213"/>
      <c r="AU3" s="213"/>
      <c r="AV3" s="213"/>
      <c r="AW3" s="213"/>
      <c r="AX3" s="213"/>
      <c r="AY3" s="213"/>
      <c r="AZ3" s="213"/>
      <c r="BA3" s="213"/>
      <c r="BB3" s="213"/>
      <c r="BC3" s="213"/>
      <c r="BD3" s="213"/>
      <c r="BE3" s="213"/>
      <c r="BF3" s="213"/>
      <c r="BG3" s="213"/>
      <c r="BH3" s="213"/>
      <c r="BI3" s="213"/>
      <c r="BJ3" s="213"/>
    </row>
    <row r="4" spans="1:62" x14ac:dyDescent="0.2">
      <c r="B4" s="309"/>
      <c r="C4" s="318"/>
      <c r="D4" s="318"/>
      <c r="E4" s="318"/>
      <c r="F4" s="319"/>
      <c r="H4" s="309"/>
      <c r="I4" s="318"/>
      <c r="J4" s="318"/>
      <c r="K4" s="318"/>
      <c r="L4" s="319"/>
      <c r="N4" s="828" t="s">
        <v>1730</v>
      </c>
      <c r="O4" s="828"/>
      <c r="Q4" s="828" t="s">
        <v>1732</v>
      </c>
      <c r="R4" s="828"/>
      <c r="S4" s="828"/>
    </row>
    <row r="5" spans="1:62" ht="13.5" thickBot="1" x14ac:dyDescent="0.25">
      <c r="B5" s="310"/>
      <c r="C5" s="311"/>
      <c r="D5" s="311"/>
      <c r="E5" s="311"/>
      <c r="F5" s="312"/>
      <c r="H5" s="310"/>
      <c r="I5" s="311"/>
      <c r="J5" s="311"/>
      <c r="K5" s="311"/>
      <c r="L5" s="312"/>
      <c r="N5" s="322" t="s">
        <v>1729</v>
      </c>
      <c r="O5" s="334" t="str">
        <f>IF(AND(O6&gt;0,ISNUMBER(O7)), MIN(O10:O11), IF(AND(O6&gt;0, ISTEXT(O7)), O6, IF(O6&lt;=0, O7)))</f>
        <v/>
      </c>
      <c r="Q5" s="322"/>
      <c r="R5" s="322"/>
      <c r="S5" s="322"/>
    </row>
    <row r="6" spans="1:62" ht="13.5" thickTop="1" x14ac:dyDescent="0.2">
      <c r="B6" s="305"/>
      <c r="C6" s="306"/>
      <c r="D6" s="306"/>
      <c r="E6" s="306"/>
      <c r="F6" s="313"/>
      <c r="H6" s="305"/>
      <c r="I6" s="306"/>
      <c r="J6" s="306"/>
      <c r="K6" s="306"/>
      <c r="L6" s="313"/>
      <c r="N6" s="322" t="s">
        <v>460</v>
      </c>
      <c r="O6" s="58" t="str">
        <f>IF(O10&lt;=0,"",O10)</f>
        <v/>
      </c>
      <c r="Q6" s="58"/>
      <c r="R6" s="58"/>
      <c r="S6" s="58"/>
    </row>
    <row r="7" spans="1:62" x14ac:dyDescent="0.2">
      <c r="B7" s="304"/>
      <c r="C7" s="58"/>
      <c r="D7" s="58"/>
      <c r="E7" s="58"/>
      <c r="F7" s="314"/>
      <c r="H7" s="304"/>
      <c r="I7" s="58"/>
      <c r="J7" s="58"/>
      <c r="K7" s="58"/>
      <c r="L7" s="314"/>
      <c r="N7" s="322" t="s">
        <v>283</v>
      </c>
      <c r="O7" s="394" t="str">
        <f>IF(O11&lt;=0, "Empty", O11)</f>
        <v>Empty</v>
      </c>
      <c r="Q7" s="58"/>
      <c r="R7" s="58"/>
      <c r="S7" s="58"/>
    </row>
    <row r="8" spans="1:62" x14ac:dyDescent="0.2">
      <c r="B8" s="304"/>
      <c r="C8" s="58"/>
      <c r="D8" s="58"/>
      <c r="E8" s="58"/>
      <c r="F8" s="314"/>
      <c r="H8" s="304"/>
      <c r="I8" s="58"/>
      <c r="J8" s="58"/>
      <c r="K8" s="58"/>
      <c r="L8" s="314"/>
      <c r="N8" s="213"/>
      <c r="O8" s="213"/>
      <c r="Q8" s="58"/>
      <c r="R8" s="58"/>
      <c r="S8" s="58"/>
    </row>
    <row r="9" spans="1:62" x14ac:dyDescent="0.2">
      <c r="B9" s="304"/>
      <c r="C9" s="58"/>
      <c r="D9" s="58"/>
      <c r="E9" s="58"/>
      <c r="F9" s="314"/>
      <c r="H9" s="304"/>
      <c r="I9" s="58"/>
      <c r="J9" s="58"/>
      <c r="K9" s="58"/>
      <c r="L9" s="314"/>
      <c r="N9" s="828" t="s">
        <v>1731</v>
      </c>
      <c r="O9" s="828"/>
      <c r="Q9" s="58"/>
      <c r="R9" s="58"/>
      <c r="S9" s="58"/>
    </row>
    <row r="10" spans="1:62" x14ac:dyDescent="0.2">
      <c r="B10" s="304"/>
      <c r="C10" s="58"/>
      <c r="D10" s="58"/>
      <c r="E10" s="58"/>
      <c r="F10" s="314"/>
      <c r="H10" s="304"/>
      <c r="I10" s="58"/>
      <c r="J10" s="58"/>
      <c r="K10" s="58"/>
      <c r="L10" s="314"/>
      <c r="N10" s="322" t="s">
        <v>460</v>
      </c>
      <c r="O10" s="334" cm="1">
        <f t="array" ref="O10">IF(estudo_cvd_type=2,MIN(IF((Q5:Q2005&gt;=postproc_arclength_cabrestante2),S5:S2005)),MIN(IF(ISNUMBER(Q5:Q2005),S5:S2005)))</f>
        <v>0</v>
      </c>
      <c r="Q10" s="58"/>
      <c r="R10" s="58"/>
      <c r="S10" s="58"/>
    </row>
    <row r="11" spans="1:62" x14ac:dyDescent="0.2">
      <c r="B11" s="304"/>
      <c r="C11" s="58"/>
      <c r="D11" s="58"/>
      <c r="E11" s="58"/>
      <c r="F11" s="314"/>
      <c r="H11" s="304"/>
      <c r="I11" s="58"/>
      <c r="J11" s="58"/>
      <c r="K11" s="58"/>
      <c r="L11" s="314"/>
      <c r="N11" s="322" t="s">
        <v>283</v>
      </c>
      <c r="O11" s="58" cm="1">
        <f t="array" ref="O11">MIN(IF(ISNUMBER(R5:R2005),S5:S2005))</f>
        <v>0</v>
      </c>
      <c r="Q11" s="58"/>
      <c r="R11" s="58"/>
      <c r="S11" s="58"/>
    </row>
    <row r="12" spans="1:62" x14ac:dyDescent="0.2">
      <c r="B12" s="304"/>
      <c r="C12" s="58"/>
      <c r="D12" s="58"/>
      <c r="E12" s="58"/>
      <c r="F12" s="314"/>
      <c r="H12" s="304"/>
      <c r="I12" s="58"/>
      <c r="J12" s="58"/>
      <c r="K12" s="58"/>
      <c r="L12" s="314"/>
      <c r="N12" s="213"/>
      <c r="O12" s="213"/>
      <c r="Q12" s="58"/>
      <c r="R12" s="58"/>
      <c r="S12" s="58"/>
    </row>
    <row r="13" spans="1:62" x14ac:dyDescent="0.2">
      <c r="B13" s="304"/>
      <c r="C13" s="58"/>
      <c r="D13" s="58"/>
      <c r="E13" s="58"/>
      <c r="F13" s="314"/>
      <c r="H13" s="304"/>
      <c r="I13" s="58"/>
      <c r="J13" s="58"/>
      <c r="K13" s="58"/>
      <c r="L13" s="314"/>
      <c r="N13" s="213"/>
      <c r="O13" s="213"/>
      <c r="Q13" s="58"/>
      <c r="R13" s="58"/>
      <c r="S13" s="58"/>
    </row>
    <row r="14" spans="1:62" x14ac:dyDescent="0.2">
      <c r="B14" s="304"/>
      <c r="C14" s="58"/>
      <c r="D14" s="58"/>
      <c r="E14" s="58"/>
      <c r="F14" s="314"/>
      <c r="H14" s="304"/>
      <c r="I14" s="58"/>
      <c r="J14" s="58"/>
      <c r="K14" s="58"/>
      <c r="L14" s="314"/>
      <c r="N14" s="213"/>
      <c r="O14" s="213"/>
      <c r="Q14" s="58"/>
      <c r="R14" s="58"/>
      <c r="S14" s="58"/>
    </row>
    <row r="15" spans="1:62" x14ac:dyDescent="0.2">
      <c r="B15" s="61"/>
      <c r="C15" s="58"/>
      <c r="D15" s="635"/>
      <c r="E15" s="58"/>
      <c r="F15" s="314"/>
      <c r="H15" s="61"/>
      <c r="I15" s="58"/>
      <c r="J15" s="635"/>
      <c r="K15" s="58"/>
      <c r="L15" s="314"/>
      <c r="N15" s="213"/>
      <c r="O15" s="213"/>
      <c r="Q15" s="58"/>
      <c r="R15" s="58"/>
      <c r="S15" s="58"/>
    </row>
    <row r="16" spans="1:62" x14ac:dyDescent="0.2">
      <c r="B16" s="61"/>
      <c r="C16" s="58"/>
      <c r="D16" s="635"/>
      <c r="E16" s="58"/>
      <c r="F16" s="314"/>
      <c r="H16" s="61"/>
      <c r="I16" s="58"/>
      <c r="J16" s="635"/>
      <c r="K16" s="58"/>
      <c r="L16" s="314"/>
      <c r="N16" s="213"/>
      <c r="O16" s="213"/>
      <c r="Q16" s="58"/>
      <c r="R16" s="58"/>
      <c r="S16" s="58"/>
    </row>
    <row r="17" spans="1:19" x14ac:dyDescent="0.2">
      <c r="B17" s="61"/>
      <c r="C17" s="58"/>
      <c r="D17" s="58"/>
      <c r="E17" s="635"/>
      <c r="F17" s="314"/>
      <c r="H17" s="61"/>
      <c r="I17" s="58"/>
      <c r="J17" s="58"/>
      <c r="K17" s="635"/>
      <c r="L17" s="314"/>
      <c r="N17" s="213"/>
      <c r="O17" s="213"/>
      <c r="Q17" s="58"/>
      <c r="R17" s="58"/>
      <c r="S17" s="58"/>
    </row>
    <row r="18" spans="1:19" x14ac:dyDescent="0.2">
      <c r="B18" s="61"/>
      <c r="C18" s="58"/>
      <c r="D18" s="537"/>
      <c r="E18" s="636"/>
      <c r="F18" s="538"/>
      <c r="H18" s="61"/>
      <c r="I18" s="58"/>
      <c r="J18" s="58"/>
      <c r="K18" s="635"/>
      <c r="L18" s="314"/>
      <c r="N18" s="213"/>
      <c r="O18" s="213"/>
      <c r="Q18" s="58"/>
      <c r="R18" s="58"/>
      <c r="S18" s="335"/>
    </row>
    <row r="19" spans="1:19" x14ac:dyDescent="0.2">
      <c r="B19" s="61"/>
      <c r="C19" s="58"/>
      <c r="D19" s="633"/>
      <c r="E19" s="633"/>
      <c r="F19" s="182"/>
      <c r="H19" s="61"/>
      <c r="I19" s="58"/>
      <c r="J19" s="633"/>
      <c r="K19" s="633"/>
      <c r="L19" s="182"/>
      <c r="N19" s="213"/>
      <c r="O19" s="213"/>
      <c r="Q19" s="58"/>
      <c r="R19" s="58"/>
      <c r="S19" s="58"/>
    </row>
    <row r="20" spans="1:19" ht="13.5" thickBot="1" x14ac:dyDescent="0.25">
      <c r="B20" s="315"/>
      <c r="C20" s="317"/>
      <c r="D20" s="634"/>
      <c r="E20" s="634"/>
      <c r="F20" s="189"/>
      <c r="H20" s="315"/>
      <c r="I20" s="317"/>
      <c r="J20" s="634"/>
      <c r="K20" s="634"/>
      <c r="L20" s="189"/>
      <c r="N20" s="213"/>
      <c r="O20" s="213"/>
      <c r="Q20" s="58"/>
      <c r="R20" s="58"/>
      <c r="S20" s="58"/>
    </row>
    <row r="21" spans="1:19" x14ac:dyDescent="0.2">
      <c r="B21" s="213"/>
      <c r="C21" s="213"/>
      <c r="D21" s="392"/>
      <c r="E21" s="213"/>
      <c r="F21" s="213"/>
      <c r="H21" s="213"/>
      <c r="I21" s="213"/>
      <c r="J21" s="213"/>
      <c r="K21" s="392"/>
      <c r="L21" s="213"/>
      <c r="N21" s="213"/>
      <c r="O21" s="213"/>
      <c r="Q21" s="58"/>
      <c r="R21" s="58"/>
      <c r="S21" s="58"/>
    </row>
    <row r="22" spans="1:19" x14ac:dyDescent="0.2">
      <c r="A22" s="392" t="s">
        <v>1833</v>
      </c>
      <c r="B22" s="392"/>
      <c r="C22" s="392"/>
      <c r="D22" s="392"/>
      <c r="E22" s="392"/>
      <c r="F22" s="392"/>
      <c r="G22" s="392" t="s">
        <v>1834</v>
      </c>
      <c r="H22" s="392"/>
      <c r="I22" s="392"/>
      <c r="J22" s="392"/>
      <c r="K22" s="392"/>
      <c r="L22" s="392"/>
      <c r="N22" s="392"/>
      <c r="O22" s="392"/>
      <c r="Q22" s="58"/>
      <c r="R22" s="58"/>
      <c r="S22" s="58"/>
    </row>
    <row r="23" spans="1:19" ht="13.5" thickBot="1" x14ac:dyDescent="0.25">
      <c r="B23" s="213"/>
      <c r="C23" s="213"/>
      <c r="D23" s="213"/>
      <c r="E23" s="213"/>
      <c r="F23" s="213"/>
      <c r="H23" s="213"/>
      <c r="I23" s="213"/>
      <c r="J23" s="213"/>
      <c r="K23" s="392"/>
      <c r="L23" s="213"/>
      <c r="N23" s="213"/>
      <c r="O23" s="213"/>
      <c r="Q23" s="58"/>
      <c r="R23" s="58"/>
      <c r="S23" s="58"/>
    </row>
    <row r="24" spans="1:19" x14ac:dyDescent="0.2">
      <c r="B24" s="309"/>
      <c r="C24" s="318"/>
      <c r="D24" s="318"/>
      <c r="E24" s="318"/>
      <c r="F24" s="319"/>
      <c r="H24" s="309"/>
      <c r="I24" s="318"/>
      <c r="J24" s="318"/>
      <c r="K24" s="318"/>
      <c r="L24" s="319"/>
      <c r="N24" s="213"/>
      <c r="O24" s="213"/>
      <c r="Q24" s="58"/>
      <c r="R24" s="58"/>
      <c r="S24" s="58"/>
    </row>
    <row r="25" spans="1:19" ht="13.5" thickBot="1" x14ac:dyDescent="0.25">
      <c r="B25" s="310"/>
      <c r="C25" s="311"/>
      <c r="D25" s="311"/>
      <c r="E25" s="311"/>
      <c r="F25" s="312"/>
      <c r="H25" s="310"/>
      <c r="I25" s="311"/>
      <c r="J25" s="311"/>
      <c r="K25" s="311"/>
      <c r="L25" s="312"/>
      <c r="N25" s="213"/>
      <c r="O25" s="213"/>
      <c r="Q25" s="58"/>
      <c r="R25" s="58"/>
      <c r="S25" s="58"/>
    </row>
    <row r="26" spans="1:19" ht="13.5" thickTop="1" x14ac:dyDescent="0.2">
      <c r="B26" s="305"/>
      <c r="C26" s="306"/>
      <c r="D26" s="306"/>
      <c r="E26" s="306"/>
      <c r="F26" s="313"/>
      <c r="H26" s="305"/>
      <c r="I26" s="306"/>
      <c r="J26" s="306"/>
      <c r="K26" s="306"/>
      <c r="L26" s="313"/>
      <c r="N26" s="213"/>
      <c r="O26" s="213"/>
      <c r="Q26" s="58"/>
      <c r="R26" s="58"/>
      <c r="S26" s="58"/>
    </row>
    <row r="27" spans="1:19" x14ac:dyDescent="0.2">
      <c r="B27" s="304"/>
      <c r="C27" s="58"/>
      <c r="D27" s="58"/>
      <c r="E27" s="58"/>
      <c r="F27" s="314"/>
      <c r="H27" s="304"/>
      <c r="I27" s="58"/>
      <c r="J27" s="58"/>
      <c r="K27" s="58"/>
      <c r="L27" s="314"/>
      <c r="N27" s="392"/>
      <c r="O27" s="213"/>
      <c r="Q27" s="58"/>
      <c r="R27" s="58"/>
      <c r="S27" s="58"/>
    </row>
    <row r="28" spans="1:19" x14ac:dyDescent="0.2">
      <c r="B28" s="304"/>
      <c r="C28" s="58"/>
      <c r="D28" s="58"/>
      <c r="E28" s="58"/>
      <c r="F28" s="314"/>
      <c r="H28" s="304"/>
      <c r="I28" s="58"/>
      <c r="J28" s="58"/>
      <c r="K28" s="58"/>
      <c r="L28" s="314"/>
      <c r="N28" s="392"/>
      <c r="O28" s="213"/>
      <c r="Q28" s="58"/>
      <c r="R28" s="58"/>
      <c r="S28" s="58"/>
    </row>
    <row r="29" spans="1:19" x14ac:dyDescent="0.2">
      <c r="B29" s="304"/>
      <c r="C29" s="58"/>
      <c r="D29" s="58"/>
      <c r="E29" s="58"/>
      <c r="F29" s="314"/>
      <c r="H29" s="304"/>
      <c r="I29" s="58"/>
      <c r="J29" s="58"/>
      <c r="K29" s="58"/>
      <c r="L29" s="314"/>
      <c r="N29" s="392"/>
      <c r="O29" s="213"/>
      <c r="Q29" s="58"/>
      <c r="R29" s="58"/>
      <c r="S29" s="58"/>
    </row>
    <row r="30" spans="1:19" x14ac:dyDescent="0.2">
      <c r="B30" s="304"/>
      <c r="C30" s="58"/>
      <c r="D30" s="58"/>
      <c r="E30" s="58"/>
      <c r="F30" s="314"/>
      <c r="H30" s="304"/>
      <c r="I30" s="58"/>
      <c r="J30" s="58"/>
      <c r="K30" s="58"/>
      <c r="L30" s="314"/>
      <c r="N30" s="392"/>
      <c r="O30" s="213"/>
      <c r="Q30" s="58"/>
      <c r="R30" s="58"/>
      <c r="S30" s="58"/>
    </row>
    <row r="31" spans="1:19" x14ac:dyDescent="0.2">
      <c r="B31" s="304"/>
      <c r="C31" s="58"/>
      <c r="D31" s="58"/>
      <c r="E31" s="58"/>
      <c r="F31" s="314"/>
      <c r="H31" s="304"/>
      <c r="I31" s="58"/>
      <c r="J31" s="58"/>
      <c r="K31" s="58"/>
      <c r="L31" s="314"/>
      <c r="N31" s="392"/>
      <c r="O31" s="213"/>
      <c r="Q31" s="58"/>
      <c r="R31" s="58"/>
      <c r="S31" s="58"/>
    </row>
    <row r="32" spans="1:19" x14ac:dyDescent="0.2">
      <c r="B32" s="304"/>
      <c r="C32" s="58"/>
      <c r="D32" s="58"/>
      <c r="E32" s="58"/>
      <c r="F32" s="314"/>
      <c r="H32" s="304"/>
      <c r="I32" s="58"/>
      <c r="J32" s="58"/>
      <c r="K32" s="58"/>
      <c r="L32" s="314"/>
      <c r="N32" s="392"/>
      <c r="O32" s="213"/>
      <c r="Q32" s="58"/>
      <c r="R32" s="58"/>
      <c r="S32" s="58"/>
    </row>
    <row r="33" spans="1:19" x14ac:dyDescent="0.2">
      <c r="B33" s="304"/>
      <c r="C33" s="58"/>
      <c r="D33" s="58"/>
      <c r="E33" s="58"/>
      <c r="F33" s="314"/>
      <c r="H33" s="304"/>
      <c r="I33" s="58"/>
      <c r="J33" s="58"/>
      <c r="K33" s="58"/>
      <c r="L33" s="314"/>
      <c r="N33" s="392"/>
      <c r="O33" s="213"/>
      <c r="Q33" s="58"/>
      <c r="R33" s="58"/>
      <c r="S33" s="58"/>
    </row>
    <row r="34" spans="1:19" x14ac:dyDescent="0.2">
      <c r="B34" s="304"/>
      <c r="C34" s="58"/>
      <c r="D34" s="58"/>
      <c r="E34" s="58"/>
      <c r="F34" s="314"/>
      <c r="H34" s="304"/>
      <c r="I34" s="58"/>
      <c r="J34" s="58"/>
      <c r="K34" s="58"/>
      <c r="L34" s="314"/>
      <c r="N34" s="392"/>
      <c r="O34" s="213"/>
      <c r="Q34" s="58"/>
      <c r="R34" s="58"/>
      <c r="S34" s="58"/>
    </row>
    <row r="35" spans="1:19" x14ac:dyDescent="0.2">
      <c r="B35" s="61"/>
      <c r="C35" s="58"/>
      <c r="D35" s="635"/>
      <c r="E35" s="58"/>
      <c r="F35" s="314"/>
      <c r="H35" s="61"/>
      <c r="I35" s="58"/>
      <c r="J35" s="635"/>
      <c r="K35" s="58"/>
      <c r="L35" s="314"/>
      <c r="N35" s="213"/>
      <c r="O35" s="213"/>
      <c r="Q35" s="58"/>
      <c r="R35" s="58"/>
      <c r="S35" s="58"/>
    </row>
    <row r="36" spans="1:19" x14ac:dyDescent="0.2">
      <c r="B36" s="61"/>
      <c r="C36" s="58"/>
      <c r="D36" s="635"/>
      <c r="E36" s="58"/>
      <c r="F36" s="314"/>
      <c r="H36" s="61"/>
      <c r="I36" s="58"/>
      <c r="J36" s="635"/>
      <c r="K36" s="58"/>
      <c r="L36" s="314"/>
      <c r="N36" s="213"/>
      <c r="O36" s="213"/>
      <c r="Q36" s="58"/>
      <c r="R36" s="58"/>
      <c r="S36" s="58"/>
    </row>
    <row r="37" spans="1:19" x14ac:dyDescent="0.2">
      <c r="B37" s="61"/>
      <c r="C37" s="58"/>
      <c r="D37" s="58"/>
      <c r="E37" s="635"/>
      <c r="F37" s="314"/>
      <c r="G37" s="524"/>
      <c r="H37" s="61"/>
      <c r="I37" s="58"/>
      <c r="J37" s="58"/>
      <c r="K37" s="635"/>
      <c r="L37" s="314"/>
      <c r="N37" s="213"/>
      <c r="O37" s="213"/>
      <c r="Q37" s="58"/>
      <c r="R37" s="58"/>
      <c r="S37" s="58"/>
    </row>
    <row r="38" spans="1:19" x14ac:dyDescent="0.2">
      <c r="B38" s="61"/>
      <c r="C38" s="58"/>
      <c r="D38" s="58"/>
      <c r="E38" s="635"/>
      <c r="F38" s="314"/>
      <c r="H38" s="61"/>
      <c r="I38" s="58"/>
      <c r="J38" s="58"/>
      <c r="K38" s="635"/>
      <c r="L38" s="314"/>
      <c r="N38" s="213"/>
      <c r="O38" s="213"/>
      <c r="P38" s="525"/>
      <c r="Q38" s="58"/>
      <c r="R38" s="58"/>
      <c r="S38" s="58"/>
    </row>
    <row r="39" spans="1:19" x14ac:dyDescent="0.2">
      <c r="B39" s="61"/>
      <c r="C39" s="58"/>
      <c r="D39" s="58"/>
      <c r="E39" s="58"/>
      <c r="F39" s="182"/>
      <c r="H39" s="61"/>
      <c r="I39" s="58"/>
      <c r="J39" s="58"/>
      <c r="K39" s="58"/>
      <c r="L39" s="182"/>
      <c r="N39" s="213"/>
      <c r="O39" s="213"/>
      <c r="P39" s="525"/>
      <c r="Q39" s="58"/>
      <c r="R39" s="58"/>
      <c r="S39" s="58"/>
    </row>
    <row r="40" spans="1:19" ht="13.5" thickBot="1" x14ac:dyDescent="0.25">
      <c r="B40" s="315"/>
      <c r="C40" s="317"/>
      <c r="D40" s="317"/>
      <c r="E40" s="317"/>
      <c r="F40" s="189"/>
      <c r="H40" s="315"/>
      <c r="I40" s="317"/>
      <c r="J40" s="317"/>
      <c r="K40" s="317"/>
      <c r="L40" s="189"/>
      <c r="N40" s="213"/>
      <c r="O40" s="213"/>
      <c r="P40" s="525"/>
      <c r="Q40" s="58"/>
      <c r="R40" s="58"/>
      <c r="S40" s="58"/>
    </row>
    <row r="41" spans="1:19" x14ac:dyDescent="0.2">
      <c r="B41" s="213"/>
      <c r="C41" s="213"/>
      <c r="D41" s="213"/>
      <c r="E41" s="213"/>
      <c r="F41" s="213"/>
      <c r="H41" s="213"/>
      <c r="I41" s="213"/>
      <c r="J41" s="213"/>
      <c r="K41" s="213"/>
      <c r="L41" s="213"/>
      <c r="N41" s="213"/>
      <c r="O41" s="213"/>
      <c r="Q41" s="58"/>
      <c r="R41" s="58"/>
      <c r="S41" s="58"/>
    </row>
    <row r="42" spans="1:19" x14ac:dyDescent="0.2">
      <c r="A42" s="392" t="s">
        <v>1796</v>
      </c>
      <c r="B42" s="392"/>
      <c r="C42" s="392"/>
      <c r="D42" s="392"/>
      <c r="E42" s="392"/>
      <c r="F42" s="392"/>
      <c r="G42" s="392" t="s">
        <v>1797</v>
      </c>
      <c r="H42" s="392"/>
      <c r="I42" s="392"/>
      <c r="J42" s="392"/>
      <c r="K42" s="392"/>
      <c r="L42" s="392"/>
      <c r="N42" s="392"/>
      <c r="O42" s="392"/>
      <c r="Q42" s="58"/>
      <c r="R42" s="58"/>
      <c r="S42" s="58"/>
    </row>
    <row r="43" spans="1:19" ht="13.5" thickBot="1" x14ac:dyDescent="0.25">
      <c r="B43" s="213"/>
      <c r="C43" s="213"/>
      <c r="D43" s="213"/>
      <c r="E43" s="213"/>
      <c r="F43" s="213"/>
      <c r="H43" s="213"/>
      <c r="I43" s="213"/>
      <c r="J43" s="213"/>
      <c r="K43" s="213"/>
      <c r="L43" s="213"/>
      <c r="N43" s="213"/>
      <c r="O43" s="213"/>
      <c r="Q43" s="58"/>
      <c r="R43" s="58"/>
      <c r="S43" s="58"/>
    </row>
    <row r="44" spans="1:19" x14ac:dyDescent="0.2">
      <c r="B44" s="309"/>
      <c r="C44" s="318"/>
      <c r="D44" s="318"/>
      <c r="E44" s="318"/>
      <c r="F44" s="319"/>
      <c r="H44" s="309"/>
      <c r="I44" s="318"/>
      <c r="J44" s="318"/>
      <c r="K44" s="318"/>
      <c r="L44" s="319"/>
      <c r="N44" s="213"/>
      <c r="O44" s="213"/>
      <c r="Q44" s="58"/>
      <c r="R44" s="58"/>
      <c r="S44" s="58"/>
    </row>
    <row r="45" spans="1:19" ht="13.5" thickBot="1" x14ac:dyDescent="0.25">
      <c r="B45" s="310"/>
      <c r="C45" s="311"/>
      <c r="D45" s="311"/>
      <c r="E45" s="311"/>
      <c r="F45" s="312"/>
      <c r="H45" s="310"/>
      <c r="I45" s="311"/>
      <c r="J45" s="311"/>
      <c r="K45" s="311"/>
      <c r="L45" s="312"/>
      <c r="N45" s="213"/>
      <c r="O45" s="213"/>
      <c r="Q45" s="58"/>
      <c r="R45" s="58"/>
      <c r="S45" s="58"/>
    </row>
    <row r="46" spans="1:19" ht="13.5" thickTop="1" x14ac:dyDescent="0.2">
      <c r="B46" s="305"/>
      <c r="C46" s="306"/>
      <c r="D46" s="306"/>
      <c r="E46" s="306"/>
      <c r="F46" s="313"/>
      <c r="H46" s="305"/>
      <c r="I46" s="306"/>
      <c r="J46" s="306"/>
      <c r="K46" s="306"/>
      <c r="L46" s="313"/>
      <c r="N46" s="213"/>
      <c r="O46" s="213"/>
      <c r="Q46" s="58"/>
      <c r="R46" s="58"/>
      <c r="S46" s="58"/>
    </row>
    <row r="47" spans="1:19" x14ac:dyDescent="0.2">
      <c r="B47" s="304"/>
      <c r="C47" s="58"/>
      <c r="D47" s="58"/>
      <c r="E47" s="58"/>
      <c r="F47" s="314"/>
      <c r="H47" s="304"/>
      <c r="I47" s="58"/>
      <c r="J47" s="58"/>
      <c r="K47" s="58"/>
      <c r="L47" s="314"/>
      <c r="N47" s="392"/>
      <c r="O47" s="213"/>
      <c r="Q47" s="58"/>
      <c r="R47" s="58"/>
      <c r="S47" s="58"/>
    </row>
    <row r="48" spans="1:19" x14ac:dyDescent="0.2">
      <c r="B48" s="304"/>
      <c r="C48" s="58"/>
      <c r="D48" s="58"/>
      <c r="E48" s="58"/>
      <c r="F48" s="314"/>
      <c r="H48" s="304"/>
      <c r="I48" s="58"/>
      <c r="J48" s="58"/>
      <c r="K48" s="58"/>
      <c r="L48" s="314"/>
      <c r="N48" s="392"/>
      <c r="O48" s="213"/>
      <c r="Q48" s="58"/>
      <c r="R48" s="58"/>
      <c r="S48" s="58"/>
    </row>
    <row r="49" spans="1:19" x14ac:dyDescent="0.2">
      <c r="B49" s="304"/>
      <c r="C49" s="58"/>
      <c r="D49" s="58"/>
      <c r="E49" s="58"/>
      <c r="F49" s="314"/>
      <c r="H49" s="304"/>
      <c r="I49" s="58"/>
      <c r="J49" s="58"/>
      <c r="K49" s="58"/>
      <c r="L49" s="314"/>
      <c r="N49" s="392"/>
      <c r="O49" s="213"/>
      <c r="Q49" s="58"/>
      <c r="R49" s="58"/>
      <c r="S49" s="58"/>
    </row>
    <row r="50" spans="1:19" x14ac:dyDescent="0.2">
      <c r="B50" s="304"/>
      <c r="C50" s="58"/>
      <c r="D50" s="58"/>
      <c r="E50" s="58"/>
      <c r="F50" s="314"/>
      <c r="H50" s="304"/>
      <c r="I50" s="58"/>
      <c r="J50" s="58"/>
      <c r="K50" s="58"/>
      <c r="L50" s="314"/>
      <c r="N50" s="392"/>
      <c r="O50" s="213"/>
      <c r="Q50" s="58"/>
      <c r="R50" s="58"/>
      <c r="S50" s="58"/>
    </row>
    <row r="51" spans="1:19" x14ac:dyDescent="0.2">
      <c r="B51" s="304"/>
      <c r="C51" s="58"/>
      <c r="D51" s="58"/>
      <c r="E51" s="58"/>
      <c r="F51" s="314"/>
      <c r="H51" s="304"/>
      <c r="I51" s="58"/>
      <c r="J51" s="58"/>
      <c r="K51" s="58"/>
      <c r="L51" s="314"/>
      <c r="N51" s="392"/>
      <c r="O51" s="213"/>
      <c r="Q51" s="58"/>
      <c r="R51" s="58"/>
      <c r="S51" s="58"/>
    </row>
    <row r="52" spans="1:19" x14ac:dyDescent="0.2">
      <c r="B52" s="304"/>
      <c r="C52" s="58"/>
      <c r="D52" s="58"/>
      <c r="E52" s="58"/>
      <c r="F52" s="314"/>
      <c r="H52" s="304"/>
      <c r="I52" s="58"/>
      <c r="J52" s="58"/>
      <c r="K52" s="58"/>
      <c r="L52" s="314"/>
      <c r="N52" s="392"/>
      <c r="O52" s="213"/>
      <c r="Q52" s="58"/>
      <c r="R52" s="58"/>
      <c r="S52" s="58"/>
    </row>
    <row r="53" spans="1:19" x14ac:dyDescent="0.2">
      <c r="B53" s="304"/>
      <c r="C53" s="58"/>
      <c r="D53" s="58"/>
      <c r="E53" s="58"/>
      <c r="F53" s="314"/>
      <c r="H53" s="304"/>
      <c r="I53" s="58"/>
      <c r="J53" s="58"/>
      <c r="K53" s="58"/>
      <c r="L53" s="314"/>
      <c r="N53" s="392"/>
      <c r="O53" s="213"/>
      <c r="Q53" s="58"/>
      <c r="R53" s="58"/>
      <c r="S53" s="58"/>
    </row>
    <row r="54" spans="1:19" x14ac:dyDescent="0.2">
      <c r="B54" s="304"/>
      <c r="C54" s="58"/>
      <c r="D54" s="58"/>
      <c r="E54" s="58"/>
      <c r="F54" s="314"/>
      <c r="H54" s="304"/>
      <c r="I54" s="58"/>
      <c r="J54" s="58"/>
      <c r="K54" s="58"/>
      <c r="L54" s="314"/>
      <c r="N54" s="392"/>
      <c r="O54" s="213"/>
      <c r="Q54" s="58"/>
      <c r="R54" s="58"/>
      <c r="S54" s="58"/>
    </row>
    <row r="55" spans="1:19" x14ac:dyDescent="0.2">
      <c r="B55" s="61"/>
      <c r="C55" s="58"/>
      <c r="D55" s="307"/>
      <c r="E55" s="58"/>
      <c r="F55" s="314"/>
      <c r="H55" s="61"/>
      <c r="I55" s="58"/>
      <c r="J55" s="635"/>
      <c r="K55" s="58"/>
      <c r="L55" s="314"/>
      <c r="N55" s="213"/>
      <c r="O55" s="213"/>
      <c r="Q55" s="58"/>
      <c r="R55" s="58"/>
      <c r="S55" s="58"/>
    </row>
    <row r="56" spans="1:19" x14ac:dyDescent="0.2">
      <c r="B56" s="61"/>
      <c r="C56" s="58"/>
      <c r="D56" s="307"/>
      <c r="E56" s="58"/>
      <c r="F56" s="314"/>
      <c r="H56" s="61"/>
      <c r="I56" s="58"/>
      <c r="J56" s="635"/>
      <c r="K56" s="58"/>
      <c r="L56" s="314"/>
      <c r="N56" s="213"/>
      <c r="O56" s="213"/>
      <c r="Q56" s="58"/>
      <c r="R56" s="58"/>
      <c r="S56" s="58"/>
    </row>
    <row r="57" spans="1:19" x14ac:dyDescent="0.2">
      <c r="B57" s="61"/>
      <c r="C57" s="58"/>
      <c r="D57" s="58"/>
      <c r="E57" s="307"/>
      <c r="F57" s="314"/>
      <c r="G57" s="524"/>
      <c r="H57" s="61"/>
      <c r="I57" s="58"/>
      <c r="J57" s="58"/>
      <c r="K57" s="635"/>
      <c r="L57" s="314"/>
      <c r="N57" s="213"/>
      <c r="O57" s="213"/>
      <c r="Q57" s="58"/>
      <c r="R57" s="58"/>
      <c r="S57" s="58"/>
    </row>
    <row r="58" spans="1:19" x14ac:dyDescent="0.2">
      <c r="B58" s="61"/>
      <c r="C58" s="58"/>
      <c r="D58" s="58"/>
      <c r="E58" s="307"/>
      <c r="F58" s="314"/>
      <c r="H58" s="61"/>
      <c r="I58" s="58"/>
      <c r="J58" s="58"/>
      <c r="K58" s="635"/>
      <c r="L58" s="314"/>
      <c r="N58" s="213"/>
      <c r="O58" s="213"/>
      <c r="P58" s="525"/>
      <c r="Q58" s="58"/>
      <c r="R58" s="58"/>
      <c r="S58" s="58"/>
    </row>
    <row r="59" spans="1:19" x14ac:dyDescent="0.2">
      <c r="B59" s="61"/>
      <c r="C59" s="58"/>
      <c r="D59" s="58"/>
      <c r="E59" s="58"/>
      <c r="F59" s="182"/>
      <c r="H59" s="61"/>
      <c r="I59" s="58"/>
      <c r="J59" s="58"/>
      <c r="K59" s="58"/>
      <c r="L59" s="182"/>
      <c r="N59" s="213"/>
      <c r="O59" s="213"/>
      <c r="P59" s="525"/>
      <c r="Q59" s="58"/>
      <c r="R59" s="58"/>
      <c r="S59" s="58"/>
    </row>
    <row r="60" spans="1:19" ht="13.5" thickBot="1" x14ac:dyDescent="0.25">
      <c r="B60" s="315"/>
      <c r="C60" s="317"/>
      <c r="D60" s="317"/>
      <c r="E60" s="317"/>
      <c r="F60" s="189"/>
      <c r="H60" s="315"/>
      <c r="I60" s="317"/>
      <c r="J60" s="317"/>
      <c r="K60" s="317"/>
      <c r="L60" s="189"/>
      <c r="N60" s="213"/>
      <c r="O60" s="213"/>
      <c r="P60" s="525"/>
      <c r="Q60" s="58"/>
      <c r="R60" s="58"/>
      <c r="S60" s="58"/>
    </row>
    <row r="61" spans="1:19" x14ac:dyDescent="0.2">
      <c r="B61" s="213"/>
      <c r="C61" s="213"/>
      <c r="D61" s="213"/>
      <c r="E61" s="213"/>
      <c r="F61" s="213"/>
      <c r="H61" s="213"/>
      <c r="I61" s="213"/>
      <c r="J61" s="213"/>
      <c r="K61" s="213"/>
      <c r="L61" s="213"/>
      <c r="N61" s="213"/>
      <c r="O61" s="213"/>
      <c r="P61" s="525"/>
      <c r="Q61" s="58"/>
      <c r="R61" s="58"/>
      <c r="S61" s="58"/>
    </row>
    <row r="62" spans="1:19" x14ac:dyDescent="0.2">
      <c r="A62" s="392" t="s">
        <v>1798</v>
      </c>
      <c r="B62" s="392"/>
      <c r="C62" s="392"/>
      <c r="D62" s="392"/>
      <c r="E62" s="392"/>
      <c r="F62" s="392"/>
      <c r="G62" s="392" t="s">
        <v>1799</v>
      </c>
      <c r="H62" s="392"/>
      <c r="I62" s="392"/>
      <c r="J62" s="392"/>
      <c r="K62" s="392"/>
      <c r="L62" s="392"/>
      <c r="N62" s="392"/>
      <c r="O62" s="392"/>
      <c r="P62" s="525"/>
      <c r="Q62" s="58"/>
      <c r="R62" s="58"/>
      <c r="S62" s="58"/>
    </row>
    <row r="63" spans="1:19" ht="13.5" thickBot="1" x14ac:dyDescent="0.25">
      <c r="B63" s="213"/>
      <c r="C63" s="213"/>
      <c r="D63" s="213"/>
      <c r="E63" s="213"/>
      <c r="F63" s="213"/>
      <c r="H63" s="213"/>
      <c r="I63" s="213"/>
      <c r="J63" s="213"/>
      <c r="K63" s="213"/>
      <c r="L63" s="213"/>
      <c r="N63" s="213"/>
      <c r="O63" s="213"/>
      <c r="P63" s="525"/>
      <c r="Q63" s="58"/>
      <c r="R63" s="58"/>
      <c r="S63" s="58"/>
    </row>
    <row r="64" spans="1:19" x14ac:dyDescent="0.2">
      <c r="B64" s="309"/>
      <c r="C64" s="318"/>
      <c r="D64" s="318"/>
      <c r="E64" s="318"/>
      <c r="F64" s="319"/>
      <c r="H64" s="309"/>
      <c r="I64" s="318"/>
      <c r="J64" s="318"/>
      <c r="K64" s="318"/>
      <c r="L64" s="319"/>
      <c r="N64" s="213"/>
      <c r="O64" s="213"/>
      <c r="P64" s="525"/>
      <c r="Q64" s="58"/>
      <c r="R64" s="58"/>
      <c r="S64" s="58"/>
    </row>
    <row r="65" spans="2:19" ht="13.5" thickBot="1" x14ac:dyDescent="0.25">
      <c r="B65" s="310"/>
      <c r="C65" s="311"/>
      <c r="D65" s="311"/>
      <c r="E65" s="311"/>
      <c r="F65" s="312"/>
      <c r="H65" s="310"/>
      <c r="I65" s="311"/>
      <c r="J65" s="311"/>
      <c r="K65" s="311"/>
      <c r="L65" s="312"/>
      <c r="N65" s="213"/>
      <c r="O65" s="213"/>
      <c r="P65" s="525"/>
      <c r="Q65" s="58"/>
      <c r="R65" s="58"/>
      <c r="S65" s="58"/>
    </row>
    <row r="66" spans="2:19" ht="13.5" thickTop="1" x14ac:dyDescent="0.2">
      <c r="B66" s="305"/>
      <c r="C66" s="306"/>
      <c r="D66" s="306"/>
      <c r="E66" s="306"/>
      <c r="F66" s="313"/>
      <c r="H66" s="305"/>
      <c r="I66" s="306"/>
      <c r="J66" s="306"/>
      <c r="K66" s="306"/>
      <c r="L66" s="313"/>
      <c r="N66" s="213"/>
      <c r="O66" s="213"/>
      <c r="P66" s="525"/>
      <c r="Q66" s="58"/>
      <c r="R66" s="58"/>
      <c r="S66" s="58"/>
    </row>
    <row r="67" spans="2:19" x14ac:dyDescent="0.2">
      <c r="B67" s="304"/>
      <c r="C67" s="58"/>
      <c r="D67" s="58"/>
      <c r="E67" s="58"/>
      <c r="F67" s="314"/>
      <c r="H67" s="304"/>
      <c r="I67" s="58"/>
      <c r="J67" s="58"/>
      <c r="K67" s="58"/>
      <c r="L67" s="314"/>
      <c r="N67" s="392"/>
      <c r="O67" s="213"/>
      <c r="P67" s="525"/>
      <c r="Q67" s="58"/>
      <c r="R67" s="58"/>
      <c r="S67" s="58"/>
    </row>
    <row r="68" spans="2:19" x14ac:dyDescent="0.2">
      <c r="B68" s="304"/>
      <c r="C68" s="58"/>
      <c r="D68" s="58"/>
      <c r="E68" s="58"/>
      <c r="F68" s="314"/>
      <c r="H68" s="304"/>
      <c r="I68" s="58"/>
      <c r="J68" s="58"/>
      <c r="K68" s="58"/>
      <c r="L68" s="314"/>
      <c r="N68" s="392"/>
      <c r="O68" s="213"/>
      <c r="P68" s="525"/>
      <c r="Q68" s="58"/>
      <c r="R68" s="58"/>
      <c r="S68" s="58"/>
    </row>
    <row r="69" spans="2:19" x14ac:dyDescent="0.2">
      <c r="B69" s="304"/>
      <c r="C69" s="58"/>
      <c r="D69" s="58"/>
      <c r="E69" s="58"/>
      <c r="F69" s="314"/>
      <c r="H69" s="304"/>
      <c r="I69" s="58"/>
      <c r="J69" s="58"/>
      <c r="K69" s="58"/>
      <c r="L69" s="314"/>
      <c r="N69" s="392"/>
      <c r="O69" s="213"/>
      <c r="P69" s="525"/>
      <c r="Q69" s="58"/>
      <c r="R69" s="58"/>
      <c r="S69" s="58"/>
    </row>
    <row r="70" spans="2:19" x14ac:dyDescent="0.2">
      <c r="B70" s="304"/>
      <c r="C70" s="58"/>
      <c r="D70" s="58"/>
      <c r="E70" s="58"/>
      <c r="F70" s="314"/>
      <c r="H70" s="304"/>
      <c r="I70" s="58"/>
      <c r="J70" s="58"/>
      <c r="K70" s="58"/>
      <c r="L70" s="314"/>
      <c r="N70" s="392"/>
      <c r="O70" s="213"/>
      <c r="P70" s="525"/>
      <c r="Q70" s="58"/>
      <c r="R70" s="58"/>
      <c r="S70" s="58"/>
    </row>
    <row r="71" spans="2:19" x14ac:dyDescent="0.2">
      <c r="B71" s="304"/>
      <c r="C71" s="58"/>
      <c r="D71" s="58"/>
      <c r="E71" s="58"/>
      <c r="F71" s="314"/>
      <c r="H71" s="304"/>
      <c r="I71" s="58"/>
      <c r="J71" s="58"/>
      <c r="K71" s="58"/>
      <c r="L71" s="314"/>
      <c r="N71" s="392"/>
      <c r="O71" s="213"/>
      <c r="P71" s="525"/>
      <c r="Q71" s="58"/>
      <c r="R71" s="58"/>
      <c r="S71" s="58"/>
    </row>
    <row r="72" spans="2:19" x14ac:dyDescent="0.2">
      <c r="B72" s="304"/>
      <c r="C72" s="58"/>
      <c r="D72" s="58"/>
      <c r="E72" s="58"/>
      <c r="F72" s="314"/>
      <c r="H72" s="304"/>
      <c r="I72" s="58"/>
      <c r="J72" s="58"/>
      <c r="K72" s="58"/>
      <c r="L72" s="314"/>
      <c r="N72" s="392"/>
      <c r="O72" s="213"/>
      <c r="P72" s="525"/>
      <c r="Q72" s="58"/>
      <c r="R72" s="58"/>
      <c r="S72" s="58"/>
    </row>
    <row r="73" spans="2:19" x14ac:dyDescent="0.2">
      <c r="B73" s="304"/>
      <c r="C73" s="58"/>
      <c r="D73" s="58"/>
      <c r="E73" s="58"/>
      <c r="F73" s="314"/>
      <c r="H73" s="304"/>
      <c r="I73" s="58"/>
      <c r="J73" s="58"/>
      <c r="K73" s="58"/>
      <c r="L73" s="314"/>
      <c r="N73" s="392"/>
      <c r="O73" s="213"/>
      <c r="P73" s="525"/>
      <c r="Q73" s="58"/>
      <c r="R73" s="58"/>
      <c r="S73" s="58"/>
    </row>
    <row r="74" spans="2:19" x14ac:dyDescent="0.2">
      <c r="B74" s="304"/>
      <c r="C74" s="58"/>
      <c r="D74" s="58"/>
      <c r="E74" s="58"/>
      <c r="F74" s="314"/>
      <c r="H74" s="304"/>
      <c r="I74" s="58"/>
      <c r="J74" s="58"/>
      <c r="K74" s="58"/>
      <c r="L74" s="314"/>
      <c r="N74" s="392"/>
      <c r="O74" s="213"/>
      <c r="P74" s="525"/>
      <c r="Q74" s="58"/>
      <c r="R74" s="58"/>
      <c r="S74" s="58"/>
    </row>
    <row r="75" spans="2:19" x14ac:dyDescent="0.2">
      <c r="B75" s="61"/>
      <c r="C75" s="58"/>
      <c r="D75" s="635"/>
      <c r="E75" s="58"/>
      <c r="F75" s="314"/>
      <c r="H75" s="61"/>
      <c r="I75" s="58"/>
      <c r="J75" s="635"/>
      <c r="K75" s="58"/>
      <c r="L75" s="314"/>
      <c r="N75" s="213"/>
      <c r="O75" s="213"/>
      <c r="P75" s="525"/>
      <c r="Q75" s="58"/>
      <c r="R75" s="58"/>
      <c r="S75" s="58"/>
    </row>
    <row r="76" spans="2:19" x14ac:dyDescent="0.2">
      <c r="B76" s="61"/>
      <c r="C76" s="58"/>
      <c r="D76" s="635"/>
      <c r="E76" s="58"/>
      <c r="F76" s="314"/>
      <c r="H76" s="61"/>
      <c r="I76" s="58"/>
      <c r="J76" s="635"/>
      <c r="K76" s="58"/>
      <c r="L76" s="314"/>
      <c r="N76" s="213"/>
      <c r="O76" s="213"/>
      <c r="P76" s="525"/>
      <c r="Q76" s="58"/>
      <c r="R76" s="58"/>
      <c r="S76" s="58"/>
    </row>
    <row r="77" spans="2:19" x14ac:dyDescent="0.2">
      <c r="B77" s="61"/>
      <c r="C77" s="58"/>
      <c r="D77" s="58"/>
      <c r="E77" s="635"/>
      <c r="F77" s="314"/>
      <c r="G77" s="524"/>
      <c r="H77" s="61"/>
      <c r="I77" s="58"/>
      <c r="J77" s="58"/>
      <c r="K77" s="635"/>
      <c r="L77" s="314"/>
      <c r="N77" s="213"/>
      <c r="O77" s="213"/>
      <c r="P77" s="525"/>
      <c r="Q77" s="58"/>
      <c r="R77" s="58"/>
      <c r="S77" s="58"/>
    </row>
    <row r="78" spans="2:19" x14ac:dyDescent="0.2">
      <c r="B78" s="61"/>
      <c r="C78" s="58"/>
      <c r="D78" s="58"/>
      <c r="E78" s="635"/>
      <c r="F78" s="314"/>
      <c r="H78" s="61"/>
      <c r="I78" s="58"/>
      <c r="J78" s="58"/>
      <c r="K78" s="635"/>
      <c r="L78" s="314"/>
      <c r="N78" s="213"/>
      <c r="O78" s="213"/>
      <c r="P78" s="525"/>
      <c r="Q78" s="58"/>
      <c r="R78" s="58"/>
      <c r="S78" s="58"/>
    </row>
    <row r="79" spans="2:19" x14ac:dyDescent="0.2">
      <c r="B79" s="61"/>
      <c r="C79" s="58"/>
      <c r="D79" s="58"/>
      <c r="E79" s="58"/>
      <c r="F79" s="182"/>
      <c r="H79" s="61"/>
      <c r="I79" s="58"/>
      <c r="J79" s="58"/>
      <c r="K79" s="58"/>
      <c r="L79" s="182"/>
      <c r="N79" s="213"/>
      <c r="O79" s="213"/>
      <c r="P79" s="525"/>
      <c r="Q79" s="58"/>
      <c r="R79" s="58"/>
      <c r="S79" s="58"/>
    </row>
    <row r="80" spans="2:19" ht="13.5" thickBot="1" x14ac:dyDescent="0.25">
      <c r="B80" s="315"/>
      <c r="C80" s="317"/>
      <c r="D80" s="317"/>
      <c r="E80" s="317"/>
      <c r="F80" s="189"/>
      <c r="H80" s="315"/>
      <c r="I80" s="317"/>
      <c r="J80" s="317"/>
      <c r="K80" s="317"/>
      <c r="L80" s="189"/>
      <c r="N80" s="213"/>
      <c r="O80" s="213"/>
      <c r="P80" s="525"/>
      <c r="Q80" s="58"/>
      <c r="R80" s="58"/>
      <c r="S80" s="58"/>
    </row>
    <row r="81" spans="1:19" x14ac:dyDescent="0.2">
      <c r="B81" s="213"/>
      <c r="C81" s="213"/>
      <c r="D81" s="213"/>
      <c r="E81" s="213"/>
      <c r="F81" s="213"/>
      <c r="H81" s="213"/>
      <c r="I81" s="213"/>
      <c r="J81" s="213"/>
      <c r="K81" s="213"/>
      <c r="L81" s="213"/>
      <c r="N81" s="213"/>
      <c r="O81" s="213"/>
      <c r="P81" s="525"/>
      <c r="Q81" s="58"/>
      <c r="R81" s="58"/>
      <c r="S81" s="58"/>
    </row>
    <row r="82" spans="1:19" x14ac:dyDescent="0.2">
      <c r="A82" s="392" t="s">
        <v>1800</v>
      </c>
      <c r="B82" s="392"/>
      <c r="C82" s="392"/>
      <c r="D82" s="392"/>
      <c r="E82" s="392"/>
      <c r="F82" s="392"/>
      <c r="G82" s="392" t="s">
        <v>1745</v>
      </c>
      <c r="H82" s="392"/>
      <c r="I82" s="392"/>
      <c r="J82" s="392"/>
      <c r="K82" s="392"/>
      <c r="L82" s="392"/>
      <c r="N82" s="392"/>
      <c r="O82" s="392"/>
      <c r="P82" s="525"/>
      <c r="Q82" s="58"/>
      <c r="R82" s="58"/>
      <c r="S82" s="58"/>
    </row>
    <row r="83" spans="1:19" ht="13.5" thickBot="1" x14ac:dyDescent="0.25">
      <c r="B83" s="213"/>
      <c r="C83" s="213"/>
      <c r="D83" s="213"/>
      <c r="E83" s="213"/>
      <c r="F83" s="213"/>
      <c r="H83" s="213"/>
      <c r="I83" s="213"/>
      <c r="J83" s="213"/>
      <c r="K83" s="392"/>
      <c r="L83" s="213"/>
      <c r="N83" s="213"/>
      <c r="O83" s="213"/>
      <c r="P83" s="525"/>
      <c r="Q83" s="58"/>
      <c r="R83" s="58"/>
      <c r="S83" s="58"/>
    </row>
    <row r="84" spans="1:19" x14ac:dyDescent="0.2">
      <c r="B84" s="309"/>
      <c r="C84" s="318"/>
      <c r="D84" s="318"/>
      <c r="E84" s="318"/>
      <c r="F84" s="319"/>
      <c r="H84" s="309"/>
      <c r="I84" s="318"/>
      <c r="J84" s="318"/>
      <c r="K84" s="318"/>
      <c r="L84" s="319"/>
      <c r="N84" s="213"/>
      <c r="O84" s="213"/>
      <c r="P84" s="525"/>
      <c r="Q84" s="58"/>
      <c r="R84" s="58"/>
      <c r="S84" s="58"/>
    </row>
    <row r="85" spans="1:19" ht="13.5" thickBot="1" x14ac:dyDescent="0.25">
      <c r="B85" s="310"/>
      <c r="C85" s="311"/>
      <c r="D85" s="311"/>
      <c r="E85" s="311"/>
      <c r="F85" s="312"/>
      <c r="H85" s="310"/>
      <c r="I85" s="311"/>
      <c r="J85" s="311"/>
      <c r="K85" s="311"/>
      <c r="L85" s="312"/>
      <c r="N85" s="213"/>
      <c r="O85" s="213"/>
      <c r="P85" s="525"/>
      <c r="Q85" s="58"/>
      <c r="R85" s="58"/>
      <c r="S85" s="58"/>
    </row>
    <row r="86" spans="1:19" ht="13.5" thickTop="1" x14ac:dyDescent="0.2">
      <c r="B86" s="305"/>
      <c r="C86" s="306"/>
      <c r="D86" s="306"/>
      <c r="E86" s="306"/>
      <c r="F86" s="313"/>
      <c r="H86" s="305"/>
      <c r="I86" s="306"/>
      <c r="J86" s="306"/>
      <c r="K86" s="306"/>
      <c r="L86" s="313"/>
      <c r="N86" s="213"/>
      <c r="O86" s="213"/>
      <c r="P86" s="525"/>
      <c r="Q86" s="58"/>
      <c r="R86" s="58"/>
      <c r="S86" s="58"/>
    </row>
    <row r="87" spans="1:19" x14ac:dyDescent="0.2">
      <c r="B87" s="304"/>
      <c r="C87" s="58"/>
      <c r="D87" s="58"/>
      <c r="E87" s="58"/>
      <c r="F87" s="314"/>
      <c r="H87" s="304"/>
      <c r="I87" s="58"/>
      <c r="J87" s="58"/>
      <c r="K87" s="58"/>
      <c r="L87" s="314"/>
      <c r="N87" s="213"/>
      <c r="O87" s="213"/>
      <c r="P87" s="525"/>
      <c r="Q87" s="58"/>
      <c r="R87" s="58"/>
      <c r="S87" s="58"/>
    </row>
    <row r="88" spans="1:19" x14ac:dyDescent="0.2">
      <c r="B88" s="304"/>
      <c r="C88" s="58"/>
      <c r="D88" s="58"/>
      <c r="E88" s="58"/>
      <c r="F88" s="314"/>
      <c r="H88" s="304"/>
      <c r="I88" s="58"/>
      <c r="J88" s="58"/>
      <c r="K88" s="58"/>
      <c r="L88" s="314"/>
      <c r="N88" s="213"/>
      <c r="O88" s="213"/>
      <c r="P88" s="525"/>
      <c r="Q88" s="58"/>
      <c r="R88" s="58"/>
      <c r="S88" s="58"/>
    </row>
    <row r="89" spans="1:19" x14ac:dyDescent="0.2">
      <c r="B89" s="304"/>
      <c r="C89" s="58"/>
      <c r="D89" s="58"/>
      <c r="E89" s="58"/>
      <c r="F89" s="314"/>
      <c r="H89" s="304"/>
      <c r="I89" s="58"/>
      <c r="J89" s="58"/>
      <c r="K89" s="58"/>
      <c r="L89" s="314"/>
      <c r="N89" s="213"/>
      <c r="O89" s="213"/>
      <c r="P89" s="525"/>
      <c r="Q89" s="58"/>
      <c r="R89" s="58"/>
      <c r="S89" s="58"/>
    </row>
    <row r="90" spans="1:19" x14ac:dyDescent="0.2">
      <c r="B90" s="304"/>
      <c r="C90" s="58"/>
      <c r="D90" s="58"/>
      <c r="E90" s="58"/>
      <c r="F90" s="314"/>
      <c r="H90" s="304"/>
      <c r="I90" s="58"/>
      <c r="J90" s="58"/>
      <c r="K90" s="58"/>
      <c r="L90" s="314"/>
      <c r="N90" s="213"/>
      <c r="O90" s="213"/>
      <c r="P90" s="525"/>
      <c r="Q90" s="58"/>
      <c r="R90" s="58"/>
      <c r="S90" s="58"/>
    </row>
    <row r="91" spans="1:19" x14ac:dyDescent="0.2">
      <c r="B91" s="304"/>
      <c r="C91" s="58"/>
      <c r="D91" s="58"/>
      <c r="E91" s="58"/>
      <c r="F91" s="314"/>
      <c r="H91" s="304"/>
      <c r="I91" s="58"/>
      <c r="J91" s="58"/>
      <c r="K91" s="58"/>
      <c r="L91" s="314"/>
      <c r="N91" s="213"/>
      <c r="O91" s="213"/>
      <c r="P91" s="525"/>
      <c r="Q91" s="58"/>
      <c r="R91" s="58"/>
      <c r="S91" s="58"/>
    </row>
    <row r="92" spans="1:19" x14ac:dyDescent="0.2">
      <c r="B92" s="304"/>
      <c r="C92" s="58"/>
      <c r="D92" s="58"/>
      <c r="E92" s="58"/>
      <c r="F92" s="314"/>
      <c r="H92" s="304"/>
      <c r="I92" s="58"/>
      <c r="J92" s="58"/>
      <c r="K92" s="58"/>
      <c r="L92" s="314"/>
      <c r="N92" s="213"/>
      <c r="O92" s="213"/>
      <c r="P92" s="525"/>
      <c r="Q92" s="58"/>
      <c r="R92" s="58"/>
      <c r="S92" s="58"/>
    </row>
    <row r="93" spans="1:19" x14ac:dyDescent="0.2">
      <c r="B93" s="304"/>
      <c r="C93" s="58"/>
      <c r="D93" s="58"/>
      <c r="E93" s="58"/>
      <c r="F93" s="314"/>
      <c r="H93" s="304"/>
      <c r="I93" s="58"/>
      <c r="J93" s="58"/>
      <c r="K93" s="58"/>
      <c r="L93" s="314"/>
      <c r="N93" s="213"/>
      <c r="O93" s="213"/>
      <c r="P93" s="525"/>
      <c r="Q93" s="58"/>
      <c r="R93" s="58"/>
      <c r="S93" s="58"/>
    </row>
    <row r="94" spans="1:19" x14ac:dyDescent="0.2">
      <c r="B94" s="304"/>
      <c r="C94" s="58"/>
      <c r="D94" s="58"/>
      <c r="E94" s="58"/>
      <c r="F94" s="314"/>
      <c r="H94" s="304"/>
      <c r="I94" s="58"/>
      <c r="J94" s="58"/>
      <c r="K94" s="58"/>
      <c r="L94" s="314"/>
      <c r="N94" s="213"/>
      <c r="O94" s="213"/>
      <c r="P94" s="525"/>
      <c r="Q94" s="58"/>
      <c r="R94" s="58"/>
      <c r="S94" s="58"/>
    </row>
    <row r="95" spans="1:19" x14ac:dyDescent="0.2">
      <c r="B95" s="61"/>
      <c r="C95" s="58"/>
      <c r="D95" s="635"/>
      <c r="E95" s="58"/>
      <c r="F95" s="314"/>
      <c r="H95" s="61"/>
      <c r="I95" s="58"/>
      <c r="J95" s="635"/>
      <c r="K95" s="58"/>
      <c r="L95" s="314"/>
      <c r="N95" s="213"/>
      <c r="O95" s="213"/>
      <c r="P95" s="525"/>
      <c r="Q95" s="58"/>
      <c r="R95" s="58"/>
      <c r="S95" s="58"/>
    </row>
    <row r="96" spans="1:19" x14ac:dyDescent="0.2">
      <c r="B96" s="61"/>
      <c r="C96" s="58"/>
      <c r="D96" s="635"/>
      <c r="E96" s="58"/>
      <c r="F96" s="314"/>
      <c r="H96" s="61"/>
      <c r="I96" s="58"/>
      <c r="J96" s="635"/>
      <c r="K96" s="58"/>
      <c r="L96" s="314"/>
      <c r="N96" s="213"/>
      <c r="O96" s="213"/>
      <c r="P96" s="525"/>
      <c r="Q96" s="58"/>
      <c r="R96" s="58"/>
      <c r="S96" s="58"/>
    </row>
    <row r="97" spans="1:19" x14ac:dyDescent="0.2">
      <c r="B97" s="61"/>
      <c r="C97" s="58"/>
      <c r="D97" s="58"/>
      <c r="E97" s="635"/>
      <c r="F97" s="314"/>
      <c r="G97" s="524"/>
      <c r="H97" s="61"/>
      <c r="I97" s="58"/>
      <c r="J97" s="58"/>
      <c r="K97" s="635"/>
      <c r="L97" s="314"/>
      <c r="N97" s="213"/>
      <c r="O97" s="213"/>
      <c r="P97" s="525"/>
      <c r="Q97" s="58"/>
      <c r="R97" s="58"/>
      <c r="S97" s="58"/>
    </row>
    <row r="98" spans="1:19" x14ac:dyDescent="0.2">
      <c r="B98" s="61"/>
      <c r="C98" s="58"/>
      <c r="D98" s="58"/>
      <c r="E98" s="635"/>
      <c r="F98" s="314"/>
      <c r="H98" s="61"/>
      <c r="I98" s="58"/>
      <c r="J98" s="58"/>
      <c r="K98" s="635"/>
      <c r="L98" s="314"/>
      <c r="N98" s="213"/>
      <c r="O98" s="213"/>
      <c r="P98" s="525"/>
      <c r="Q98" s="58"/>
      <c r="R98" s="58"/>
      <c r="S98" s="58"/>
    </row>
    <row r="99" spans="1:19" x14ac:dyDescent="0.2">
      <c r="B99" s="61"/>
      <c r="C99" s="58"/>
      <c r="D99" s="58"/>
      <c r="E99" s="58"/>
      <c r="F99" s="182"/>
      <c r="H99" s="61"/>
      <c r="I99" s="58"/>
      <c r="J99" s="58"/>
      <c r="K99" s="58"/>
      <c r="L99" s="182"/>
      <c r="N99" s="213"/>
      <c r="O99" s="213"/>
      <c r="P99" s="525"/>
      <c r="Q99" s="58"/>
      <c r="R99" s="58"/>
      <c r="S99" s="58"/>
    </row>
    <row r="100" spans="1:19" ht="13.5" thickBot="1" x14ac:dyDescent="0.25">
      <c r="B100" s="315"/>
      <c r="C100" s="317"/>
      <c r="D100" s="317"/>
      <c r="E100" s="317"/>
      <c r="F100" s="189"/>
      <c r="H100" s="315"/>
      <c r="I100" s="317"/>
      <c r="J100" s="317"/>
      <c r="K100" s="317"/>
      <c r="L100" s="189"/>
      <c r="N100" s="213"/>
      <c r="O100" s="213"/>
      <c r="P100" s="525"/>
      <c r="Q100" s="58"/>
      <c r="R100" s="58"/>
      <c r="S100" s="58"/>
    </row>
    <row r="101" spans="1:19" x14ac:dyDescent="0.2">
      <c r="B101" s="213"/>
      <c r="C101" s="213"/>
      <c r="D101" s="213"/>
      <c r="E101" s="213"/>
      <c r="F101" s="213"/>
      <c r="H101" s="213"/>
      <c r="I101" s="213"/>
      <c r="J101" s="213"/>
      <c r="K101" s="213"/>
      <c r="L101" s="213"/>
      <c r="N101" s="213"/>
      <c r="O101" s="213"/>
      <c r="P101" s="525"/>
      <c r="Q101" s="58"/>
      <c r="R101" s="58"/>
      <c r="S101" s="58"/>
    </row>
    <row r="102" spans="1:19" x14ac:dyDescent="0.2">
      <c r="A102" s="392"/>
      <c r="B102" s="213"/>
      <c r="C102" s="213"/>
      <c r="D102" s="213"/>
      <c r="E102" s="213"/>
      <c r="F102" s="213"/>
      <c r="G102" s="392"/>
      <c r="H102" s="213"/>
      <c r="I102" s="213"/>
      <c r="J102" s="213"/>
      <c r="K102" s="213"/>
      <c r="L102" s="213"/>
      <c r="N102" s="392"/>
      <c r="O102" s="392"/>
      <c r="P102" s="525"/>
      <c r="Q102" s="58"/>
      <c r="R102" s="58"/>
      <c r="S102" s="58"/>
    </row>
    <row r="103" spans="1:19" x14ac:dyDescent="0.2">
      <c r="B103" s="213"/>
      <c r="C103" s="213"/>
      <c r="D103" s="213"/>
      <c r="E103" s="213"/>
      <c r="F103" s="213"/>
      <c r="H103" s="213"/>
      <c r="I103" s="213"/>
      <c r="J103" s="213"/>
      <c r="K103" s="213"/>
      <c r="L103" s="213"/>
      <c r="N103" s="213"/>
      <c r="O103" s="213"/>
      <c r="P103" s="525"/>
      <c r="Q103" s="58"/>
      <c r="R103" s="58"/>
      <c r="S103" s="58"/>
    </row>
    <row r="104" spans="1:19" x14ac:dyDescent="0.2">
      <c r="B104" s="213"/>
      <c r="C104" s="213"/>
      <c r="D104" s="213"/>
      <c r="E104" s="213"/>
      <c r="F104" s="213"/>
      <c r="H104" s="213"/>
      <c r="I104" s="213"/>
      <c r="J104" s="213"/>
      <c r="K104" s="213"/>
      <c r="L104" s="213"/>
      <c r="N104" s="213"/>
      <c r="O104" s="213"/>
      <c r="P104" s="525"/>
      <c r="Q104" s="58"/>
      <c r="R104" s="58"/>
      <c r="S104" s="58"/>
    </row>
    <row r="105" spans="1:19" x14ac:dyDescent="0.2">
      <c r="B105" s="213"/>
      <c r="C105" s="213"/>
      <c r="D105" s="213"/>
      <c r="E105" s="213"/>
      <c r="F105" s="213"/>
      <c r="H105" s="213"/>
      <c r="I105" s="213"/>
      <c r="J105" s="213"/>
      <c r="K105" s="213"/>
      <c r="L105" s="213"/>
      <c r="N105" s="213"/>
      <c r="O105" s="213"/>
      <c r="P105" s="525"/>
      <c r="Q105" s="58"/>
      <c r="R105" s="58"/>
      <c r="S105" s="58"/>
    </row>
    <row r="106" spans="1:19" x14ac:dyDescent="0.2">
      <c r="B106" s="213"/>
      <c r="C106" s="213"/>
      <c r="D106" s="213"/>
      <c r="E106" s="213"/>
      <c r="F106" s="213"/>
      <c r="H106" s="213"/>
      <c r="I106" s="213"/>
      <c r="J106" s="213"/>
      <c r="K106" s="213"/>
      <c r="L106" s="213"/>
      <c r="N106" s="213"/>
      <c r="O106" s="213"/>
      <c r="P106" s="525"/>
      <c r="Q106" s="58"/>
      <c r="R106" s="58"/>
      <c r="S106" s="58"/>
    </row>
    <row r="107" spans="1:19" x14ac:dyDescent="0.2">
      <c r="B107" s="213"/>
      <c r="C107" s="213"/>
      <c r="D107" s="213"/>
      <c r="E107" s="213"/>
      <c r="F107" s="213"/>
      <c r="H107" s="213"/>
      <c r="I107" s="213"/>
      <c r="J107" s="213"/>
      <c r="K107" s="213"/>
      <c r="L107" s="213"/>
      <c r="N107" s="213"/>
      <c r="O107" s="213"/>
      <c r="P107" s="525"/>
      <c r="Q107" s="58"/>
      <c r="R107" s="58"/>
      <c r="S107" s="58"/>
    </row>
    <row r="108" spans="1:19" x14ac:dyDescent="0.2">
      <c r="B108" s="213"/>
      <c r="C108" s="213"/>
      <c r="D108" s="213"/>
      <c r="E108" s="213"/>
      <c r="F108" s="213"/>
      <c r="H108" s="213"/>
      <c r="I108" s="213"/>
      <c r="J108" s="213"/>
      <c r="K108" s="213"/>
      <c r="L108" s="213"/>
      <c r="N108" s="213"/>
      <c r="O108" s="213"/>
      <c r="P108" s="525"/>
      <c r="Q108" s="58"/>
      <c r="R108" s="58"/>
      <c r="S108" s="58"/>
    </row>
    <row r="109" spans="1:19" x14ac:dyDescent="0.2">
      <c r="B109" s="213"/>
      <c r="C109" s="213"/>
      <c r="D109" s="213"/>
      <c r="E109" s="213"/>
      <c r="F109" s="213"/>
      <c r="H109" s="213"/>
      <c r="I109" s="213"/>
      <c r="J109" s="213"/>
      <c r="K109" s="213"/>
      <c r="L109" s="213"/>
      <c r="N109" s="213"/>
      <c r="O109" s="213"/>
      <c r="P109" s="525"/>
      <c r="Q109" s="58"/>
      <c r="R109" s="58"/>
      <c r="S109" s="58"/>
    </row>
    <row r="110" spans="1:19" x14ac:dyDescent="0.2">
      <c r="B110" s="213"/>
      <c r="C110" s="213"/>
      <c r="D110" s="213"/>
      <c r="E110" s="213"/>
      <c r="F110" s="213"/>
      <c r="H110" s="213"/>
      <c r="I110" s="213"/>
      <c r="J110" s="213"/>
      <c r="K110" s="213"/>
      <c r="L110" s="213"/>
      <c r="N110" s="213"/>
      <c r="O110" s="213"/>
      <c r="P110" s="525"/>
      <c r="Q110" s="58"/>
      <c r="R110" s="58"/>
      <c r="S110" s="58"/>
    </row>
    <row r="111" spans="1:19" x14ac:dyDescent="0.2">
      <c r="B111" s="213"/>
      <c r="C111" s="213"/>
      <c r="D111" s="213"/>
      <c r="E111" s="213"/>
      <c r="F111" s="213"/>
      <c r="H111" s="213"/>
      <c r="I111" s="213"/>
      <c r="J111" s="213"/>
      <c r="K111" s="213"/>
      <c r="L111" s="213"/>
      <c r="N111" s="213"/>
      <c r="O111" s="213"/>
      <c r="P111" s="525"/>
      <c r="Q111" s="58"/>
      <c r="R111" s="58"/>
      <c r="S111" s="58"/>
    </row>
    <row r="112" spans="1:19" x14ac:dyDescent="0.2">
      <c r="B112" s="213"/>
      <c r="C112" s="213"/>
      <c r="D112" s="213"/>
      <c r="E112" s="213"/>
      <c r="F112" s="213"/>
      <c r="H112" s="213"/>
      <c r="I112" s="213"/>
      <c r="J112" s="213"/>
      <c r="K112" s="213"/>
      <c r="L112" s="213"/>
      <c r="N112" s="213"/>
      <c r="O112" s="213"/>
      <c r="P112" s="525"/>
      <c r="Q112" s="58"/>
      <c r="R112" s="58"/>
      <c r="S112" s="58"/>
    </row>
    <row r="113" spans="1:19" x14ac:dyDescent="0.2">
      <c r="B113" s="213"/>
      <c r="C113" s="213"/>
      <c r="D113" s="213"/>
      <c r="E113" s="213"/>
      <c r="F113" s="213"/>
      <c r="H113" s="213"/>
      <c r="I113" s="213"/>
      <c r="J113" s="213"/>
      <c r="K113" s="213"/>
      <c r="L113" s="213"/>
      <c r="N113" s="213"/>
      <c r="O113" s="213"/>
      <c r="P113" s="525"/>
      <c r="Q113" s="58"/>
      <c r="R113" s="58"/>
      <c r="S113" s="58"/>
    </row>
    <row r="114" spans="1:19" x14ac:dyDescent="0.2">
      <c r="B114" s="213"/>
      <c r="C114" s="213"/>
      <c r="D114" s="213"/>
      <c r="E114" s="213"/>
      <c r="F114" s="213"/>
      <c r="H114" s="213"/>
      <c r="I114" s="213"/>
      <c r="J114" s="213"/>
      <c r="K114" s="213"/>
      <c r="L114" s="213"/>
      <c r="N114" s="213"/>
      <c r="O114" s="213"/>
      <c r="P114" s="525"/>
      <c r="Q114" s="58"/>
      <c r="R114" s="58"/>
      <c r="S114" s="58"/>
    </row>
    <row r="115" spans="1:19" x14ac:dyDescent="0.2">
      <c r="B115" s="213"/>
      <c r="C115" s="213"/>
      <c r="D115" s="213"/>
      <c r="E115" s="213"/>
      <c r="F115" s="213"/>
      <c r="H115" s="213"/>
      <c r="I115" s="213"/>
      <c r="J115" s="213"/>
      <c r="K115" s="213"/>
      <c r="L115" s="213"/>
      <c r="N115" s="213"/>
      <c r="O115" s="213"/>
      <c r="P115" s="525"/>
      <c r="Q115" s="58"/>
      <c r="R115" s="58"/>
      <c r="S115" s="58"/>
    </row>
    <row r="116" spans="1:19" x14ac:dyDescent="0.2">
      <c r="B116" s="213"/>
      <c r="C116" s="213"/>
      <c r="D116" s="213"/>
      <c r="E116" s="213"/>
      <c r="F116" s="213"/>
      <c r="H116" s="213"/>
      <c r="I116" s="213"/>
      <c r="J116" s="213"/>
      <c r="K116" s="213"/>
      <c r="L116" s="213"/>
      <c r="N116" s="213"/>
      <c r="O116" s="213"/>
      <c r="P116" s="525"/>
      <c r="Q116" s="58"/>
      <c r="R116" s="58"/>
      <c r="S116" s="58"/>
    </row>
    <row r="117" spans="1:19" x14ac:dyDescent="0.2">
      <c r="B117" s="213"/>
      <c r="C117" s="213"/>
      <c r="D117" s="213"/>
      <c r="E117" s="213"/>
      <c r="F117" s="213"/>
      <c r="G117" s="524"/>
      <c r="H117" s="213"/>
      <c r="I117" s="213"/>
      <c r="J117" s="213"/>
      <c r="K117" s="213"/>
      <c r="L117" s="213"/>
      <c r="N117" s="213"/>
      <c r="O117" s="213"/>
      <c r="P117" s="525"/>
      <c r="Q117" s="58"/>
      <c r="R117" s="58"/>
      <c r="S117" s="58"/>
    </row>
    <row r="118" spans="1:19" x14ac:dyDescent="0.2">
      <c r="B118" s="213"/>
      <c r="C118" s="213"/>
      <c r="D118" s="213"/>
      <c r="E118" s="213"/>
      <c r="F118" s="213"/>
      <c r="H118" s="213"/>
      <c r="I118" s="213"/>
      <c r="J118" s="213"/>
      <c r="K118" s="213"/>
      <c r="L118" s="213"/>
      <c r="N118" s="213"/>
      <c r="O118" s="213"/>
      <c r="P118" s="525"/>
      <c r="Q118" s="58"/>
      <c r="R118" s="58"/>
      <c r="S118" s="58"/>
    </row>
    <row r="119" spans="1:19" x14ac:dyDescent="0.2">
      <c r="B119" s="213"/>
      <c r="C119" s="213"/>
      <c r="D119" s="213"/>
      <c r="E119" s="213"/>
      <c r="F119" s="213"/>
      <c r="H119" s="213"/>
      <c r="I119" s="213"/>
      <c r="J119" s="213"/>
      <c r="K119" s="213"/>
      <c r="L119" s="213"/>
      <c r="N119" s="213"/>
      <c r="O119" s="213"/>
      <c r="P119" s="525"/>
      <c r="Q119" s="58"/>
      <c r="R119" s="58"/>
      <c r="S119" s="58"/>
    </row>
    <row r="120" spans="1:19" x14ac:dyDescent="0.2">
      <c r="B120" s="213"/>
      <c r="C120" s="213"/>
      <c r="D120" s="213"/>
      <c r="E120" s="213"/>
      <c r="F120" s="213"/>
      <c r="H120" s="213"/>
      <c r="I120" s="213"/>
      <c r="J120" s="213"/>
      <c r="K120" s="213"/>
      <c r="L120" s="213"/>
      <c r="N120" s="213"/>
      <c r="O120" s="213"/>
      <c r="P120" s="525"/>
      <c r="Q120" s="58"/>
      <c r="R120" s="58"/>
      <c r="S120" s="58"/>
    </row>
    <row r="121" spans="1:19" x14ac:dyDescent="0.2">
      <c r="B121" s="213"/>
      <c r="C121" s="213"/>
      <c r="D121" s="213"/>
      <c r="E121" s="213"/>
      <c r="F121" s="213"/>
      <c r="H121" s="213"/>
      <c r="I121" s="213"/>
      <c r="J121" s="213"/>
      <c r="K121" s="213"/>
      <c r="L121" s="213"/>
      <c r="N121" s="525"/>
      <c r="O121" s="525"/>
      <c r="P121" s="525"/>
      <c r="Q121" s="58"/>
      <c r="R121" s="58"/>
      <c r="S121" s="58"/>
    </row>
    <row r="122" spans="1:19" x14ac:dyDescent="0.2">
      <c r="A122" s="392"/>
      <c r="B122" s="213"/>
      <c r="C122" s="213"/>
      <c r="D122" s="213"/>
      <c r="E122" s="213"/>
      <c r="F122" s="213"/>
      <c r="G122" s="392"/>
      <c r="H122" s="213"/>
      <c r="I122" s="213"/>
      <c r="J122" s="213"/>
      <c r="K122" s="213"/>
      <c r="L122" s="213"/>
      <c r="N122" s="525"/>
      <c r="O122" s="525"/>
      <c r="P122" s="525"/>
      <c r="Q122" s="58"/>
      <c r="R122" s="58"/>
      <c r="S122" s="58"/>
    </row>
    <row r="123" spans="1:19" x14ac:dyDescent="0.2">
      <c r="B123" s="213"/>
      <c r="C123" s="213"/>
      <c r="D123" s="213"/>
      <c r="E123" s="213"/>
      <c r="F123" s="213"/>
      <c r="H123" s="213"/>
      <c r="I123" s="213"/>
      <c r="J123" s="213"/>
      <c r="K123" s="213"/>
      <c r="L123" s="213"/>
      <c r="N123" s="525"/>
      <c r="O123" s="525"/>
      <c r="P123" s="525"/>
      <c r="Q123" s="58"/>
      <c r="R123" s="58"/>
      <c r="S123" s="58"/>
    </row>
    <row r="124" spans="1:19" x14ac:dyDescent="0.2">
      <c r="B124" s="213"/>
      <c r="C124" s="213"/>
      <c r="D124" s="213"/>
      <c r="E124" s="213"/>
      <c r="F124" s="213"/>
      <c r="H124" s="213"/>
      <c r="I124" s="213"/>
      <c r="J124" s="213"/>
      <c r="K124" s="213"/>
      <c r="L124" s="213"/>
      <c r="N124" s="525"/>
      <c r="O124" s="525"/>
      <c r="P124" s="525"/>
      <c r="Q124" s="58"/>
      <c r="R124" s="58"/>
      <c r="S124" s="58"/>
    </row>
    <row r="125" spans="1:19" x14ac:dyDescent="0.2">
      <c r="B125" s="213"/>
      <c r="C125" s="213"/>
      <c r="D125" s="213"/>
      <c r="E125" s="213"/>
      <c r="F125" s="213"/>
      <c r="H125" s="213"/>
      <c r="I125" s="213"/>
      <c r="J125" s="213"/>
      <c r="K125" s="213"/>
      <c r="L125" s="213"/>
      <c r="N125" s="525"/>
      <c r="O125" s="525"/>
      <c r="P125" s="525"/>
      <c r="Q125" s="58"/>
      <c r="R125" s="58"/>
      <c r="S125" s="58"/>
    </row>
    <row r="126" spans="1:19" x14ac:dyDescent="0.2">
      <c r="B126" s="213"/>
      <c r="C126" s="213"/>
      <c r="D126" s="213"/>
      <c r="E126" s="213"/>
      <c r="F126" s="213"/>
      <c r="H126" s="213"/>
      <c r="I126" s="213"/>
      <c r="J126" s="213"/>
      <c r="K126" s="213"/>
      <c r="L126" s="213"/>
      <c r="N126" s="525"/>
      <c r="O126" s="525"/>
      <c r="P126" s="525"/>
      <c r="Q126" s="58"/>
      <c r="R126" s="58"/>
      <c r="S126" s="58"/>
    </row>
    <row r="127" spans="1:19" x14ac:dyDescent="0.2">
      <c r="B127" s="213"/>
      <c r="C127" s="213"/>
      <c r="D127" s="213"/>
      <c r="E127" s="213"/>
      <c r="F127" s="213"/>
      <c r="H127" s="213"/>
      <c r="I127" s="213"/>
      <c r="J127" s="213"/>
      <c r="K127" s="213"/>
      <c r="L127" s="213"/>
      <c r="N127" s="525"/>
      <c r="O127" s="525"/>
      <c r="P127" s="525"/>
      <c r="Q127" s="58"/>
      <c r="R127" s="58"/>
      <c r="S127" s="58"/>
    </row>
    <row r="128" spans="1:19" x14ac:dyDescent="0.2">
      <c r="B128" s="213"/>
      <c r="C128" s="213"/>
      <c r="D128" s="213"/>
      <c r="E128" s="213"/>
      <c r="F128" s="213"/>
      <c r="H128" s="213"/>
      <c r="I128" s="213"/>
      <c r="J128" s="213"/>
      <c r="K128" s="213"/>
      <c r="L128" s="213"/>
      <c r="N128" s="525"/>
      <c r="O128" s="525"/>
      <c r="P128" s="525"/>
      <c r="Q128" s="58"/>
      <c r="R128" s="58"/>
      <c r="S128" s="58"/>
    </row>
    <row r="129" spans="2:19" x14ac:dyDescent="0.2">
      <c r="B129" s="213"/>
      <c r="C129" s="213"/>
      <c r="D129" s="213"/>
      <c r="E129" s="213"/>
      <c r="F129" s="213"/>
      <c r="H129" s="213"/>
      <c r="I129" s="213"/>
      <c r="J129" s="213"/>
      <c r="K129" s="213"/>
      <c r="L129" s="213"/>
      <c r="N129" s="525"/>
      <c r="O129" s="525"/>
      <c r="P129" s="525"/>
      <c r="Q129" s="58"/>
      <c r="R129" s="58"/>
      <c r="S129" s="58"/>
    </row>
    <row r="130" spans="2:19" x14ac:dyDescent="0.2">
      <c r="B130" s="213"/>
      <c r="C130" s="213"/>
      <c r="D130" s="213"/>
      <c r="E130" s="213"/>
      <c r="F130" s="213"/>
      <c r="H130" s="213"/>
      <c r="I130" s="213"/>
      <c r="J130" s="213"/>
      <c r="K130" s="213"/>
      <c r="L130" s="213"/>
      <c r="N130" s="525"/>
      <c r="O130" s="525"/>
      <c r="P130" s="525"/>
      <c r="Q130" s="58"/>
      <c r="R130" s="58"/>
      <c r="S130" s="58"/>
    </row>
    <row r="131" spans="2:19" x14ac:dyDescent="0.2">
      <c r="B131" s="213"/>
      <c r="C131" s="213"/>
      <c r="D131" s="213"/>
      <c r="E131" s="213"/>
      <c r="F131" s="213"/>
      <c r="H131" s="213"/>
      <c r="I131" s="213"/>
      <c r="J131" s="213"/>
      <c r="K131" s="213"/>
      <c r="L131" s="213"/>
      <c r="N131" s="525"/>
      <c r="O131" s="525"/>
      <c r="P131" s="525"/>
      <c r="Q131" s="58"/>
      <c r="R131" s="58"/>
      <c r="S131" s="58"/>
    </row>
    <row r="132" spans="2:19" x14ac:dyDescent="0.2">
      <c r="B132" s="213"/>
      <c r="C132" s="213"/>
      <c r="D132" s="213"/>
      <c r="E132" s="213"/>
      <c r="F132" s="213"/>
      <c r="H132" s="213"/>
      <c r="I132" s="213"/>
      <c r="J132" s="213"/>
      <c r="K132" s="213"/>
      <c r="L132" s="213"/>
      <c r="N132" s="525"/>
      <c r="O132" s="525"/>
      <c r="P132" s="525"/>
      <c r="Q132" s="58"/>
      <c r="R132" s="58"/>
      <c r="S132" s="58"/>
    </row>
    <row r="133" spans="2:19" x14ac:dyDescent="0.2">
      <c r="B133" s="213"/>
      <c r="C133" s="213"/>
      <c r="D133" s="213"/>
      <c r="E133" s="213"/>
      <c r="F133" s="213"/>
      <c r="H133" s="213"/>
      <c r="I133" s="213"/>
      <c r="J133" s="213"/>
      <c r="K133" s="213"/>
      <c r="L133" s="213"/>
      <c r="N133" s="525"/>
      <c r="O133" s="525"/>
      <c r="P133" s="525"/>
      <c r="Q133" s="58"/>
      <c r="R133" s="58"/>
      <c r="S133" s="58"/>
    </row>
    <row r="134" spans="2:19" x14ac:dyDescent="0.2">
      <c r="B134" s="213"/>
      <c r="C134" s="213"/>
      <c r="D134" s="213"/>
      <c r="E134" s="213"/>
      <c r="F134" s="213"/>
      <c r="H134" s="213"/>
      <c r="I134" s="213"/>
      <c r="J134" s="213"/>
      <c r="K134" s="213"/>
      <c r="L134" s="213"/>
      <c r="N134" s="525"/>
      <c r="O134" s="525"/>
      <c r="P134" s="525"/>
      <c r="Q134" s="58"/>
      <c r="R134" s="58"/>
      <c r="S134" s="58"/>
    </row>
    <row r="135" spans="2:19" x14ac:dyDescent="0.2">
      <c r="B135" s="213"/>
      <c r="C135" s="213"/>
      <c r="D135" s="213"/>
      <c r="E135" s="213"/>
      <c r="F135" s="213"/>
      <c r="H135" s="213"/>
      <c r="I135" s="213"/>
      <c r="J135" s="213"/>
      <c r="K135" s="213"/>
      <c r="L135" s="213"/>
      <c r="N135" s="525"/>
      <c r="O135" s="525"/>
      <c r="P135" s="525"/>
      <c r="Q135" s="58"/>
      <c r="R135" s="58"/>
      <c r="S135" s="58"/>
    </row>
    <row r="136" spans="2:19" x14ac:dyDescent="0.2">
      <c r="B136" s="213"/>
      <c r="C136" s="213"/>
      <c r="D136" s="213"/>
      <c r="E136" s="213"/>
      <c r="F136" s="213"/>
      <c r="H136" s="213"/>
      <c r="I136" s="213"/>
      <c r="J136" s="213"/>
      <c r="K136" s="213"/>
      <c r="L136" s="213"/>
      <c r="N136" s="525"/>
      <c r="O136" s="525"/>
      <c r="P136" s="525"/>
      <c r="Q136" s="58"/>
      <c r="R136" s="58"/>
      <c r="S136" s="58"/>
    </row>
    <row r="137" spans="2:19" x14ac:dyDescent="0.2">
      <c r="B137" s="213"/>
      <c r="C137" s="213"/>
      <c r="D137" s="213"/>
      <c r="E137" s="213"/>
      <c r="F137" s="213"/>
      <c r="G137" s="524"/>
      <c r="H137" s="213"/>
      <c r="I137" s="213"/>
      <c r="J137" s="213"/>
      <c r="K137" s="213"/>
      <c r="L137" s="213"/>
      <c r="N137" s="525"/>
      <c r="O137" s="525"/>
      <c r="P137" s="525"/>
      <c r="Q137" s="58"/>
      <c r="R137" s="58"/>
      <c r="S137" s="58"/>
    </row>
    <row r="138" spans="2:19" x14ac:dyDescent="0.2">
      <c r="B138" s="213"/>
      <c r="C138" s="213"/>
      <c r="D138" s="213"/>
      <c r="E138" s="213"/>
      <c r="F138" s="213"/>
      <c r="H138" s="213"/>
      <c r="I138" s="213"/>
      <c r="J138" s="213"/>
      <c r="K138" s="213"/>
      <c r="L138" s="213"/>
      <c r="N138" s="525"/>
      <c r="O138" s="525"/>
      <c r="P138" s="525"/>
      <c r="Q138" s="58"/>
      <c r="R138" s="58"/>
      <c r="S138" s="58"/>
    </row>
    <row r="139" spans="2:19" x14ac:dyDescent="0.2">
      <c r="B139" s="213"/>
      <c r="C139" s="213"/>
      <c r="D139" s="213"/>
      <c r="E139" s="213"/>
      <c r="F139" s="213"/>
      <c r="H139" s="213"/>
      <c r="I139" s="213"/>
      <c r="J139" s="213"/>
      <c r="K139" s="213"/>
      <c r="L139" s="213"/>
      <c r="N139" s="525"/>
      <c r="O139" s="525"/>
      <c r="P139" s="525"/>
      <c r="Q139" s="58"/>
      <c r="R139" s="58"/>
      <c r="S139" s="58"/>
    </row>
    <row r="140" spans="2:19" x14ac:dyDescent="0.2">
      <c r="B140" s="213"/>
      <c r="C140" s="213"/>
      <c r="D140" s="213"/>
      <c r="E140" s="213"/>
      <c r="F140" s="213"/>
      <c r="H140" s="213"/>
      <c r="I140" s="213"/>
      <c r="J140" s="213"/>
      <c r="K140" s="213"/>
      <c r="L140" s="213"/>
      <c r="N140" s="525"/>
      <c r="O140" s="525"/>
      <c r="P140" s="525"/>
      <c r="Q140" s="58"/>
      <c r="R140" s="58"/>
      <c r="S140" s="58"/>
    </row>
    <row r="141" spans="2:19" x14ac:dyDescent="0.2">
      <c r="B141" s="213"/>
      <c r="C141" s="213"/>
      <c r="D141" s="213"/>
      <c r="E141" s="213"/>
      <c r="F141" s="213"/>
      <c r="G141" s="525"/>
      <c r="H141" s="213"/>
      <c r="I141" s="213"/>
      <c r="J141" s="213"/>
      <c r="K141" s="213"/>
      <c r="L141" s="213"/>
      <c r="N141" s="525"/>
      <c r="O141" s="525"/>
      <c r="P141" s="525"/>
      <c r="Q141" s="58"/>
      <c r="R141" s="58"/>
      <c r="S141" s="58"/>
    </row>
    <row r="142" spans="2:19" x14ac:dyDescent="0.2">
      <c r="B142" s="213"/>
      <c r="C142" s="213"/>
      <c r="D142" s="213"/>
      <c r="E142" s="213"/>
      <c r="F142" s="213"/>
      <c r="G142" s="525"/>
      <c r="H142" s="213"/>
      <c r="I142" s="213"/>
      <c r="J142" s="213"/>
      <c r="K142" s="213"/>
      <c r="L142" s="213"/>
      <c r="N142" s="525"/>
      <c r="O142" s="525"/>
      <c r="P142" s="525"/>
      <c r="Q142" s="58"/>
      <c r="R142" s="58"/>
      <c r="S142" s="58"/>
    </row>
    <row r="143" spans="2:19" x14ac:dyDescent="0.2">
      <c r="B143" s="213"/>
      <c r="C143" s="213"/>
      <c r="D143" s="213"/>
      <c r="E143" s="213"/>
      <c r="F143" s="213"/>
      <c r="G143" s="525"/>
      <c r="H143" s="213"/>
      <c r="I143" s="213"/>
      <c r="J143" s="213"/>
      <c r="K143" s="213"/>
      <c r="L143" s="213"/>
      <c r="N143" s="525"/>
      <c r="O143" s="525"/>
      <c r="P143" s="525"/>
      <c r="Q143" s="58"/>
      <c r="R143" s="58"/>
      <c r="S143" s="58"/>
    </row>
    <row r="144" spans="2:19" x14ac:dyDescent="0.2">
      <c r="B144" s="213"/>
      <c r="C144" s="213"/>
      <c r="D144" s="213"/>
      <c r="E144" s="213"/>
      <c r="F144" s="213"/>
      <c r="G144" s="525"/>
      <c r="H144" s="213"/>
      <c r="I144" s="213"/>
      <c r="J144" s="213"/>
      <c r="K144" s="213"/>
      <c r="L144" s="213"/>
      <c r="N144" s="525"/>
      <c r="O144" s="525"/>
      <c r="P144" s="525"/>
      <c r="Q144" s="58"/>
      <c r="R144" s="58"/>
      <c r="S144" s="58"/>
    </row>
    <row r="145" spans="2:19" x14ac:dyDescent="0.2">
      <c r="B145" s="213"/>
      <c r="C145" s="213"/>
      <c r="D145" s="213"/>
      <c r="E145" s="213"/>
      <c r="F145" s="213"/>
      <c r="G145" s="525"/>
      <c r="H145" s="213"/>
      <c r="I145" s="213"/>
      <c r="J145" s="213"/>
      <c r="K145" s="213"/>
      <c r="L145" s="213"/>
      <c r="N145" s="525"/>
      <c r="O145" s="525"/>
      <c r="P145" s="525"/>
      <c r="Q145" s="58"/>
      <c r="R145" s="58"/>
      <c r="S145" s="58"/>
    </row>
    <row r="146" spans="2:19" x14ac:dyDescent="0.2">
      <c r="B146" s="213"/>
      <c r="C146" s="213"/>
      <c r="D146" s="213"/>
      <c r="E146" s="213"/>
      <c r="F146" s="213"/>
      <c r="G146" s="525"/>
      <c r="H146" s="213"/>
      <c r="I146" s="213"/>
      <c r="J146" s="213"/>
      <c r="K146" s="213"/>
      <c r="L146" s="213"/>
      <c r="N146" s="525"/>
      <c r="O146" s="525"/>
      <c r="P146" s="525"/>
      <c r="Q146" s="58"/>
      <c r="R146" s="58"/>
      <c r="S146" s="58"/>
    </row>
    <row r="147" spans="2:19" x14ac:dyDescent="0.2">
      <c r="B147" s="213"/>
      <c r="C147" s="213"/>
      <c r="D147" s="213"/>
      <c r="E147" s="213"/>
      <c r="F147" s="213"/>
      <c r="G147" s="525"/>
      <c r="H147" s="213"/>
      <c r="I147" s="213"/>
      <c r="J147" s="213"/>
      <c r="K147" s="213"/>
      <c r="L147" s="213"/>
      <c r="N147" s="525"/>
      <c r="O147" s="525"/>
      <c r="P147" s="525"/>
      <c r="Q147" s="58"/>
      <c r="R147" s="58"/>
      <c r="S147" s="58"/>
    </row>
    <row r="148" spans="2:19" x14ac:dyDescent="0.2">
      <c r="B148" s="213"/>
      <c r="C148" s="213"/>
      <c r="D148" s="213"/>
      <c r="E148" s="213"/>
      <c r="F148" s="213"/>
      <c r="G148" s="525"/>
      <c r="H148" s="213"/>
      <c r="I148" s="213"/>
      <c r="J148" s="213"/>
      <c r="K148" s="213"/>
      <c r="L148" s="213"/>
      <c r="N148" s="525"/>
      <c r="O148" s="525"/>
      <c r="P148" s="525"/>
      <c r="Q148" s="58"/>
      <c r="R148" s="58"/>
      <c r="S148" s="58"/>
    </row>
    <row r="149" spans="2:19" x14ac:dyDescent="0.2">
      <c r="B149" s="213"/>
      <c r="C149" s="213"/>
      <c r="D149" s="213"/>
      <c r="E149" s="213"/>
      <c r="F149" s="213"/>
      <c r="G149" s="525"/>
      <c r="H149" s="213"/>
      <c r="I149" s="213"/>
      <c r="J149" s="213"/>
      <c r="K149" s="213"/>
      <c r="L149" s="213"/>
      <c r="N149" s="525"/>
      <c r="O149" s="525"/>
      <c r="P149" s="525"/>
      <c r="Q149" s="58"/>
      <c r="R149" s="58"/>
      <c r="S149" s="58"/>
    </row>
    <row r="150" spans="2:19" x14ac:dyDescent="0.2">
      <c r="B150" s="213"/>
      <c r="C150" s="213"/>
      <c r="D150" s="213"/>
      <c r="E150" s="213"/>
      <c r="F150" s="213"/>
      <c r="G150" s="525"/>
      <c r="H150" s="213"/>
      <c r="I150" s="213"/>
      <c r="J150" s="213"/>
      <c r="K150" s="213"/>
      <c r="L150" s="213"/>
      <c r="N150" s="525"/>
      <c r="O150" s="525"/>
      <c r="P150" s="525"/>
      <c r="Q150" s="58"/>
      <c r="R150" s="58"/>
      <c r="S150" s="58"/>
    </row>
    <row r="151" spans="2:19" x14ac:dyDescent="0.2">
      <c r="B151" s="213"/>
      <c r="C151" s="213"/>
      <c r="D151" s="213"/>
      <c r="E151" s="213"/>
      <c r="F151" s="213"/>
      <c r="G151" s="525"/>
      <c r="H151" s="213"/>
      <c r="I151" s="213"/>
      <c r="J151" s="213"/>
      <c r="K151" s="213"/>
      <c r="L151" s="213"/>
      <c r="N151" s="525"/>
      <c r="O151" s="525"/>
      <c r="P151" s="525"/>
      <c r="Q151" s="58"/>
      <c r="R151" s="58"/>
      <c r="S151" s="58"/>
    </row>
    <row r="152" spans="2:19" x14ac:dyDescent="0.2">
      <c r="B152" s="213"/>
      <c r="C152" s="213"/>
      <c r="D152" s="213"/>
      <c r="E152" s="213"/>
      <c r="F152" s="213"/>
      <c r="G152" s="525"/>
      <c r="H152" s="213"/>
      <c r="I152" s="213"/>
      <c r="J152" s="213"/>
      <c r="K152" s="213"/>
      <c r="L152" s="213"/>
      <c r="N152" s="525"/>
      <c r="O152" s="525"/>
      <c r="P152" s="525"/>
      <c r="Q152" s="58"/>
      <c r="R152" s="58"/>
      <c r="S152" s="58"/>
    </row>
    <row r="153" spans="2:19" x14ac:dyDescent="0.2">
      <c r="B153" s="213"/>
      <c r="C153" s="213"/>
      <c r="D153" s="213"/>
      <c r="E153" s="213"/>
      <c r="F153" s="213"/>
      <c r="G153" s="525"/>
      <c r="H153" s="213"/>
      <c r="I153" s="213"/>
      <c r="J153" s="213"/>
      <c r="K153" s="213"/>
      <c r="L153" s="213"/>
      <c r="N153" s="525"/>
      <c r="O153" s="525"/>
      <c r="P153" s="525"/>
      <c r="Q153" s="58"/>
      <c r="R153" s="58"/>
      <c r="S153" s="58"/>
    </row>
    <row r="154" spans="2:19" x14ac:dyDescent="0.2">
      <c r="B154" s="213"/>
      <c r="C154" s="213"/>
      <c r="D154" s="213"/>
      <c r="E154" s="213"/>
      <c r="F154" s="213"/>
      <c r="G154" s="525"/>
      <c r="H154" s="213"/>
      <c r="I154" s="213"/>
      <c r="J154" s="213"/>
      <c r="K154" s="213"/>
      <c r="L154" s="213"/>
      <c r="N154" s="525"/>
      <c r="O154" s="525"/>
      <c r="P154" s="525"/>
      <c r="Q154" s="58"/>
      <c r="R154" s="58"/>
      <c r="S154" s="58"/>
    </row>
    <row r="155" spans="2:19" x14ac:dyDescent="0.2">
      <c r="B155" s="213"/>
      <c r="C155" s="213"/>
      <c r="D155" s="213"/>
      <c r="E155" s="213"/>
      <c r="F155" s="213"/>
      <c r="G155" s="525"/>
      <c r="H155" s="213"/>
      <c r="I155" s="213"/>
      <c r="J155" s="213"/>
      <c r="K155" s="213"/>
      <c r="L155" s="213"/>
      <c r="N155" s="525"/>
      <c r="O155" s="525"/>
      <c r="P155" s="525"/>
      <c r="Q155" s="58"/>
      <c r="R155" s="58"/>
      <c r="S155" s="58"/>
    </row>
    <row r="156" spans="2:19" x14ac:dyDescent="0.2">
      <c r="B156" s="213"/>
      <c r="C156" s="213"/>
      <c r="D156" s="213"/>
      <c r="E156" s="213"/>
      <c r="F156" s="213"/>
      <c r="G156" s="525"/>
      <c r="H156" s="213"/>
      <c r="I156" s="213"/>
      <c r="J156" s="213"/>
      <c r="K156" s="213"/>
      <c r="L156" s="213"/>
      <c r="N156" s="525"/>
      <c r="O156" s="525"/>
      <c r="P156" s="525"/>
      <c r="Q156" s="58"/>
      <c r="R156" s="58"/>
      <c r="S156" s="58"/>
    </row>
    <row r="157" spans="2:19" x14ac:dyDescent="0.2">
      <c r="B157" s="213"/>
      <c r="C157" s="213"/>
      <c r="D157" s="213"/>
      <c r="E157" s="213"/>
      <c r="F157" s="213"/>
      <c r="G157" s="525"/>
      <c r="H157" s="213"/>
      <c r="I157" s="213"/>
      <c r="J157" s="213"/>
      <c r="K157" s="213"/>
      <c r="L157" s="213"/>
      <c r="N157" s="525"/>
      <c r="O157" s="525"/>
      <c r="P157" s="525"/>
      <c r="Q157" s="58"/>
      <c r="R157" s="58"/>
      <c r="S157" s="58"/>
    </row>
    <row r="158" spans="2:19" x14ac:dyDescent="0.2">
      <c r="B158" s="213"/>
      <c r="C158" s="213"/>
      <c r="D158" s="213"/>
      <c r="E158" s="213"/>
      <c r="F158" s="213"/>
      <c r="G158" s="525"/>
      <c r="H158" s="213"/>
      <c r="I158" s="213"/>
      <c r="J158" s="213"/>
      <c r="K158" s="213"/>
      <c r="L158" s="213"/>
      <c r="N158" s="525"/>
      <c r="O158" s="525"/>
      <c r="P158" s="525"/>
      <c r="Q158" s="58"/>
      <c r="R158" s="58"/>
      <c r="S158" s="58"/>
    </row>
    <row r="159" spans="2:19" x14ac:dyDescent="0.2">
      <c r="B159" s="213"/>
      <c r="C159" s="213"/>
      <c r="D159" s="213"/>
      <c r="E159" s="213"/>
      <c r="F159" s="213"/>
      <c r="G159" s="525"/>
      <c r="H159" s="213"/>
      <c r="I159" s="213"/>
      <c r="J159" s="213"/>
      <c r="K159" s="213"/>
      <c r="L159" s="213"/>
      <c r="N159" s="525"/>
      <c r="O159" s="525"/>
      <c r="P159" s="525"/>
      <c r="Q159" s="58"/>
      <c r="R159" s="58"/>
      <c r="S159" s="58"/>
    </row>
    <row r="160" spans="2:19" x14ac:dyDescent="0.2">
      <c r="B160" s="213"/>
      <c r="C160" s="213"/>
      <c r="D160" s="213"/>
      <c r="E160" s="213"/>
      <c r="F160" s="213"/>
      <c r="G160" s="525"/>
      <c r="H160" s="213"/>
      <c r="I160" s="213"/>
      <c r="J160" s="213"/>
      <c r="K160" s="213"/>
      <c r="L160" s="213"/>
      <c r="N160" s="525"/>
      <c r="O160" s="525"/>
      <c r="P160" s="525"/>
      <c r="Q160" s="58"/>
      <c r="R160" s="58"/>
      <c r="S160" s="58"/>
    </row>
    <row r="161" spans="2:19" x14ac:dyDescent="0.2">
      <c r="B161" s="213"/>
      <c r="C161" s="213"/>
      <c r="D161" s="213"/>
      <c r="E161" s="213"/>
      <c r="F161" s="213"/>
      <c r="G161" s="525"/>
      <c r="H161" s="213"/>
      <c r="I161" s="213"/>
      <c r="J161" s="213"/>
      <c r="K161" s="213"/>
      <c r="L161" s="213"/>
      <c r="N161" s="525"/>
      <c r="O161" s="525"/>
      <c r="P161" s="525"/>
      <c r="Q161" s="58"/>
      <c r="R161" s="58"/>
      <c r="S161" s="58"/>
    </row>
    <row r="162" spans="2:19" x14ac:dyDescent="0.2">
      <c r="B162" s="213"/>
      <c r="C162" s="213"/>
      <c r="D162" s="213"/>
      <c r="E162" s="213"/>
      <c r="F162" s="213"/>
      <c r="G162" s="525"/>
      <c r="H162" s="213"/>
      <c r="I162" s="213"/>
      <c r="J162" s="213"/>
      <c r="K162" s="213"/>
      <c r="L162" s="213"/>
      <c r="N162" s="525"/>
      <c r="O162" s="525"/>
      <c r="P162" s="525"/>
      <c r="Q162" s="58"/>
      <c r="R162" s="58"/>
      <c r="S162" s="58"/>
    </row>
    <row r="163" spans="2:19" x14ac:dyDescent="0.2">
      <c r="B163" s="213"/>
      <c r="C163" s="213"/>
      <c r="D163" s="213"/>
      <c r="E163" s="213"/>
      <c r="F163" s="213"/>
      <c r="G163" s="525"/>
      <c r="H163" s="213"/>
      <c r="I163" s="213"/>
      <c r="J163" s="213"/>
      <c r="K163" s="213"/>
      <c r="L163" s="213"/>
      <c r="N163" s="525"/>
      <c r="O163" s="525"/>
      <c r="P163" s="525"/>
      <c r="Q163" s="58"/>
      <c r="R163" s="58"/>
      <c r="S163" s="58"/>
    </row>
    <row r="164" spans="2:19" x14ac:dyDescent="0.2">
      <c r="B164" s="213"/>
      <c r="C164" s="213"/>
      <c r="D164" s="213"/>
      <c r="E164" s="213"/>
      <c r="F164" s="213"/>
      <c r="G164" s="525"/>
      <c r="H164" s="213"/>
      <c r="I164" s="213"/>
      <c r="J164" s="213"/>
      <c r="K164" s="213"/>
      <c r="L164" s="213"/>
      <c r="N164" s="525"/>
      <c r="O164" s="525"/>
      <c r="P164" s="525"/>
      <c r="Q164" s="58"/>
      <c r="R164" s="58"/>
      <c r="S164" s="58"/>
    </row>
    <row r="165" spans="2:19" x14ac:dyDescent="0.2">
      <c r="B165" s="213"/>
      <c r="C165" s="213"/>
      <c r="D165" s="213"/>
      <c r="E165" s="213"/>
      <c r="F165" s="213"/>
      <c r="G165" s="525"/>
      <c r="H165" s="213"/>
      <c r="I165" s="213"/>
      <c r="J165" s="213"/>
      <c r="K165" s="213"/>
      <c r="L165" s="213"/>
      <c r="N165" s="525"/>
      <c r="O165" s="525"/>
      <c r="P165" s="525"/>
      <c r="Q165" s="58"/>
      <c r="R165" s="58"/>
      <c r="S165" s="58"/>
    </row>
    <row r="166" spans="2:19" x14ac:dyDescent="0.2">
      <c r="B166" s="213"/>
      <c r="C166" s="213"/>
      <c r="D166" s="213"/>
      <c r="E166" s="213"/>
      <c r="F166" s="213"/>
      <c r="G166" s="525"/>
      <c r="H166" s="213"/>
      <c r="I166" s="213"/>
      <c r="J166" s="213"/>
      <c r="K166" s="213"/>
      <c r="L166" s="213"/>
      <c r="N166" s="525"/>
      <c r="O166" s="525"/>
      <c r="P166" s="525"/>
      <c r="Q166" s="58"/>
      <c r="R166" s="58"/>
      <c r="S166" s="58"/>
    </row>
    <row r="167" spans="2:19" x14ac:dyDescent="0.2">
      <c r="B167" s="213"/>
      <c r="C167" s="213"/>
      <c r="D167" s="213"/>
      <c r="E167" s="213"/>
      <c r="F167" s="213"/>
      <c r="G167" s="525"/>
      <c r="H167" s="213"/>
      <c r="I167" s="213"/>
      <c r="J167" s="213"/>
      <c r="K167" s="213"/>
      <c r="L167" s="213"/>
      <c r="N167" s="525"/>
      <c r="O167" s="525"/>
      <c r="P167" s="525"/>
      <c r="Q167" s="58"/>
      <c r="R167" s="58"/>
      <c r="S167" s="58"/>
    </row>
    <row r="168" spans="2:19" x14ac:dyDescent="0.2">
      <c r="B168" s="213"/>
      <c r="C168" s="213"/>
      <c r="D168" s="213"/>
      <c r="E168" s="213"/>
      <c r="F168" s="213"/>
      <c r="G168" s="525"/>
      <c r="H168" s="213"/>
      <c r="I168" s="213"/>
      <c r="J168" s="213"/>
      <c r="K168" s="213"/>
      <c r="L168" s="213"/>
      <c r="N168" s="525"/>
      <c r="O168" s="525"/>
      <c r="P168" s="525"/>
      <c r="Q168" s="58"/>
      <c r="R168" s="58"/>
      <c r="S168" s="58"/>
    </row>
    <row r="169" spans="2:19" x14ac:dyDescent="0.2">
      <c r="B169" s="213"/>
      <c r="C169" s="213"/>
      <c r="D169" s="213"/>
      <c r="E169" s="213"/>
      <c r="F169" s="213"/>
      <c r="G169" s="525"/>
      <c r="H169" s="213"/>
      <c r="I169" s="213"/>
      <c r="J169" s="213"/>
      <c r="K169" s="213"/>
      <c r="L169" s="213"/>
      <c r="N169" s="525"/>
      <c r="O169" s="525"/>
      <c r="P169" s="525"/>
      <c r="Q169" s="58"/>
      <c r="R169" s="58"/>
      <c r="S169" s="58"/>
    </row>
    <row r="170" spans="2:19" x14ac:dyDescent="0.2">
      <c r="B170" s="213"/>
      <c r="C170" s="213"/>
      <c r="D170" s="213"/>
      <c r="E170" s="213"/>
      <c r="F170" s="213"/>
      <c r="G170" s="525"/>
      <c r="H170" s="213"/>
      <c r="I170" s="213"/>
      <c r="J170" s="213"/>
      <c r="K170" s="213"/>
      <c r="L170" s="213"/>
      <c r="N170" s="525"/>
      <c r="O170" s="525"/>
      <c r="P170" s="525"/>
      <c r="Q170" s="58"/>
      <c r="R170" s="58"/>
      <c r="S170" s="58"/>
    </row>
    <row r="171" spans="2:19" x14ac:dyDescent="0.2">
      <c r="B171" s="213"/>
      <c r="C171" s="213"/>
      <c r="D171" s="213"/>
      <c r="E171" s="213"/>
      <c r="F171" s="213"/>
      <c r="G171" s="525"/>
      <c r="H171" s="213"/>
      <c r="I171" s="213"/>
      <c r="J171" s="213"/>
      <c r="K171" s="213"/>
      <c r="L171" s="213"/>
      <c r="N171" s="525"/>
      <c r="O171" s="525"/>
      <c r="P171" s="525"/>
      <c r="Q171" s="58"/>
      <c r="R171" s="58"/>
      <c r="S171" s="58"/>
    </row>
    <row r="172" spans="2:19" x14ac:dyDescent="0.2">
      <c r="B172" s="213"/>
      <c r="C172" s="213"/>
      <c r="D172" s="213"/>
      <c r="E172" s="213"/>
      <c r="F172" s="213"/>
      <c r="G172" s="525"/>
      <c r="H172" s="213"/>
      <c r="I172" s="213"/>
      <c r="J172" s="213"/>
      <c r="K172" s="213"/>
      <c r="L172" s="213"/>
      <c r="N172" s="525"/>
      <c r="O172" s="525"/>
      <c r="P172" s="525"/>
      <c r="Q172" s="58"/>
      <c r="R172" s="58"/>
      <c r="S172" s="58"/>
    </row>
    <row r="173" spans="2:19" x14ac:dyDescent="0.2">
      <c r="B173" s="213"/>
      <c r="C173" s="213"/>
      <c r="D173" s="213"/>
      <c r="E173" s="213"/>
      <c r="F173" s="213"/>
      <c r="G173" s="525"/>
      <c r="H173" s="213"/>
      <c r="I173" s="213"/>
      <c r="J173" s="213"/>
      <c r="K173" s="213"/>
      <c r="L173" s="213"/>
      <c r="N173" s="525"/>
      <c r="O173" s="525"/>
      <c r="P173" s="525"/>
      <c r="Q173" s="58"/>
      <c r="R173" s="58"/>
      <c r="S173" s="58"/>
    </row>
    <row r="174" spans="2:19" x14ac:dyDescent="0.2">
      <c r="B174" s="213"/>
      <c r="C174" s="213"/>
      <c r="D174" s="213"/>
      <c r="E174" s="213"/>
      <c r="F174" s="213"/>
      <c r="G174" s="525"/>
      <c r="H174" s="213"/>
      <c r="I174" s="213"/>
      <c r="J174" s="213"/>
      <c r="K174" s="213"/>
      <c r="L174" s="213"/>
      <c r="N174" s="525"/>
      <c r="O174" s="525"/>
      <c r="P174" s="525"/>
      <c r="Q174" s="58"/>
      <c r="R174" s="58"/>
      <c r="S174" s="58"/>
    </row>
    <row r="175" spans="2:19" x14ac:dyDescent="0.2">
      <c r="B175" s="213"/>
      <c r="C175" s="213"/>
      <c r="D175" s="213"/>
      <c r="E175" s="213"/>
      <c r="F175" s="213"/>
      <c r="G175" s="525"/>
      <c r="H175" s="213"/>
      <c r="I175" s="213"/>
      <c r="J175" s="213"/>
      <c r="K175" s="213"/>
      <c r="L175" s="213"/>
      <c r="N175" s="525"/>
      <c r="O175" s="525"/>
      <c r="P175" s="525"/>
      <c r="Q175" s="58"/>
      <c r="R175" s="58"/>
      <c r="S175" s="58"/>
    </row>
    <row r="176" spans="2:19" x14ac:dyDescent="0.2">
      <c r="B176" s="213"/>
      <c r="C176" s="213"/>
      <c r="D176" s="213"/>
      <c r="E176" s="213"/>
      <c r="F176" s="213"/>
      <c r="G176" s="525"/>
      <c r="H176" s="213"/>
      <c r="I176" s="213"/>
      <c r="J176" s="213"/>
      <c r="K176" s="213"/>
      <c r="L176" s="213"/>
      <c r="N176" s="525"/>
      <c r="O176" s="525"/>
      <c r="P176" s="525"/>
      <c r="Q176" s="58"/>
      <c r="R176" s="58"/>
      <c r="S176" s="58"/>
    </row>
    <row r="177" spans="2:19" x14ac:dyDescent="0.2">
      <c r="B177" s="213"/>
      <c r="C177" s="213"/>
      <c r="D177" s="213"/>
      <c r="E177" s="213"/>
      <c r="F177" s="213"/>
      <c r="G177" s="525"/>
      <c r="H177" s="213"/>
      <c r="I177" s="213"/>
      <c r="J177" s="213"/>
      <c r="K177" s="213"/>
      <c r="L177" s="213"/>
      <c r="N177" s="525"/>
      <c r="O177" s="525"/>
      <c r="P177" s="525"/>
      <c r="Q177" s="58"/>
      <c r="R177" s="58"/>
      <c r="S177" s="58"/>
    </row>
    <row r="178" spans="2:19" x14ac:dyDescent="0.2">
      <c r="B178" s="213"/>
      <c r="C178" s="213"/>
      <c r="D178" s="213"/>
      <c r="E178" s="213"/>
      <c r="F178" s="213"/>
      <c r="G178" s="525"/>
      <c r="H178" s="213"/>
      <c r="I178" s="213"/>
      <c r="J178" s="213"/>
      <c r="K178" s="213"/>
      <c r="L178" s="213"/>
      <c r="N178" s="525"/>
      <c r="O178" s="525"/>
      <c r="P178" s="525"/>
      <c r="Q178" s="58"/>
      <c r="R178" s="58"/>
      <c r="S178" s="58"/>
    </row>
    <row r="179" spans="2:19" x14ac:dyDescent="0.2">
      <c r="B179" s="213"/>
      <c r="C179" s="213"/>
      <c r="D179" s="213"/>
      <c r="E179" s="213"/>
      <c r="F179" s="213"/>
      <c r="G179" s="525"/>
      <c r="H179" s="213"/>
      <c r="I179" s="213"/>
      <c r="J179" s="213"/>
      <c r="K179" s="213"/>
      <c r="L179" s="213"/>
      <c r="N179" s="525"/>
      <c r="O179" s="525"/>
      <c r="P179" s="525"/>
      <c r="Q179" s="58"/>
      <c r="R179" s="58"/>
      <c r="S179" s="58"/>
    </row>
    <row r="180" spans="2:19" x14ac:dyDescent="0.2">
      <c r="B180" s="213"/>
      <c r="C180" s="213"/>
      <c r="D180" s="213"/>
      <c r="E180" s="213"/>
      <c r="F180" s="213"/>
      <c r="G180" s="525"/>
      <c r="H180" s="213"/>
      <c r="I180" s="213"/>
      <c r="J180" s="213"/>
      <c r="K180" s="213"/>
      <c r="L180" s="213"/>
      <c r="N180" s="525"/>
      <c r="O180" s="525"/>
      <c r="P180" s="525"/>
      <c r="Q180" s="58"/>
      <c r="R180" s="58"/>
      <c r="S180" s="58"/>
    </row>
    <row r="181" spans="2:19" x14ac:dyDescent="0.2">
      <c r="B181" s="213"/>
      <c r="C181" s="213"/>
      <c r="D181" s="213"/>
      <c r="E181" s="213"/>
      <c r="F181" s="213"/>
      <c r="G181" s="525"/>
      <c r="H181" s="213"/>
      <c r="I181" s="213"/>
      <c r="J181" s="213"/>
      <c r="K181" s="213"/>
      <c r="L181" s="213"/>
      <c r="N181" s="525"/>
      <c r="O181" s="525"/>
      <c r="P181" s="525"/>
      <c r="Q181" s="58"/>
      <c r="R181" s="58"/>
      <c r="S181" s="58"/>
    </row>
    <row r="182" spans="2:19" x14ac:dyDescent="0.2">
      <c r="B182" s="213"/>
      <c r="C182" s="213"/>
      <c r="D182" s="213"/>
      <c r="E182" s="213"/>
      <c r="F182" s="213"/>
      <c r="G182" s="525"/>
      <c r="H182" s="213"/>
      <c r="I182" s="213"/>
      <c r="J182" s="213"/>
      <c r="K182" s="213"/>
      <c r="L182" s="213"/>
      <c r="N182" s="525"/>
      <c r="O182" s="525"/>
      <c r="P182" s="525"/>
      <c r="Q182" s="58"/>
      <c r="R182" s="58"/>
      <c r="S182" s="58"/>
    </row>
    <row r="183" spans="2:19" x14ac:dyDescent="0.2">
      <c r="B183" s="213"/>
      <c r="C183" s="213"/>
      <c r="D183" s="213"/>
      <c r="E183" s="213"/>
      <c r="F183" s="213"/>
      <c r="G183" s="525"/>
      <c r="H183" s="213"/>
      <c r="I183" s="213"/>
      <c r="J183" s="213"/>
      <c r="K183" s="213"/>
      <c r="L183" s="213"/>
      <c r="N183" s="525"/>
      <c r="O183" s="525"/>
      <c r="P183" s="525"/>
      <c r="Q183" s="58"/>
      <c r="R183" s="58"/>
      <c r="S183" s="58"/>
    </row>
    <row r="184" spans="2:19" x14ac:dyDescent="0.2">
      <c r="B184" s="213"/>
      <c r="C184" s="213"/>
      <c r="D184" s="213"/>
      <c r="E184" s="213"/>
      <c r="F184" s="213"/>
      <c r="G184" s="525"/>
      <c r="H184" s="213"/>
      <c r="I184" s="213"/>
      <c r="J184" s="213"/>
      <c r="K184" s="213"/>
      <c r="L184" s="213"/>
      <c r="N184" s="525"/>
      <c r="O184" s="525"/>
      <c r="P184" s="525"/>
      <c r="Q184" s="58"/>
      <c r="R184" s="58"/>
      <c r="S184" s="58"/>
    </row>
    <row r="185" spans="2:19" x14ac:dyDescent="0.2">
      <c r="B185" s="213"/>
      <c r="C185" s="213"/>
      <c r="D185" s="213"/>
      <c r="E185" s="213"/>
      <c r="F185" s="213"/>
      <c r="G185" s="525"/>
      <c r="H185" s="213"/>
      <c r="I185" s="213"/>
      <c r="J185" s="213"/>
      <c r="K185" s="213"/>
      <c r="L185" s="213"/>
      <c r="N185" s="525"/>
      <c r="O185" s="525"/>
      <c r="P185" s="525"/>
      <c r="Q185" s="58"/>
      <c r="R185" s="58"/>
      <c r="S185" s="58"/>
    </row>
    <row r="186" spans="2:19" x14ac:dyDescent="0.2">
      <c r="B186" s="213"/>
      <c r="C186" s="213"/>
      <c r="D186" s="213"/>
      <c r="E186" s="213"/>
      <c r="F186" s="213"/>
      <c r="G186" s="525"/>
      <c r="H186" s="213"/>
      <c r="I186" s="213"/>
      <c r="J186" s="213"/>
      <c r="K186" s="213"/>
      <c r="L186" s="213"/>
      <c r="N186" s="525"/>
      <c r="O186" s="525"/>
      <c r="P186" s="525"/>
      <c r="Q186" s="58"/>
      <c r="R186" s="58"/>
      <c r="S186" s="58"/>
    </row>
    <row r="187" spans="2:19" x14ac:dyDescent="0.2">
      <c r="B187" s="213"/>
      <c r="C187" s="213"/>
      <c r="D187" s="213"/>
      <c r="E187" s="213"/>
      <c r="F187" s="213"/>
      <c r="G187" s="525"/>
      <c r="H187" s="213"/>
      <c r="I187" s="213"/>
      <c r="J187" s="213"/>
      <c r="K187" s="213"/>
      <c r="L187" s="213"/>
      <c r="N187" s="525"/>
      <c r="O187" s="525"/>
      <c r="P187" s="525"/>
      <c r="Q187" s="58"/>
      <c r="R187" s="58"/>
      <c r="S187" s="58"/>
    </row>
    <row r="188" spans="2:19" x14ac:dyDescent="0.2">
      <c r="B188" s="213"/>
      <c r="C188" s="213"/>
      <c r="D188" s="213"/>
      <c r="E188" s="213"/>
      <c r="F188" s="213"/>
      <c r="G188" s="525"/>
      <c r="H188" s="213"/>
      <c r="I188" s="213"/>
      <c r="J188" s="213"/>
      <c r="K188" s="213"/>
      <c r="L188" s="213"/>
      <c r="N188" s="525"/>
      <c r="O188" s="525"/>
      <c r="P188" s="525"/>
      <c r="Q188" s="58"/>
      <c r="R188" s="58"/>
      <c r="S188" s="58"/>
    </row>
    <row r="189" spans="2:19" x14ac:dyDescent="0.2">
      <c r="B189" s="213"/>
      <c r="C189" s="213"/>
      <c r="D189" s="213"/>
      <c r="E189" s="213"/>
      <c r="F189" s="213"/>
      <c r="G189" s="525"/>
      <c r="H189" s="213"/>
      <c r="I189" s="213"/>
      <c r="J189" s="213"/>
      <c r="K189" s="213"/>
      <c r="L189" s="213"/>
      <c r="N189" s="525"/>
      <c r="O189" s="525"/>
      <c r="P189" s="525"/>
      <c r="Q189" s="58"/>
      <c r="R189" s="58"/>
      <c r="S189" s="58"/>
    </row>
    <row r="190" spans="2:19" x14ac:dyDescent="0.2">
      <c r="B190" s="213"/>
      <c r="C190" s="213"/>
      <c r="D190" s="213"/>
      <c r="E190" s="213"/>
      <c r="F190" s="213"/>
      <c r="G190" s="525"/>
      <c r="H190" s="213"/>
      <c r="I190" s="213"/>
      <c r="J190" s="213"/>
      <c r="K190" s="213"/>
      <c r="L190" s="213"/>
      <c r="N190" s="525"/>
      <c r="O190" s="525"/>
      <c r="P190" s="525"/>
      <c r="Q190" s="58"/>
      <c r="R190" s="58"/>
      <c r="S190" s="58"/>
    </row>
    <row r="191" spans="2:19" x14ac:dyDescent="0.2">
      <c r="B191" s="213"/>
      <c r="C191" s="213"/>
      <c r="D191" s="213"/>
      <c r="E191" s="213"/>
      <c r="F191" s="213"/>
      <c r="G191" s="525"/>
      <c r="H191" s="213"/>
      <c r="I191" s="213"/>
      <c r="J191" s="213"/>
      <c r="K191" s="213"/>
      <c r="L191" s="213"/>
      <c r="N191" s="525"/>
      <c r="O191" s="525"/>
      <c r="P191" s="525"/>
      <c r="Q191" s="58"/>
      <c r="R191" s="58"/>
      <c r="S191" s="58"/>
    </row>
    <row r="192" spans="2:19" x14ac:dyDescent="0.2">
      <c r="B192" s="213"/>
      <c r="C192" s="213"/>
      <c r="D192" s="213"/>
      <c r="E192" s="213"/>
      <c r="F192" s="213"/>
      <c r="G192" s="525"/>
      <c r="H192" s="213"/>
      <c r="I192" s="213"/>
      <c r="J192" s="213"/>
      <c r="K192" s="213"/>
      <c r="L192" s="213"/>
      <c r="N192" s="525"/>
      <c r="O192" s="525"/>
      <c r="P192" s="525"/>
      <c r="Q192" s="58"/>
      <c r="R192" s="58"/>
      <c r="S192" s="58"/>
    </row>
    <row r="193" spans="2:19" x14ac:dyDescent="0.2">
      <c r="B193" s="213"/>
      <c r="C193" s="213"/>
      <c r="D193" s="213"/>
      <c r="E193" s="213"/>
      <c r="F193" s="213"/>
      <c r="G193" s="525"/>
      <c r="H193" s="213"/>
      <c r="I193" s="213"/>
      <c r="J193" s="213"/>
      <c r="K193" s="213"/>
      <c r="L193" s="213"/>
      <c r="N193" s="525"/>
      <c r="O193" s="525"/>
      <c r="P193" s="525"/>
      <c r="Q193" s="58"/>
      <c r="R193" s="58"/>
      <c r="S193" s="58"/>
    </row>
    <row r="194" spans="2:19" x14ac:dyDescent="0.2">
      <c r="B194" s="213"/>
      <c r="C194" s="213"/>
      <c r="D194" s="213"/>
      <c r="E194" s="213"/>
      <c r="F194" s="213"/>
      <c r="G194" s="525"/>
      <c r="H194" s="213"/>
      <c r="I194" s="213"/>
      <c r="J194" s="213"/>
      <c r="K194" s="213"/>
      <c r="L194" s="213"/>
      <c r="N194" s="525"/>
      <c r="O194" s="525"/>
      <c r="P194" s="525"/>
      <c r="Q194" s="58"/>
      <c r="R194" s="58"/>
      <c r="S194" s="58"/>
    </row>
    <row r="195" spans="2:19" x14ac:dyDescent="0.2">
      <c r="B195" s="213"/>
      <c r="C195" s="213"/>
      <c r="D195" s="213"/>
      <c r="E195" s="213"/>
      <c r="F195" s="213"/>
      <c r="G195" s="525"/>
      <c r="H195" s="213"/>
      <c r="I195" s="213"/>
      <c r="J195" s="213"/>
      <c r="K195" s="213"/>
      <c r="L195" s="213"/>
      <c r="N195" s="525"/>
      <c r="O195" s="525"/>
      <c r="P195" s="525"/>
      <c r="Q195" s="58"/>
      <c r="R195" s="58"/>
      <c r="S195" s="58"/>
    </row>
    <row r="196" spans="2:19" x14ac:dyDescent="0.2">
      <c r="B196" s="213"/>
      <c r="C196" s="213"/>
      <c r="D196" s="213"/>
      <c r="E196" s="213"/>
      <c r="F196" s="213"/>
      <c r="G196" s="525"/>
      <c r="H196" s="213"/>
      <c r="I196" s="213"/>
      <c r="J196" s="213"/>
      <c r="K196" s="213"/>
      <c r="L196" s="213"/>
      <c r="N196" s="525"/>
      <c r="O196" s="525"/>
      <c r="P196" s="525"/>
      <c r="Q196" s="58"/>
      <c r="R196" s="58"/>
      <c r="S196" s="58"/>
    </row>
    <row r="197" spans="2:19" x14ac:dyDescent="0.2">
      <c r="B197" s="213"/>
      <c r="C197" s="213"/>
      <c r="D197" s="213"/>
      <c r="E197" s="213"/>
      <c r="F197" s="213"/>
      <c r="G197" s="525"/>
      <c r="H197" s="213"/>
      <c r="I197" s="213"/>
      <c r="J197" s="213"/>
      <c r="K197" s="213"/>
      <c r="L197" s="213"/>
      <c r="N197" s="525"/>
      <c r="O197" s="525"/>
      <c r="P197" s="525"/>
      <c r="Q197" s="58"/>
      <c r="R197" s="58"/>
      <c r="S197" s="58"/>
    </row>
    <row r="198" spans="2:19" x14ac:dyDescent="0.2">
      <c r="B198" s="213"/>
      <c r="C198" s="213"/>
      <c r="D198" s="213"/>
      <c r="E198" s="213"/>
      <c r="F198" s="213"/>
      <c r="G198" s="525"/>
      <c r="H198" s="213"/>
      <c r="I198" s="213"/>
      <c r="J198" s="213"/>
      <c r="K198" s="213"/>
      <c r="L198" s="213"/>
      <c r="N198" s="525"/>
      <c r="O198" s="525"/>
      <c r="P198" s="525"/>
      <c r="Q198" s="58"/>
      <c r="R198" s="58"/>
      <c r="S198" s="58"/>
    </row>
    <row r="199" spans="2:19" x14ac:dyDescent="0.2">
      <c r="B199" s="213"/>
      <c r="C199" s="213"/>
      <c r="D199" s="213"/>
      <c r="E199" s="213"/>
      <c r="F199" s="213"/>
      <c r="G199" s="525"/>
      <c r="H199" s="213"/>
      <c r="I199" s="213"/>
      <c r="J199" s="213"/>
      <c r="K199" s="213"/>
      <c r="L199" s="213"/>
      <c r="N199" s="525"/>
      <c r="O199" s="525"/>
      <c r="P199" s="525"/>
      <c r="Q199" s="58"/>
      <c r="R199" s="58"/>
      <c r="S199" s="58"/>
    </row>
    <row r="200" spans="2:19" x14ac:dyDescent="0.2">
      <c r="B200" s="213"/>
      <c r="C200" s="213"/>
      <c r="D200" s="213"/>
      <c r="E200" s="213"/>
      <c r="F200" s="213"/>
      <c r="G200" s="525"/>
      <c r="H200" s="213"/>
      <c r="I200" s="213"/>
      <c r="J200" s="213"/>
      <c r="K200" s="213"/>
      <c r="L200" s="213"/>
      <c r="N200" s="525"/>
      <c r="O200" s="525"/>
      <c r="P200" s="525"/>
      <c r="Q200" s="58"/>
      <c r="R200" s="58"/>
      <c r="S200" s="58"/>
    </row>
    <row r="201" spans="2:19" x14ac:dyDescent="0.2">
      <c r="B201" s="213"/>
      <c r="C201" s="213"/>
      <c r="D201" s="213"/>
      <c r="E201" s="213"/>
      <c r="F201" s="213"/>
      <c r="G201" s="525"/>
      <c r="H201" s="213"/>
      <c r="I201" s="213"/>
      <c r="J201" s="213"/>
      <c r="K201" s="213"/>
      <c r="L201" s="213"/>
      <c r="N201" s="525"/>
      <c r="O201" s="525"/>
      <c r="P201" s="525"/>
      <c r="Q201" s="58"/>
      <c r="R201" s="58"/>
      <c r="S201" s="58"/>
    </row>
    <row r="202" spans="2:19" x14ac:dyDescent="0.2">
      <c r="B202" s="213"/>
      <c r="C202" s="213"/>
      <c r="D202" s="213"/>
      <c r="E202" s="213"/>
      <c r="F202" s="213"/>
      <c r="G202" s="525"/>
      <c r="H202" s="213"/>
      <c r="I202" s="213"/>
      <c r="J202" s="213"/>
      <c r="K202" s="213"/>
      <c r="L202" s="213"/>
      <c r="N202" s="525"/>
      <c r="O202" s="525"/>
      <c r="P202" s="525"/>
      <c r="Q202" s="58"/>
      <c r="R202" s="58"/>
      <c r="S202" s="58"/>
    </row>
    <row r="203" spans="2:19" x14ac:dyDescent="0.2">
      <c r="B203" s="213"/>
      <c r="C203" s="213"/>
      <c r="D203" s="213"/>
      <c r="E203" s="213"/>
      <c r="F203" s="213"/>
      <c r="G203" s="525"/>
      <c r="H203" s="213"/>
      <c r="I203" s="213"/>
      <c r="J203" s="213"/>
      <c r="K203" s="213"/>
      <c r="L203" s="213"/>
      <c r="N203" s="525"/>
      <c r="O203" s="525"/>
      <c r="P203" s="525"/>
      <c r="Q203" s="58"/>
      <c r="R203" s="58"/>
      <c r="S203" s="58"/>
    </row>
    <row r="204" spans="2:19" x14ac:dyDescent="0.2">
      <c r="B204" s="213"/>
      <c r="C204" s="213"/>
      <c r="D204" s="213"/>
      <c r="E204" s="213"/>
      <c r="F204" s="213"/>
      <c r="G204" s="525"/>
      <c r="H204" s="213"/>
      <c r="I204" s="213"/>
      <c r="J204" s="213"/>
      <c r="K204" s="213"/>
      <c r="L204" s="213"/>
      <c r="N204" s="525"/>
      <c r="O204" s="525"/>
      <c r="P204" s="525"/>
      <c r="Q204" s="58"/>
      <c r="R204" s="58"/>
      <c r="S204" s="58"/>
    </row>
    <row r="205" spans="2:19" x14ac:dyDescent="0.2">
      <c r="B205" s="213"/>
      <c r="C205" s="213"/>
      <c r="D205" s="213"/>
      <c r="E205" s="213"/>
      <c r="F205" s="213"/>
      <c r="G205" s="525"/>
      <c r="H205" s="213"/>
      <c r="I205" s="213"/>
      <c r="J205" s="213"/>
      <c r="K205" s="213"/>
      <c r="L205" s="213"/>
      <c r="N205" s="525"/>
      <c r="O205" s="525"/>
      <c r="P205" s="525"/>
      <c r="Q205" s="58"/>
      <c r="R205" s="58"/>
      <c r="S205" s="58"/>
    </row>
    <row r="206" spans="2:19" x14ac:dyDescent="0.2">
      <c r="B206" s="213"/>
      <c r="C206" s="213"/>
      <c r="D206" s="213"/>
      <c r="E206" s="213"/>
      <c r="F206" s="213"/>
      <c r="G206" s="525"/>
      <c r="H206" s="213"/>
      <c r="I206" s="213"/>
      <c r="J206" s="213"/>
      <c r="K206" s="213"/>
      <c r="L206" s="213"/>
      <c r="N206" s="525"/>
      <c r="O206" s="525"/>
      <c r="P206" s="525"/>
      <c r="Q206" s="58"/>
      <c r="R206" s="58"/>
      <c r="S206" s="58"/>
    </row>
    <row r="207" spans="2:19" x14ac:dyDescent="0.2">
      <c r="B207" s="213"/>
      <c r="C207" s="213"/>
      <c r="D207" s="213"/>
      <c r="E207" s="213"/>
      <c r="F207" s="213"/>
      <c r="G207" s="525"/>
      <c r="H207" s="213"/>
      <c r="I207" s="213"/>
      <c r="J207" s="213"/>
      <c r="K207" s="213"/>
      <c r="L207" s="213"/>
      <c r="N207" s="525"/>
      <c r="O207" s="525"/>
      <c r="P207" s="525"/>
      <c r="Q207" s="58"/>
      <c r="R207" s="58"/>
      <c r="S207" s="58"/>
    </row>
    <row r="208" spans="2:19" x14ac:dyDescent="0.2">
      <c r="B208" s="213"/>
      <c r="C208" s="213"/>
      <c r="D208" s="213"/>
      <c r="E208" s="213"/>
      <c r="F208" s="213"/>
      <c r="G208" s="525"/>
      <c r="H208" s="213"/>
      <c r="I208" s="213"/>
      <c r="J208" s="213"/>
      <c r="K208" s="213"/>
      <c r="L208" s="213"/>
      <c r="N208" s="525"/>
      <c r="O208" s="525"/>
      <c r="P208" s="525"/>
      <c r="Q208" s="58"/>
      <c r="R208" s="58"/>
      <c r="S208" s="58"/>
    </row>
    <row r="209" spans="2:19" x14ac:dyDescent="0.2">
      <c r="B209" s="213"/>
      <c r="C209" s="213"/>
      <c r="D209" s="213"/>
      <c r="E209" s="213"/>
      <c r="F209" s="213"/>
      <c r="G209" s="525"/>
      <c r="H209" s="213"/>
      <c r="I209" s="213"/>
      <c r="J209" s="213"/>
      <c r="K209" s="213"/>
      <c r="L209" s="213"/>
      <c r="N209" s="525"/>
      <c r="O209" s="525"/>
      <c r="P209" s="525"/>
      <c r="Q209" s="58"/>
      <c r="R209" s="58"/>
      <c r="S209" s="58"/>
    </row>
    <row r="210" spans="2:19" x14ac:dyDescent="0.2">
      <c r="B210" s="213"/>
      <c r="C210" s="213"/>
      <c r="D210" s="213"/>
      <c r="E210" s="213"/>
      <c r="F210" s="213"/>
      <c r="G210" s="525"/>
      <c r="H210" s="213"/>
      <c r="I210" s="213"/>
      <c r="J210" s="213"/>
      <c r="K210" s="213"/>
      <c r="L210" s="213"/>
      <c r="N210" s="525"/>
      <c r="O210" s="525"/>
      <c r="P210" s="525"/>
      <c r="Q210" s="58"/>
      <c r="R210" s="58"/>
      <c r="S210" s="58"/>
    </row>
    <row r="211" spans="2:19" x14ac:dyDescent="0.2">
      <c r="B211" s="213"/>
      <c r="C211" s="213"/>
      <c r="D211" s="213"/>
      <c r="E211" s="213"/>
      <c r="F211" s="213"/>
      <c r="G211" s="525"/>
      <c r="H211" s="213"/>
      <c r="I211" s="213"/>
      <c r="J211" s="213"/>
      <c r="K211" s="213"/>
      <c r="L211" s="213"/>
      <c r="N211" s="525"/>
      <c r="O211" s="525"/>
      <c r="P211" s="525"/>
      <c r="Q211" s="58"/>
      <c r="R211" s="58"/>
      <c r="S211" s="58"/>
    </row>
    <row r="212" spans="2:19" x14ac:dyDescent="0.2">
      <c r="B212" s="213"/>
      <c r="C212" s="213"/>
      <c r="D212" s="213"/>
      <c r="E212" s="213"/>
      <c r="F212" s="213"/>
      <c r="G212" s="525"/>
      <c r="H212" s="213"/>
      <c r="I212" s="213"/>
      <c r="J212" s="213"/>
      <c r="K212" s="213"/>
      <c r="L212" s="213"/>
      <c r="N212" s="525"/>
      <c r="O212" s="525"/>
      <c r="P212" s="525"/>
      <c r="Q212" s="58"/>
      <c r="R212" s="58"/>
      <c r="S212" s="58"/>
    </row>
    <row r="213" spans="2:19" x14ac:dyDescent="0.2">
      <c r="B213" s="213"/>
      <c r="C213" s="213"/>
      <c r="D213" s="213"/>
      <c r="E213" s="213"/>
      <c r="F213" s="213"/>
      <c r="G213" s="525"/>
      <c r="H213" s="213"/>
      <c r="I213" s="213"/>
      <c r="J213" s="213"/>
      <c r="K213" s="213"/>
      <c r="L213" s="213"/>
      <c r="N213" s="525"/>
      <c r="O213" s="525"/>
      <c r="P213" s="525"/>
      <c r="Q213" s="58"/>
      <c r="R213" s="58"/>
      <c r="S213" s="58"/>
    </row>
    <row r="214" spans="2:19" x14ac:dyDescent="0.2">
      <c r="B214" s="213"/>
      <c r="C214" s="213"/>
      <c r="D214" s="213"/>
      <c r="E214" s="213"/>
      <c r="F214" s="213"/>
      <c r="G214" s="525"/>
      <c r="H214" s="213"/>
      <c r="I214" s="213"/>
      <c r="J214" s="213"/>
      <c r="K214" s="213"/>
      <c r="L214" s="213"/>
      <c r="N214" s="525"/>
      <c r="O214" s="525"/>
      <c r="P214" s="525"/>
      <c r="Q214" s="58"/>
      <c r="R214" s="58"/>
      <c r="S214" s="58"/>
    </row>
    <row r="215" spans="2:19" x14ac:dyDescent="0.2">
      <c r="B215" s="213"/>
      <c r="C215" s="213"/>
      <c r="D215" s="213"/>
      <c r="E215" s="213"/>
      <c r="F215" s="213"/>
      <c r="G215" s="525"/>
      <c r="H215" s="213"/>
      <c r="I215" s="213"/>
      <c r="J215" s="213"/>
      <c r="K215" s="213"/>
      <c r="L215" s="213"/>
      <c r="N215" s="525"/>
      <c r="O215" s="525"/>
      <c r="P215" s="525"/>
      <c r="Q215" s="58"/>
      <c r="R215" s="58"/>
      <c r="S215" s="58"/>
    </row>
    <row r="216" spans="2:19" x14ac:dyDescent="0.2">
      <c r="B216" s="213"/>
      <c r="C216" s="213"/>
      <c r="D216" s="213"/>
      <c r="E216" s="213"/>
      <c r="F216" s="213"/>
      <c r="G216" s="525"/>
      <c r="H216" s="213"/>
      <c r="I216" s="213"/>
      <c r="J216" s="213"/>
      <c r="K216" s="213"/>
      <c r="L216" s="213"/>
      <c r="N216" s="525"/>
      <c r="O216" s="525"/>
      <c r="P216" s="525"/>
      <c r="Q216" s="58"/>
      <c r="R216" s="58"/>
      <c r="S216" s="58"/>
    </row>
    <row r="217" spans="2:19" x14ac:dyDescent="0.2">
      <c r="B217" s="213"/>
      <c r="C217" s="213"/>
      <c r="D217" s="213"/>
      <c r="E217" s="213"/>
      <c r="F217" s="213"/>
      <c r="G217" s="525"/>
      <c r="H217" s="213"/>
      <c r="I217" s="213"/>
      <c r="J217" s="213"/>
      <c r="K217" s="213"/>
      <c r="L217" s="213"/>
      <c r="N217" s="525"/>
      <c r="O217" s="525"/>
      <c r="P217" s="525"/>
      <c r="Q217" s="58"/>
      <c r="R217" s="58"/>
      <c r="S217" s="58"/>
    </row>
    <row r="218" spans="2:19" x14ac:dyDescent="0.2">
      <c r="B218" s="213"/>
      <c r="C218" s="213"/>
      <c r="D218" s="213"/>
      <c r="E218" s="213"/>
      <c r="F218" s="213"/>
      <c r="G218" s="525"/>
      <c r="H218" s="213"/>
      <c r="I218" s="213"/>
      <c r="J218" s="213"/>
      <c r="K218" s="213"/>
      <c r="L218" s="213"/>
      <c r="N218" s="525"/>
      <c r="O218" s="525"/>
      <c r="P218" s="525"/>
      <c r="Q218" s="58"/>
      <c r="R218" s="58"/>
      <c r="S218" s="58"/>
    </row>
    <row r="219" spans="2:19" x14ac:dyDescent="0.2">
      <c r="B219" s="213"/>
      <c r="C219" s="213"/>
      <c r="D219" s="213"/>
      <c r="E219" s="213"/>
      <c r="F219" s="213"/>
      <c r="G219" s="525"/>
      <c r="H219" s="213"/>
      <c r="I219" s="213"/>
      <c r="J219" s="213"/>
      <c r="K219" s="213"/>
      <c r="L219" s="213"/>
      <c r="N219" s="525"/>
      <c r="O219" s="525"/>
      <c r="P219" s="525"/>
      <c r="Q219" s="58"/>
      <c r="R219" s="58"/>
      <c r="S219" s="58"/>
    </row>
    <row r="220" spans="2:19" x14ac:dyDescent="0.2">
      <c r="B220" s="213"/>
      <c r="C220" s="213"/>
      <c r="D220" s="213"/>
      <c r="E220" s="213"/>
      <c r="F220" s="213"/>
      <c r="G220" s="525"/>
      <c r="H220" s="213"/>
      <c r="I220" s="213"/>
      <c r="J220" s="213"/>
      <c r="K220" s="213"/>
      <c r="L220" s="213"/>
      <c r="N220" s="525"/>
      <c r="O220" s="525"/>
      <c r="P220" s="525"/>
      <c r="Q220" s="58"/>
      <c r="R220" s="58"/>
      <c r="S220" s="58"/>
    </row>
    <row r="221" spans="2:19" x14ac:dyDescent="0.2">
      <c r="B221" s="213"/>
      <c r="C221" s="213"/>
      <c r="D221" s="213"/>
      <c r="E221" s="213"/>
      <c r="F221" s="213"/>
      <c r="G221" s="525"/>
      <c r="H221" s="213"/>
      <c r="I221" s="213"/>
      <c r="J221" s="213"/>
      <c r="K221" s="213"/>
      <c r="L221" s="213"/>
      <c r="N221" s="525"/>
      <c r="O221" s="525"/>
      <c r="P221" s="525"/>
      <c r="Q221" s="58"/>
      <c r="R221" s="58"/>
      <c r="S221" s="58"/>
    </row>
    <row r="222" spans="2:19" x14ac:dyDescent="0.2">
      <c r="B222" s="213"/>
      <c r="C222" s="213"/>
      <c r="D222" s="213"/>
      <c r="E222" s="213"/>
      <c r="F222" s="213"/>
      <c r="G222" s="525"/>
      <c r="H222" s="213"/>
      <c r="I222" s="213"/>
      <c r="J222" s="213"/>
      <c r="K222" s="213"/>
      <c r="L222" s="213"/>
      <c r="N222" s="525"/>
      <c r="O222" s="525"/>
      <c r="P222" s="525"/>
      <c r="Q222" s="58"/>
      <c r="R222" s="58"/>
      <c r="S222" s="58"/>
    </row>
    <row r="223" spans="2:19" x14ac:dyDescent="0.2">
      <c r="B223" s="213"/>
      <c r="C223" s="213"/>
      <c r="D223" s="213"/>
      <c r="E223" s="213"/>
      <c r="F223" s="213"/>
      <c r="G223" s="525"/>
      <c r="H223" s="213"/>
      <c r="I223" s="213"/>
      <c r="J223" s="213"/>
      <c r="K223" s="213"/>
      <c r="L223" s="213"/>
      <c r="N223" s="525"/>
      <c r="O223" s="525"/>
      <c r="P223" s="525"/>
      <c r="Q223" s="58"/>
      <c r="R223" s="58"/>
      <c r="S223" s="58"/>
    </row>
    <row r="224" spans="2:19" x14ac:dyDescent="0.2">
      <c r="B224" s="213"/>
      <c r="C224" s="213"/>
      <c r="D224" s="213"/>
      <c r="E224" s="213"/>
      <c r="F224" s="213"/>
      <c r="G224" s="525"/>
      <c r="H224" s="213"/>
      <c r="I224" s="213"/>
      <c r="J224" s="213"/>
      <c r="K224" s="213"/>
      <c r="L224" s="213"/>
      <c r="N224" s="525"/>
      <c r="O224" s="525"/>
      <c r="P224" s="525"/>
      <c r="Q224" s="58"/>
      <c r="R224" s="58"/>
      <c r="S224" s="58"/>
    </row>
    <row r="225" spans="2:19" x14ac:dyDescent="0.2">
      <c r="B225" s="213"/>
      <c r="C225" s="213"/>
      <c r="D225" s="213"/>
      <c r="E225" s="213"/>
      <c r="F225" s="213"/>
      <c r="G225" s="525"/>
      <c r="H225" s="213"/>
      <c r="I225" s="213"/>
      <c r="J225" s="213"/>
      <c r="K225" s="213"/>
      <c r="L225" s="213"/>
      <c r="N225" s="525"/>
      <c r="O225" s="525"/>
      <c r="P225" s="525"/>
      <c r="Q225" s="58"/>
      <c r="R225" s="58"/>
      <c r="S225" s="58"/>
    </row>
    <row r="226" spans="2:19" x14ac:dyDescent="0.2">
      <c r="B226" s="213"/>
      <c r="C226" s="213"/>
      <c r="D226" s="213"/>
      <c r="E226" s="213"/>
      <c r="F226" s="213"/>
      <c r="G226" s="525"/>
      <c r="H226" s="213"/>
      <c r="I226" s="213"/>
      <c r="J226" s="213"/>
      <c r="K226" s="213"/>
      <c r="L226" s="213"/>
      <c r="N226" s="525"/>
      <c r="O226" s="525"/>
      <c r="P226" s="525"/>
      <c r="Q226" s="58"/>
      <c r="R226" s="58"/>
      <c r="S226" s="58"/>
    </row>
    <row r="227" spans="2:19" x14ac:dyDescent="0.2">
      <c r="B227" s="213"/>
      <c r="C227" s="213"/>
      <c r="D227" s="213"/>
      <c r="E227" s="213"/>
      <c r="F227" s="213"/>
      <c r="G227" s="525"/>
      <c r="H227" s="213"/>
      <c r="I227" s="213"/>
      <c r="J227" s="213"/>
      <c r="K227" s="213"/>
      <c r="L227" s="213"/>
      <c r="N227" s="525"/>
      <c r="O227" s="525"/>
      <c r="P227" s="525"/>
      <c r="Q227" s="58"/>
      <c r="R227" s="58"/>
      <c r="S227" s="58"/>
    </row>
    <row r="228" spans="2:19" x14ac:dyDescent="0.2">
      <c r="B228" s="213"/>
      <c r="C228" s="213"/>
      <c r="D228" s="213"/>
      <c r="E228" s="213"/>
      <c r="F228" s="213"/>
      <c r="G228" s="525"/>
      <c r="H228" s="213"/>
      <c r="I228" s="213"/>
      <c r="J228" s="213"/>
      <c r="K228" s="213"/>
      <c r="L228" s="213"/>
      <c r="N228" s="525"/>
      <c r="O228" s="525"/>
      <c r="P228" s="525"/>
      <c r="Q228" s="58"/>
      <c r="R228" s="58"/>
      <c r="S228" s="58"/>
    </row>
    <row r="229" spans="2:19" x14ac:dyDescent="0.2">
      <c r="B229" s="213"/>
      <c r="C229" s="213"/>
      <c r="D229" s="213"/>
      <c r="E229" s="213"/>
      <c r="F229" s="213"/>
      <c r="G229" s="525"/>
      <c r="H229" s="213"/>
      <c r="I229" s="213"/>
      <c r="J229" s="213"/>
      <c r="K229" s="213"/>
      <c r="L229" s="213"/>
      <c r="N229" s="525"/>
      <c r="O229" s="525"/>
      <c r="P229" s="525"/>
      <c r="Q229" s="58"/>
      <c r="R229" s="58"/>
      <c r="S229" s="58"/>
    </row>
    <row r="230" spans="2:19" x14ac:dyDescent="0.2">
      <c r="B230" s="213"/>
      <c r="C230" s="213"/>
      <c r="D230" s="213"/>
      <c r="E230" s="213"/>
      <c r="F230" s="213"/>
      <c r="G230" s="525"/>
      <c r="H230" s="213"/>
      <c r="I230" s="213"/>
      <c r="J230" s="213"/>
      <c r="K230" s="213"/>
      <c r="L230" s="213"/>
      <c r="N230" s="525"/>
      <c r="O230" s="525"/>
      <c r="P230" s="525"/>
      <c r="Q230" s="58"/>
      <c r="R230" s="58"/>
      <c r="S230" s="58"/>
    </row>
    <row r="231" spans="2:19" x14ac:dyDescent="0.2">
      <c r="B231" s="213"/>
      <c r="C231" s="213"/>
      <c r="D231" s="213"/>
      <c r="E231" s="213"/>
      <c r="F231" s="213"/>
      <c r="G231" s="525"/>
      <c r="H231" s="213"/>
      <c r="I231" s="213"/>
      <c r="J231" s="213"/>
      <c r="K231" s="213"/>
      <c r="L231" s="213"/>
      <c r="N231" s="525"/>
      <c r="O231" s="525"/>
      <c r="P231" s="525"/>
      <c r="Q231" s="58"/>
      <c r="R231" s="58"/>
      <c r="S231" s="58"/>
    </row>
    <row r="232" spans="2:19" x14ac:dyDescent="0.2">
      <c r="B232" s="213"/>
      <c r="C232" s="213"/>
      <c r="D232" s="213"/>
      <c r="E232" s="213"/>
      <c r="F232" s="213"/>
      <c r="G232" s="525"/>
      <c r="H232" s="213"/>
      <c r="I232" s="213"/>
      <c r="J232" s="213"/>
      <c r="K232" s="213"/>
      <c r="L232" s="213"/>
      <c r="N232" s="525"/>
      <c r="O232" s="525"/>
      <c r="P232" s="525"/>
      <c r="Q232" s="58"/>
      <c r="R232" s="58"/>
      <c r="S232" s="58"/>
    </row>
    <row r="233" spans="2:19" x14ac:dyDescent="0.2">
      <c r="B233" s="213"/>
      <c r="C233" s="213"/>
      <c r="D233" s="213"/>
      <c r="E233" s="213"/>
      <c r="F233" s="213"/>
      <c r="G233" s="525"/>
      <c r="H233" s="213"/>
      <c r="I233" s="213"/>
      <c r="J233" s="213"/>
      <c r="K233" s="213"/>
      <c r="L233" s="213"/>
      <c r="N233" s="525"/>
      <c r="O233" s="525"/>
      <c r="P233" s="525"/>
      <c r="Q233" s="58"/>
      <c r="R233" s="58"/>
      <c r="S233" s="58"/>
    </row>
    <row r="234" spans="2:19" x14ac:dyDescent="0.2">
      <c r="B234" s="213"/>
      <c r="C234" s="213"/>
      <c r="D234" s="213"/>
      <c r="E234" s="213"/>
      <c r="F234" s="213"/>
      <c r="G234" s="525"/>
      <c r="H234" s="213"/>
      <c r="I234" s="213"/>
      <c r="J234" s="213"/>
      <c r="K234" s="213"/>
      <c r="L234" s="213"/>
      <c r="N234" s="525"/>
      <c r="O234" s="525"/>
      <c r="P234" s="525"/>
      <c r="Q234" s="58"/>
      <c r="R234" s="58"/>
      <c r="S234" s="58"/>
    </row>
    <row r="235" spans="2:19" x14ac:dyDescent="0.2">
      <c r="B235" s="213"/>
      <c r="C235" s="213"/>
      <c r="D235" s="213"/>
      <c r="E235" s="213"/>
      <c r="F235" s="213"/>
      <c r="G235" s="525"/>
      <c r="H235" s="213"/>
      <c r="I235" s="213"/>
      <c r="J235" s="213"/>
      <c r="K235" s="213"/>
      <c r="L235" s="213"/>
      <c r="N235" s="525"/>
      <c r="O235" s="525"/>
      <c r="P235" s="525"/>
      <c r="Q235" s="58"/>
      <c r="R235" s="58"/>
      <c r="S235" s="58"/>
    </row>
    <row r="236" spans="2:19" x14ac:dyDescent="0.2">
      <c r="B236" s="213"/>
      <c r="C236" s="213"/>
      <c r="D236" s="213"/>
      <c r="E236" s="213"/>
      <c r="F236" s="213"/>
      <c r="G236" s="525"/>
      <c r="H236" s="213"/>
      <c r="I236" s="213"/>
      <c r="J236" s="213"/>
      <c r="K236" s="213"/>
      <c r="L236" s="213"/>
      <c r="N236" s="525"/>
      <c r="O236" s="525"/>
      <c r="P236" s="525"/>
      <c r="Q236" s="58"/>
      <c r="R236" s="58"/>
      <c r="S236" s="58"/>
    </row>
    <row r="237" spans="2:19" x14ac:dyDescent="0.2">
      <c r="B237" s="213"/>
      <c r="C237" s="213"/>
      <c r="D237" s="213"/>
      <c r="E237" s="213"/>
      <c r="F237" s="213"/>
      <c r="G237" s="525"/>
      <c r="H237" s="213"/>
      <c r="I237" s="213"/>
      <c r="J237" s="213"/>
      <c r="K237" s="213"/>
      <c r="L237" s="213"/>
      <c r="N237" s="525"/>
      <c r="O237" s="525"/>
      <c r="P237" s="525"/>
      <c r="Q237" s="58"/>
      <c r="R237" s="58"/>
      <c r="S237" s="58"/>
    </row>
    <row r="238" spans="2:19" x14ac:dyDescent="0.2">
      <c r="B238" s="213"/>
      <c r="C238" s="213"/>
      <c r="D238" s="213"/>
      <c r="E238" s="213"/>
      <c r="F238" s="213"/>
      <c r="G238" s="525"/>
      <c r="H238" s="213"/>
      <c r="I238" s="213"/>
      <c r="J238" s="213"/>
      <c r="K238" s="213"/>
      <c r="L238" s="213"/>
      <c r="N238" s="525"/>
      <c r="O238" s="525"/>
      <c r="P238" s="525"/>
      <c r="Q238" s="58"/>
      <c r="R238" s="58"/>
      <c r="S238" s="58"/>
    </row>
    <row r="239" spans="2:19" x14ac:dyDescent="0.2">
      <c r="B239" s="213"/>
      <c r="C239" s="213"/>
      <c r="D239" s="213"/>
      <c r="E239" s="213"/>
      <c r="F239" s="213"/>
      <c r="G239" s="525"/>
      <c r="H239" s="213"/>
      <c r="I239" s="213"/>
      <c r="J239" s="213"/>
      <c r="K239" s="213"/>
      <c r="L239" s="213"/>
      <c r="N239" s="525"/>
      <c r="O239" s="525"/>
      <c r="P239" s="525"/>
      <c r="Q239" s="58"/>
      <c r="R239" s="58"/>
      <c r="S239" s="58"/>
    </row>
    <row r="240" spans="2:19" x14ac:dyDescent="0.2">
      <c r="B240" s="213"/>
      <c r="C240" s="213"/>
      <c r="D240" s="213"/>
      <c r="E240" s="213"/>
      <c r="F240" s="213"/>
      <c r="G240" s="525"/>
      <c r="H240" s="213"/>
      <c r="I240" s="213"/>
      <c r="J240" s="213"/>
      <c r="K240" s="213"/>
      <c r="L240" s="213"/>
      <c r="N240" s="525"/>
      <c r="O240" s="525"/>
      <c r="P240" s="525"/>
      <c r="Q240" s="58"/>
      <c r="R240" s="58"/>
      <c r="S240" s="58"/>
    </row>
    <row r="241" spans="2:19" x14ac:dyDescent="0.2">
      <c r="B241" s="213"/>
      <c r="C241" s="213"/>
      <c r="D241" s="213"/>
      <c r="E241" s="213"/>
      <c r="F241" s="213"/>
      <c r="G241" s="525"/>
      <c r="H241" s="213"/>
      <c r="I241" s="213"/>
      <c r="J241" s="213"/>
      <c r="K241" s="213"/>
      <c r="L241" s="213"/>
      <c r="N241" s="525"/>
      <c r="O241" s="525"/>
      <c r="P241" s="525"/>
      <c r="Q241" s="58"/>
      <c r="R241" s="58"/>
      <c r="S241" s="58"/>
    </row>
    <row r="242" spans="2:19" x14ac:dyDescent="0.2">
      <c r="B242" s="213"/>
      <c r="C242" s="213"/>
      <c r="D242" s="213"/>
      <c r="E242" s="213"/>
      <c r="F242" s="213"/>
      <c r="G242" s="525"/>
      <c r="H242" s="213"/>
      <c r="I242" s="213"/>
      <c r="J242" s="213"/>
      <c r="K242" s="213"/>
      <c r="L242" s="213"/>
      <c r="N242" s="525"/>
      <c r="O242" s="525"/>
      <c r="P242" s="525"/>
      <c r="Q242" s="58"/>
      <c r="R242" s="58"/>
      <c r="S242" s="58"/>
    </row>
    <row r="243" spans="2:19" x14ac:dyDescent="0.2">
      <c r="B243" s="213"/>
      <c r="C243" s="213"/>
      <c r="D243" s="213"/>
      <c r="E243" s="213"/>
      <c r="F243" s="213"/>
      <c r="G243" s="525"/>
      <c r="H243" s="213"/>
      <c r="I243" s="213"/>
      <c r="J243" s="213"/>
      <c r="K243" s="213"/>
      <c r="L243" s="213"/>
      <c r="N243" s="525"/>
      <c r="O243" s="525"/>
      <c r="P243" s="525"/>
      <c r="Q243" s="58"/>
      <c r="R243" s="58"/>
      <c r="S243" s="58"/>
    </row>
    <row r="244" spans="2:19" x14ac:dyDescent="0.2">
      <c r="B244" s="213"/>
      <c r="C244" s="213"/>
      <c r="D244" s="213"/>
      <c r="E244" s="213"/>
      <c r="F244" s="213"/>
      <c r="G244" s="525"/>
      <c r="H244" s="213"/>
      <c r="I244" s="213"/>
      <c r="J244" s="213"/>
      <c r="K244" s="213"/>
      <c r="L244" s="213"/>
      <c r="N244" s="525"/>
      <c r="O244" s="525"/>
      <c r="P244" s="525"/>
      <c r="Q244" s="58"/>
      <c r="R244" s="58"/>
      <c r="S244" s="58"/>
    </row>
    <row r="245" spans="2:19" x14ac:dyDescent="0.2">
      <c r="B245" s="213"/>
      <c r="C245" s="213"/>
      <c r="D245" s="213"/>
      <c r="E245" s="213"/>
      <c r="F245" s="213"/>
      <c r="G245" s="525"/>
      <c r="H245" s="213"/>
      <c r="I245" s="213"/>
      <c r="J245" s="213"/>
      <c r="K245" s="213"/>
      <c r="L245" s="213"/>
      <c r="N245" s="525"/>
      <c r="O245" s="525"/>
      <c r="P245" s="525"/>
      <c r="Q245" s="58"/>
      <c r="R245" s="58"/>
      <c r="S245" s="58"/>
    </row>
    <row r="246" spans="2:19" x14ac:dyDescent="0.2">
      <c r="B246" s="213"/>
      <c r="C246" s="213"/>
      <c r="D246" s="213"/>
      <c r="E246" s="213"/>
      <c r="F246" s="213"/>
      <c r="G246" s="525"/>
      <c r="H246" s="213"/>
      <c r="I246" s="213"/>
      <c r="J246" s="213"/>
      <c r="K246" s="213"/>
      <c r="L246" s="213"/>
      <c r="N246" s="525"/>
      <c r="O246" s="525"/>
      <c r="P246" s="525"/>
      <c r="Q246" s="58"/>
      <c r="R246" s="58"/>
      <c r="S246" s="58"/>
    </row>
    <row r="247" spans="2:19" x14ac:dyDescent="0.2">
      <c r="B247" s="213"/>
      <c r="C247" s="213"/>
      <c r="D247" s="213"/>
      <c r="E247" s="213"/>
      <c r="F247" s="213"/>
      <c r="G247" s="525"/>
      <c r="H247" s="213"/>
      <c r="I247" s="213"/>
      <c r="J247" s="213"/>
      <c r="K247" s="213"/>
      <c r="L247" s="213"/>
      <c r="N247" s="525"/>
      <c r="O247" s="525"/>
      <c r="P247" s="525"/>
      <c r="Q247" s="58"/>
      <c r="R247" s="58"/>
      <c r="S247" s="58"/>
    </row>
    <row r="248" spans="2:19" x14ac:dyDescent="0.2">
      <c r="B248" s="213"/>
      <c r="C248" s="213"/>
      <c r="D248" s="213"/>
      <c r="E248" s="213"/>
      <c r="F248" s="213"/>
      <c r="G248" s="525"/>
      <c r="H248" s="213"/>
      <c r="I248" s="213"/>
      <c r="J248" s="213"/>
      <c r="K248" s="213"/>
      <c r="L248" s="213"/>
      <c r="N248" s="525"/>
      <c r="O248" s="525"/>
      <c r="P248" s="525"/>
      <c r="Q248" s="58"/>
      <c r="R248" s="58"/>
      <c r="S248" s="58"/>
    </row>
    <row r="249" spans="2:19" x14ac:dyDescent="0.2">
      <c r="B249" s="213"/>
      <c r="C249" s="213"/>
      <c r="D249" s="213"/>
      <c r="E249" s="213"/>
      <c r="F249" s="213"/>
      <c r="G249" s="525"/>
      <c r="H249" s="213"/>
      <c r="I249" s="213"/>
      <c r="J249" s="213"/>
      <c r="K249" s="213"/>
      <c r="L249" s="213"/>
      <c r="N249" s="525"/>
      <c r="O249" s="525"/>
      <c r="P249" s="525"/>
      <c r="Q249" s="58"/>
      <c r="R249" s="58"/>
      <c r="S249" s="58"/>
    </row>
    <row r="250" spans="2:19" x14ac:dyDescent="0.2">
      <c r="B250" s="213"/>
      <c r="C250" s="213"/>
      <c r="D250" s="213"/>
      <c r="E250" s="213"/>
      <c r="F250" s="213"/>
      <c r="G250" s="525"/>
      <c r="H250" s="213"/>
      <c r="I250" s="213"/>
      <c r="J250" s="213"/>
      <c r="K250" s="213"/>
      <c r="L250" s="213"/>
      <c r="N250" s="525"/>
      <c r="O250" s="525"/>
      <c r="P250" s="525"/>
      <c r="Q250" s="58"/>
      <c r="R250" s="58"/>
      <c r="S250" s="58"/>
    </row>
    <row r="251" spans="2:19" x14ac:dyDescent="0.2">
      <c r="B251" s="213"/>
      <c r="C251" s="213"/>
      <c r="D251" s="213"/>
      <c r="E251" s="213"/>
      <c r="F251" s="213"/>
      <c r="G251" s="525"/>
      <c r="H251" s="213"/>
      <c r="I251" s="213"/>
      <c r="J251" s="213"/>
      <c r="K251" s="213"/>
      <c r="L251" s="213"/>
      <c r="N251" s="525"/>
      <c r="O251" s="525"/>
      <c r="P251" s="525"/>
      <c r="Q251" s="58"/>
      <c r="R251" s="58"/>
      <c r="S251" s="58"/>
    </row>
    <row r="252" spans="2:19" x14ac:dyDescent="0.2">
      <c r="B252" s="213"/>
      <c r="C252" s="213"/>
      <c r="D252" s="213"/>
      <c r="E252" s="213"/>
      <c r="F252" s="213"/>
      <c r="G252" s="525"/>
      <c r="H252" s="213"/>
      <c r="I252" s="213"/>
      <c r="J252" s="213"/>
      <c r="K252" s="213"/>
      <c r="L252" s="213"/>
      <c r="N252" s="525"/>
      <c r="O252" s="525"/>
      <c r="P252" s="525"/>
      <c r="Q252" s="58"/>
      <c r="R252" s="58"/>
      <c r="S252" s="58"/>
    </row>
    <row r="253" spans="2:19" x14ac:dyDescent="0.2">
      <c r="B253" s="213"/>
      <c r="C253" s="213"/>
      <c r="D253" s="213"/>
      <c r="E253" s="213"/>
      <c r="F253" s="213"/>
      <c r="G253" s="525"/>
      <c r="H253" s="213"/>
      <c r="I253" s="213"/>
      <c r="J253" s="213"/>
      <c r="K253" s="213"/>
      <c r="L253" s="213"/>
      <c r="N253" s="525"/>
      <c r="O253" s="525"/>
      <c r="P253" s="525"/>
      <c r="Q253" s="58"/>
      <c r="R253" s="58"/>
      <c r="S253" s="58"/>
    </row>
    <row r="254" spans="2:19" x14ac:dyDescent="0.2">
      <c r="B254" s="213"/>
      <c r="C254" s="213"/>
      <c r="D254" s="213"/>
      <c r="E254" s="213"/>
      <c r="F254" s="213"/>
      <c r="G254" s="525"/>
      <c r="H254" s="213"/>
      <c r="I254" s="213"/>
      <c r="J254" s="213"/>
      <c r="K254" s="213"/>
      <c r="L254" s="213"/>
      <c r="N254" s="525"/>
      <c r="O254" s="525"/>
      <c r="P254" s="525"/>
      <c r="Q254" s="58"/>
      <c r="R254" s="58"/>
      <c r="S254" s="58"/>
    </row>
    <row r="255" spans="2:19" x14ac:dyDescent="0.2">
      <c r="B255" s="213"/>
      <c r="C255" s="213"/>
      <c r="D255" s="213"/>
      <c r="E255" s="213"/>
      <c r="F255" s="213"/>
      <c r="G255" s="525"/>
      <c r="H255" s="213"/>
      <c r="I255" s="213"/>
      <c r="J255" s="213"/>
      <c r="K255" s="213"/>
      <c r="L255" s="213"/>
      <c r="N255" s="525"/>
      <c r="O255" s="525"/>
      <c r="P255" s="525"/>
      <c r="Q255" s="58"/>
      <c r="R255" s="58"/>
      <c r="S255" s="58"/>
    </row>
    <row r="256" spans="2:19" x14ac:dyDescent="0.2">
      <c r="B256" s="213"/>
      <c r="C256" s="213"/>
      <c r="D256" s="213"/>
      <c r="E256" s="213"/>
      <c r="F256" s="213"/>
      <c r="G256" s="525"/>
      <c r="H256" s="213"/>
      <c r="I256" s="213"/>
      <c r="J256" s="213"/>
      <c r="K256" s="213"/>
      <c r="L256" s="213"/>
      <c r="N256" s="525"/>
      <c r="O256" s="525"/>
      <c r="P256" s="525"/>
      <c r="Q256" s="58"/>
      <c r="R256" s="58"/>
      <c r="S256" s="58"/>
    </row>
    <row r="257" spans="2:19" x14ac:dyDescent="0.2">
      <c r="B257" s="213"/>
      <c r="C257" s="213"/>
      <c r="D257" s="213"/>
      <c r="E257" s="213"/>
      <c r="F257" s="213"/>
      <c r="G257" s="525"/>
      <c r="H257" s="213"/>
      <c r="I257" s="213"/>
      <c r="J257" s="213"/>
      <c r="K257" s="213"/>
      <c r="L257" s="213"/>
      <c r="N257" s="525"/>
      <c r="O257" s="525"/>
      <c r="P257" s="525"/>
      <c r="Q257" s="58"/>
      <c r="R257" s="58"/>
      <c r="S257" s="58"/>
    </row>
    <row r="258" spans="2:19" x14ac:dyDescent="0.2">
      <c r="B258" s="213"/>
      <c r="C258" s="213"/>
      <c r="D258" s="213"/>
      <c r="E258" s="213"/>
      <c r="F258" s="213"/>
      <c r="G258" s="525"/>
      <c r="H258" s="213"/>
      <c r="I258" s="213"/>
      <c r="J258" s="213"/>
      <c r="K258" s="213"/>
      <c r="L258" s="213"/>
      <c r="N258" s="525"/>
      <c r="O258" s="525"/>
      <c r="P258" s="525"/>
      <c r="Q258" s="58"/>
      <c r="R258" s="58"/>
      <c r="S258" s="58"/>
    </row>
    <row r="259" spans="2:19" x14ac:dyDescent="0.2">
      <c r="B259" s="213"/>
      <c r="C259" s="213"/>
      <c r="D259" s="213"/>
      <c r="E259" s="213"/>
      <c r="F259" s="213"/>
      <c r="G259" s="525"/>
      <c r="H259" s="213"/>
      <c r="I259" s="213"/>
      <c r="J259" s="213"/>
      <c r="K259" s="213"/>
      <c r="L259" s="213"/>
      <c r="N259" s="525"/>
      <c r="O259" s="525"/>
      <c r="P259" s="525"/>
      <c r="Q259" s="58"/>
      <c r="R259" s="58"/>
      <c r="S259" s="58"/>
    </row>
    <row r="260" spans="2:19" x14ac:dyDescent="0.2">
      <c r="B260" s="213"/>
      <c r="C260" s="213"/>
      <c r="D260" s="213"/>
      <c r="E260" s="213"/>
      <c r="F260" s="213"/>
      <c r="G260" s="525"/>
      <c r="H260" s="213"/>
      <c r="I260" s="213"/>
      <c r="J260" s="213"/>
      <c r="K260" s="213"/>
      <c r="L260" s="213"/>
      <c r="N260" s="525"/>
      <c r="O260" s="525"/>
      <c r="P260" s="525"/>
      <c r="Q260" s="58"/>
      <c r="R260" s="58"/>
      <c r="S260" s="58"/>
    </row>
    <row r="261" spans="2:19" x14ac:dyDescent="0.2">
      <c r="B261" s="213"/>
      <c r="C261" s="213"/>
      <c r="D261" s="213"/>
      <c r="E261" s="213"/>
      <c r="F261" s="213"/>
      <c r="G261" s="525"/>
      <c r="H261" s="213"/>
      <c r="I261" s="213"/>
      <c r="J261" s="213"/>
      <c r="K261" s="213"/>
      <c r="L261" s="213"/>
      <c r="N261" s="525"/>
      <c r="O261" s="525"/>
      <c r="P261" s="525"/>
      <c r="Q261" s="58"/>
      <c r="R261" s="58"/>
      <c r="S261" s="58"/>
    </row>
    <row r="262" spans="2:19" x14ac:dyDescent="0.2">
      <c r="B262" s="213"/>
      <c r="C262" s="213"/>
      <c r="D262" s="213"/>
      <c r="E262" s="213"/>
      <c r="F262" s="213"/>
      <c r="G262" s="525"/>
      <c r="H262" s="213"/>
      <c r="I262" s="213"/>
      <c r="J262" s="213"/>
      <c r="K262" s="213"/>
      <c r="L262" s="213"/>
      <c r="N262" s="525"/>
      <c r="O262" s="525"/>
      <c r="P262" s="525"/>
      <c r="Q262" s="58"/>
      <c r="R262" s="58"/>
      <c r="S262" s="58"/>
    </row>
    <row r="263" spans="2:19" x14ac:dyDescent="0.2">
      <c r="B263" s="213"/>
      <c r="C263" s="213"/>
      <c r="D263" s="213"/>
      <c r="E263" s="213"/>
      <c r="F263" s="213"/>
      <c r="G263" s="525"/>
      <c r="H263" s="213"/>
      <c r="I263" s="213"/>
      <c r="J263" s="213"/>
      <c r="K263" s="213"/>
      <c r="L263" s="213"/>
      <c r="N263" s="525"/>
      <c r="O263" s="525"/>
      <c r="P263" s="525"/>
      <c r="Q263" s="58"/>
      <c r="R263" s="58"/>
      <c r="S263" s="58"/>
    </row>
    <row r="264" spans="2:19" x14ac:dyDescent="0.2">
      <c r="B264" s="213"/>
      <c r="C264" s="213"/>
      <c r="D264" s="213"/>
      <c r="E264" s="213"/>
      <c r="F264" s="213"/>
      <c r="G264" s="525"/>
      <c r="H264" s="213"/>
      <c r="I264" s="213"/>
      <c r="J264" s="213"/>
      <c r="K264" s="213"/>
      <c r="L264" s="213"/>
      <c r="N264" s="525"/>
      <c r="O264" s="525"/>
      <c r="P264" s="525"/>
      <c r="Q264" s="58"/>
      <c r="R264" s="58"/>
      <c r="S264" s="58"/>
    </row>
    <row r="265" spans="2:19" x14ac:dyDescent="0.2">
      <c r="B265" s="213"/>
      <c r="C265" s="213"/>
      <c r="D265" s="213"/>
      <c r="E265" s="213"/>
      <c r="F265" s="213"/>
      <c r="G265" s="525"/>
      <c r="H265" s="213"/>
      <c r="I265" s="213"/>
      <c r="J265" s="213"/>
      <c r="K265" s="213"/>
      <c r="L265" s="213"/>
      <c r="N265" s="525"/>
      <c r="O265" s="525"/>
      <c r="P265" s="525"/>
      <c r="Q265" s="58"/>
      <c r="R265" s="58"/>
      <c r="S265" s="58"/>
    </row>
    <row r="266" spans="2:19" x14ac:dyDescent="0.2">
      <c r="B266" s="213"/>
      <c r="C266" s="213"/>
      <c r="D266" s="213"/>
      <c r="E266" s="213"/>
      <c r="F266" s="213"/>
      <c r="G266" s="525"/>
      <c r="H266" s="213"/>
      <c r="I266" s="213"/>
      <c r="J266" s="213"/>
      <c r="K266" s="213"/>
      <c r="L266" s="213"/>
      <c r="N266" s="525"/>
      <c r="O266" s="525"/>
      <c r="P266" s="525"/>
      <c r="Q266" s="58"/>
      <c r="R266" s="58"/>
      <c r="S266" s="58"/>
    </row>
    <row r="267" spans="2:19" x14ac:dyDescent="0.2">
      <c r="B267" s="213"/>
      <c r="C267" s="213"/>
      <c r="D267" s="213"/>
      <c r="E267" s="213"/>
      <c r="F267" s="213"/>
      <c r="G267" s="525"/>
      <c r="H267" s="213"/>
      <c r="I267" s="213"/>
      <c r="J267" s="213"/>
      <c r="K267" s="213"/>
      <c r="L267" s="213"/>
      <c r="N267" s="525"/>
      <c r="O267" s="525"/>
      <c r="P267" s="525"/>
      <c r="Q267" s="58"/>
      <c r="R267" s="58"/>
      <c r="S267" s="58"/>
    </row>
    <row r="268" spans="2:19" x14ac:dyDescent="0.2">
      <c r="B268" s="213"/>
      <c r="C268" s="213"/>
      <c r="D268" s="213"/>
      <c r="E268" s="213"/>
      <c r="F268" s="213"/>
      <c r="G268" s="525"/>
      <c r="H268" s="213"/>
      <c r="I268" s="213"/>
      <c r="J268" s="213"/>
      <c r="K268" s="213"/>
      <c r="L268" s="213"/>
      <c r="N268" s="525"/>
      <c r="O268" s="525"/>
      <c r="P268" s="525"/>
      <c r="Q268" s="58"/>
      <c r="R268" s="58"/>
      <c r="S268" s="58"/>
    </row>
    <row r="269" spans="2:19" x14ac:dyDescent="0.2">
      <c r="B269" s="213"/>
      <c r="C269" s="213"/>
      <c r="D269" s="213"/>
      <c r="E269" s="213"/>
      <c r="F269" s="213"/>
      <c r="G269" s="525"/>
      <c r="H269" s="213"/>
      <c r="I269" s="213"/>
      <c r="J269" s="213"/>
      <c r="K269" s="213"/>
      <c r="L269" s="213"/>
      <c r="N269" s="525"/>
      <c r="O269" s="525"/>
      <c r="P269" s="525"/>
      <c r="Q269" s="58"/>
      <c r="R269" s="58"/>
      <c r="S269" s="58"/>
    </row>
    <row r="270" spans="2:19" x14ac:dyDescent="0.2">
      <c r="B270" s="213"/>
      <c r="C270" s="213"/>
      <c r="D270" s="213"/>
      <c r="E270" s="213"/>
      <c r="F270" s="213"/>
      <c r="G270" s="525"/>
      <c r="H270" s="213"/>
      <c r="I270" s="213"/>
      <c r="J270" s="213"/>
      <c r="K270" s="213"/>
      <c r="L270" s="213"/>
      <c r="N270" s="525"/>
      <c r="O270" s="525"/>
      <c r="P270" s="525"/>
      <c r="Q270" s="58"/>
      <c r="R270" s="58"/>
      <c r="S270" s="58"/>
    </row>
    <row r="271" spans="2:19" x14ac:dyDescent="0.2">
      <c r="B271" s="213"/>
      <c r="C271" s="213"/>
      <c r="D271" s="213"/>
      <c r="E271" s="213"/>
      <c r="F271" s="213"/>
      <c r="G271" s="525"/>
      <c r="H271" s="213"/>
      <c r="I271" s="213"/>
      <c r="J271" s="213"/>
      <c r="K271" s="213"/>
      <c r="L271" s="213"/>
      <c r="N271" s="525"/>
      <c r="O271" s="525"/>
      <c r="P271" s="525"/>
      <c r="Q271" s="58"/>
      <c r="R271" s="58"/>
      <c r="S271" s="58"/>
    </row>
    <row r="272" spans="2:19" x14ac:dyDescent="0.2">
      <c r="B272" s="213"/>
      <c r="C272" s="213"/>
      <c r="D272" s="213"/>
      <c r="E272" s="213"/>
      <c r="F272" s="213"/>
      <c r="G272" s="525"/>
      <c r="H272" s="213"/>
      <c r="I272" s="213"/>
      <c r="J272" s="213"/>
      <c r="K272" s="213"/>
      <c r="L272" s="213"/>
      <c r="N272" s="525"/>
      <c r="O272" s="525"/>
      <c r="P272" s="525"/>
      <c r="Q272" s="58"/>
      <c r="R272" s="58"/>
      <c r="S272" s="58"/>
    </row>
    <row r="273" spans="2:19" x14ac:dyDescent="0.2">
      <c r="B273" s="213"/>
      <c r="C273" s="213"/>
      <c r="D273" s="213"/>
      <c r="E273" s="213"/>
      <c r="F273" s="213"/>
      <c r="G273" s="525"/>
      <c r="H273" s="213"/>
      <c r="I273" s="213"/>
      <c r="J273" s="213"/>
      <c r="K273" s="213"/>
      <c r="L273" s="213"/>
      <c r="N273" s="525"/>
      <c r="O273" s="525"/>
      <c r="P273" s="525"/>
      <c r="Q273" s="58"/>
      <c r="R273" s="58"/>
      <c r="S273" s="58"/>
    </row>
    <row r="274" spans="2:19" x14ac:dyDescent="0.2">
      <c r="B274" s="213"/>
      <c r="C274" s="213"/>
      <c r="D274" s="213"/>
      <c r="E274" s="213"/>
      <c r="F274" s="213"/>
      <c r="G274" s="525"/>
      <c r="H274" s="213"/>
      <c r="I274" s="213"/>
      <c r="J274" s="213"/>
      <c r="K274" s="213"/>
      <c r="L274" s="213"/>
      <c r="N274" s="525"/>
      <c r="O274" s="525"/>
      <c r="P274" s="525"/>
      <c r="Q274" s="58"/>
      <c r="R274" s="58"/>
      <c r="S274" s="58"/>
    </row>
    <row r="275" spans="2:19" x14ac:dyDescent="0.2">
      <c r="B275" s="213"/>
      <c r="C275" s="213"/>
      <c r="D275" s="213"/>
      <c r="E275" s="213"/>
      <c r="F275" s="213"/>
      <c r="G275" s="525"/>
      <c r="H275" s="213"/>
      <c r="I275" s="213"/>
      <c r="J275" s="213"/>
      <c r="K275" s="213"/>
      <c r="L275" s="213"/>
      <c r="N275" s="525"/>
      <c r="O275" s="525"/>
      <c r="P275" s="525"/>
      <c r="Q275" s="58"/>
      <c r="R275" s="58"/>
      <c r="S275" s="58"/>
    </row>
    <row r="276" spans="2:19" x14ac:dyDescent="0.2">
      <c r="B276" s="213"/>
      <c r="C276" s="213"/>
      <c r="D276" s="213"/>
      <c r="E276" s="213"/>
      <c r="F276" s="213"/>
      <c r="G276" s="525"/>
      <c r="H276" s="213"/>
      <c r="I276" s="213"/>
      <c r="J276" s="213"/>
      <c r="K276" s="213"/>
      <c r="L276" s="213"/>
      <c r="N276" s="525"/>
      <c r="O276" s="525"/>
      <c r="P276" s="525"/>
      <c r="Q276" s="58"/>
      <c r="R276" s="58"/>
      <c r="S276" s="58"/>
    </row>
    <row r="277" spans="2:19" x14ac:dyDescent="0.2">
      <c r="B277" s="213"/>
      <c r="C277" s="213"/>
      <c r="D277" s="213"/>
      <c r="E277" s="213"/>
      <c r="F277" s="213"/>
      <c r="G277" s="525"/>
      <c r="H277" s="213"/>
      <c r="I277" s="213"/>
      <c r="J277" s="213"/>
      <c r="K277" s="213"/>
      <c r="L277" s="213"/>
      <c r="N277" s="525"/>
      <c r="O277" s="525"/>
      <c r="P277" s="525"/>
      <c r="Q277" s="58"/>
      <c r="R277" s="58"/>
      <c r="S277" s="58"/>
    </row>
    <row r="278" spans="2:19" x14ac:dyDescent="0.2">
      <c r="B278" s="213"/>
      <c r="C278" s="213"/>
      <c r="D278" s="213"/>
      <c r="E278" s="213"/>
      <c r="F278" s="213"/>
      <c r="G278" s="525"/>
      <c r="H278" s="213"/>
      <c r="I278" s="213"/>
      <c r="J278" s="213"/>
      <c r="K278" s="213"/>
      <c r="L278" s="213"/>
      <c r="N278" s="525"/>
      <c r="O278" s="525"/>
      <c r="P278" s="525"/>
      <c r="Q278" s="58"/>
      <c r="R278" s="58"/>
      <c r="S278" s="58"/>
    </row>
    <row r="279" spans="2:19" x14ac:dyDescent="0.2">
      <c r="B279" s="213"/>
      <c r="C279" s="213"/>
      <c r="D279" s="213"/>
      <c r="E279" s="213"/>
      <c r="F279" s="213"/>
      <c r="G279" s="525"/>
      <c r="H279" s="213"/>
      <c r="I279" s="213"/>
      <c r="J279" s="213"/>
      <c r="K279" s="213"/>
      <c r="L279" s="213"/>
      <c r="N279" s="525"/>
      <c r="O279" s="525"/>
      <c r="P279" s="525"/>
      <c r="Q279" s="58"/>
      <c r="R279" s="58"/>
      <c r="S279" s="58"/>
    </row>
    <row r="280" spans="2:19" x14ac:dyDescent="0.2">
      <c r="B280" s="213"/>
      <c r="C280" s="213"/>
      <c r="D280" s="213"/>
      <c r="E280" s="213"/>
      <c r="F280" s="213"/>
      <c r="G280" s="525"/>
      <c r="H280" s="213"/>
      <c r="I280" s="213"/>
      <c r="J280" s="213"/>
      <c r="K280" s="213"/>
      <c r="L280" s="213"/>
      <c r="N280" s="525"/>
      <c r="O280" s="525"/>
      <c r="P280" s="525"/>
      <c r="Q280" s="58"/>
      <c r="R280" s="58"/>
      <c r="S280" s="58"/>
    </row>
    <row r="281" spans="2:19" x14ac:dyDescent="0.2">
      <c r="B281" s="213"/>
      <c r="C281" s="213"/>
      <c r="D281" s="213"/>
      <c r="E281" s="213"/>
      <c r="F281" s="213"/>
      <c r="G281" s="525"/>
      <c r="H281" s="213"/>
      <c r="I281" s="213"/>
      <c r="J281" s="213"/>
      <c r="K281" s="213"/>
      <c r="L281" s="213"/>
      <c r="N281" s="525"/>
      <c r="O281" s="525"/>
      <c r="P281" s="525"/>
      <c r="Q281" s="58"/>
      <c r="R281" s="58"/>
      <c r="S281" s="58"/>
    </row>
    <row r="282" spans="2:19" x14ac:dyDescent="0.2">
      <c r="B282" s="213"/>
      <c r="C282" s="213"/>
      <c r="D282" s="213"/>
      <c r="E282" s="213"/>
      <c r="F282" s="213"/>
      <c r="G282" s="525"/>
      <c r="H282" s="213"/>
      <c r="I282" s="213"/>
      <c r="J282" s="213"/>
      <c r="K282" s="213"/>
      <c r="L282" s="213"/>
      <c r="N282" s="525"/>
      <c r="O282" s="525"/>
      <c r="P282" s="525"/>
      <c r="Q282" s="58"/>
      <c r="R282" s="58"/>
      <c r="S282" s="58"/>
    </row>
    <row r="283" spans="2:19" x14ac:dyDescent="0.2">
      <c r="B283" s="213"/>
      <c r="C283" s="213"/>
      <c r="D283" s="213"/>
      <c r="E283" s="213"/>
      <c r="F283" s="213"/>
      <c r="G283" s="525"/>
      <c r="H283" s="213"/>
      <c r="I283" s="213"/>
      <c r="J283" s="213"/>
      <c r="K283" s="213"/>
      <c r="L283" s="213"/>
      <c r="N283" s="525"/>
      <c r="O283" s="525"/>
      <c r="P283" s="525"/>
      <c r="Q283" s="58"/>
      <c r="R283" s="58"/>
      <c r="S283" s="58"/>
    </row>
    <row r="284" spans="2:19" x14ac:dyDescent="0.2">
      <c r="B284" s="213"/>
      <c r="C284" s="213"/>
      <c r="D284" s="213"/>
      <c r="E284" s="213"/>
      <c r="F284" s="213"/>
      <c r="G284" s="525"/>
      <c r="H284" s="213"/>
      <c r="I284" s="213"/>
      <c r="J284" s="213"/>
      <c r="K284" s="213"/>
      <c r="L284" s="213"/>
      <c r="N284" s="525"/>
      <c r="O284" s="525"/>
      <c r="P284" s="525"/>
      <c r="Q284" s="58"/>
      <c r="R284" s="58"/>
      <c r="S284" s="58"/>
    </row>
    <row r="285" spans="2:19" x14ac:dyDescent="0.2">
      <c r="B285" s="213"/>
      <c r="C285" s="213"/>
      <c r="D285" s="213"/>
      <c r="E285" s="213"/>
      <c r="F285" s="213"/>
      <c r="G285" s="525"/>
      <c r="H285" s="213"/>
      <c r="I285" s="213"/>
      <c r="J285" s="213"/>
      <c r="K285" s="213"/>
      <c r="L285" s="213"/>
      <c r="N285" s="525"/>
      <c r="O285" s="525"/>
      <c r="P285" s="525"/>
      <c r="Q285" s="58"/>
      <c r="R285" s="58"/>
      <c r="S285" s="58"/>
    </row>
    <row r="286" spans="2:19" x14ac:dyDescent="0.2">
      <c r="B286" s="213"/>
      <c r="C286" s="213"/>
      <c r="D286" s="213"/>
      <c r="E286" s="213"/>
      <c r="F286" s="213"/>
      <c r="G286" s="525"/>
      <c r="H286" s="213"/>
      <c r="I286" s="213"/>
      <c r="J286" s="213"/>
      <c r="K286" s="213"/>
      <c r="L286" s="213"/>
      <c r="N286" s="525"/>
      <c r="O286" s="525"/>
      <c r="P286" s="525"/>
      <c r="Q286" s="58"/>
      <c r="R286" s="58"/>
      <c r="S286" s="58"/>
    </row>
    <row r="287" spans="2:19" x14ac:dyDescent="0.2">
      <c r="B287" s="213"/>
      <c r="C287" s="213"/>
      <c r="D287" s="213"/>
      <c r="E287" s="213"/>
      <c r="F287" s="213"/>
      <c r="G287" s="525"/>
      <c r="H287" s="213"/>
      <c r="I287" s="213"/>
      <c r="J287" s="213"/>
      <c r="K287" s="213"/>
      <c r="L287" s="213"/>
      <c r="N287" s="525"/>
      <c r="O287" s="525"/>
      <c r="P287" s="525"/>
      <c r="Q287" s="58"/>
      <c r="R287" s="58"/>
      <c r="S287" s="58"/>
    </row>
    <row r="288" spans="2:19" x14ac:dyDescent="0.2">
      <c r="B288" s="213"/>
      <c r="C288" s="213"/>
      <c r="D288" s="213"/>
      <c r="E288" s="213"/>
      <c r="F288" s="213"/>
      <c r="G288" s="525"/>
      <c r="H288" s="213"/>
      <c r="I288" s="213"/>
      <c r="J288" s="213"/>
      <c r="K288" s="213"/>
      <c r="L288" s="213"/>
      <c r="N288" s="525"/>
      <c r="O288" s="525"/>
      <c r="P288" s="525"/>
      <c r="Q288" s="58"/>
      <c r="R288" s="58"/>
      <c r="S288" s="58"/>
    </row>
    <row r="289" spans="2:19" x14ac:dyDescent="0.2">
      <c r="B289" s="213"/>
      <c r="C289" s="213"/>
      <c r="D289" s="213"/>
      <c r="E289" s="213"/>
      <c r="F289" s="213"/>
      <c r="G289" s="525"/>
      <c r="H289" s="213"/>
      <c r="I289" s="213"/>
      <c r="J289" s="213"/>
      <c r="K289" s="213"/>
      <c r="L289" s="213"/>
      <c r="N289" s="525"/>
      <c r="O289" s="525"/>
      <c r="P289" s="525"/>
      <c r="Q289" s="58"/>
      <c r="R289" s="58"/>
      <c r="S289" s="58"/>
    </row>
    <row r="290" spans="2:19" x14ac:dyDescent="0.2">
      <c r="B290" s="213"/>
      <c r="C290" s="213"/>
      <c r="D290" s="213"/>
      <c r="E290" s="213"/>
      <c r="F290" s="213"/>
      <c r="G290" s="525"/>
      <c r="H290" s="213"/>
      <c r="I290" s="213"/>
      <c r="J290" s="213"/>
      <c r="K290" s="213"/>
      <c r="L290" s="213"/>
      <c r="N290" s="525"/>
      <c r="O290" s="525"/>
      <c r="P290" s="525"/>
      <c r="Q290" s="58"/>
      <c r="R290" s="58"/>
      <c r="S290" s="58"/>
    </row>
    <row r="291" spans="2:19" x14ac:dyDescent="0.2">
      <c r="B291" s="213"/>
      <c r="C291" s="213"/>
      <c r="D291" s="213"/>
      <c r="E291" s="213"/>
      <c r="F291" s="213"/>
      <c r="G291" s="525"/>
      <c r="H291" s="213"/>
      <c r="I291" s="213"/>
      <c r="J291" s="213"/>
      <c r="K291" s="213"/>
      <c r="L291" s="213"/>
      <c r="N291" s="525"/>
      <c r="O291" s="525"/>
      <c r="P291" s="525"/>
      <c r="Q291" s="58"/>
      <c r="R291" s="58"/>
      <c r="S291" s="58"/>
    </row>
    <row r="292" spans="2:19" x14ac:dyDescent="0.2">
      <c r="B292" s="213"/>
      <c r="C292" s="213"/>
      <c r="D292" s="213"/>
      <c r="E292" s="213"/>
      <c r="F292" s="213"/>
      <c r="G292" s="525"/>
      <c r="H292" s="213"/>
      <c r="I292" s="213"/>
      <c r="J292" s="213"/>
      <c r="K292" s="213"/>
      <c r="L292" s="213"/>
      <c r="N292" s="525"/>
      <c r="O292" s="525"/>
      <c r="P292" s="525"/>
      <c r="Q292" s="58"/>
      <c r="R292" s="58"/>
      <c r="S292" s="58"/>
    </row>
    <row r="293" spans="2:19" x14ac:dyDescent="0.2">
      <c r="B293" s="213"/>
      <c r="C293" s="213"/>
      <c r="D293" s="213"/>
      <c r="E293" s="213"/>
      <c r="F293" s="213"/>
      <c r="G293" s="525"/>
      <c r="H293" s="213"/>
      <c r="I293" s="213"/>
      <c r="J293" s="213"/>
      <c r="K293" s="213"/>
      <c r="L293" s="213"/>
      <c r="N293" s="525"/>
      <c r="O293" s="525"/>
      <c r="P293" s="525"/>
      <c r="Q293" s="58"/>
      <c r="R293" s="58"/>
      <c r="S293" s="58"/>
    </row>
    <row r="294" spans="2:19" x14ac:dyDescent="0.2">
      <c r="B294" s="213"/>
      <c r="C294" s="213"/>
      <c r="D294" s="213"/>
      <c r="E294" s="213"/>
      <c r="F294" s="213"/>
      <c r="G294" s="525"/>
      <c r="H294" s="213"/>
      <c r="I294" s="213"/>
      <c r="J294" s="213"/>
      <c r="K294" s="213"/>
      <c r="L294" s="213"/>
      <c r="N294" s="525"/>
      <c r="O294" s="525"/>
      <c r="P294" s="525"/>
      <c r="Q294" s="58"/>
      <c r="R294" s="58"/>
      <c r="S294" s="58"/>
    </row>
    <row r="295" spans="2:19" x14ac:dyDescent="0.2">
      <c r="B295" s="213"/>
      <c r="C295" s="213"/>
      <c r="D295" s="213"/>
      <c r="E295" s="213"/>
      <c r="F295" s="213"/>
      <c r="G295" s="525"/>
      <c r="H295" s="213"/>
      <c r="I295" s="213"/>
      <c r="J295" s="213"/>
      <c r="K295" s="213"/>
      <c r="L295" s="213"/>
      <c r="N295" s="525"/>
      <c r="O295" s="525"/>
      <c r="P295" s="525"/>
      <c r="Q295" s="58"/>
      <c r="R295" s="58"/>
      <c r="S295" s="58"/>
    </row>
    <row r="296" spans="2:19" x14ac:dyDescent="0.2">
      <c r="B296" s="213"/>
      <c r="C296" s="213"/>
      <c r="D296" s="213"/>
      <c r="E296" s="213"/>
      <c r="F296" s="213"/>
      <c r="G296" s="525"/>
      <c r="H296" s="213"/>
      <c r="I296" s="213"/>
      <c r="J296" s="213"/>
      <c r="K296" s="213"/>
      <c r="L296" s="213"/>
      <c r="N296" s="525"/>
      <c r="O296" s="525"/>
      <c r="P296" s="525"/>
      <c r="Q296" s="58"/>
      <c r="R296" s="58"/>
      <c r="S296" s="58"/>
    </row>
    <row r="297" spans="2:19" x14ac:dyDescent="0.2">
      <c r="B297" s="213"/>
      <c r="C297" s="213"/>
      <c r="D297" s="213"/>
      <c r="E297" s="213"/>
      <c r="F297" s="213"/>
      <c r="G297" s="525"/>
      <c r="H297" s="213"/>
      <c r="I297" s="213"/>
      <c r="J297" s="213"/>
      <c r="K297" s="213"/>
      <c r="L297" s="213"/>
      <c r="N297" s="525"/>
      <c r="O297" s="525"/>
      <c r="P297" s="525"/>
      <c r="Q297" s="58"/>
      <c r="R297" s="58"/>
      <c r="S297" s="58"/>
    </row>
    <row r="298" spans="2:19" x14ac:dyDescent="0.2">
      <c r="B298" s="213"/>
      <c r="C298" s="213"/>
      <c r="D298" s="213"/>
      <c r="E298" s="213"/>
      <c r="F298" s="213"/>
      <c r="G298" s="525"/>
      <c r="H298" s="213"/>
      <c r="I298" s="213"/>
      <c r="J298" s="213"/>
      <c r="K298" s="213"/>
      <c r="L298" s="213"/>
      <c r="N298" s="525"/>
      <c r="O298" s="525"/>
      <c r="P298" s="525"/>
      <c r="Q298" s="58"/>
      <c r="R298" s="58"/>
      <c r="S298" s="58"/>
    </row>
    <row r="299" spans="2:19" x14ac:dyDescent="0.2">
      <c r="B299" s="213"/>
      <c r="C299" s="213"/>
      <c r="D299" s="213"/>
      <c r="E299" s="213"/>
      <c r="F299" s="213"/>
      <c r="G299" s="525"/>
      <c r="H299" s="213"/>
      <c r="I299" s="213"/>
      <c r="J299" s="213"/>
      <c r="K299" s="213"/>
      <c r="L299" s="213"/>
      <c r="N299" s="525"/>
      <c r="O299" s="525"/>
      <c r="P299" s="525"/>
      <c r="Q299" s="58"/>
      <c r="R299" s="58"/>
      <c r="S299" s="58"/>
    </row>
    <row r="300" spans="2:19" x14ac:dyDescent="0.2">
      <c r="B300" s="213"/>
      <c r="C300" s="213"/>
      <c r="D300" s="213"/>
      <c r="E300" s="213"/>
      <c r="F300" s="213"/>
      <c r="G300" s="525"/>
      <c r="H300" s="213"/>
      <c r="I300" s="213"/>
      <c r="J300" s="213"/>
      <c r="K300" s="213"/>
      <c r="L300" s="213"/>
      <c r="N300" s="525"/>
      <c r="O300" s="525"/>
      <c r="P300" s="525"/>
      <c r="Q300" s="58"/>
      <c r="R300" s="58"/>
      <c r="S300" s="58"/>
    </row>
    <row r="301" spans="2:19" x14ac:dyDescent="0.2">
      <c r="B301" s="213"/>
      <c r="C301" s="213"/>
      <c r="D301" s="213"/>
      <c r="E301" s="213"/>
      <c r="F301" s="213"/>
      <c r="G301" s="525"/>
      <c r="H301" s="213"/>
      <c r="I301" s="213"/>
      <c r="J301" s="213"/>
      <c r="K301" s="213"/>
      <c r="L301" s="213"/>
      <c r="N301" s="525"/>
      <c r="O301" s="525"/>
      <c r="P301" s="525"/>
      <c r="Q301" s="58"/>
      <c r="R301" s="58"/>
      <c r="S301" s="58"/>
    </row>
    <row r="302" spans="2:19" x14ac:dyDescent="0.2">
      <c r="B302" s="213"/>
      <c r="C302" s="213"/>
      <c r="D302" s="213"/>
      <c r="E302" s="213"/>
      <c r="F302" s="213"/>
      <c r="G302" s="525"/>
      <c r="H302" s="213"/>
      <c r="I302" s="213"/>
      <c r="J302" s="213"/>
      <c r="K302" s="213"/>
      <c r="L302" s="213"/>
      <c r="N302" s="525"/>
      <c r="O302" s="525"/>
      <c r="P302" s="525"/>
      <c r="Q302" s="58"/>
      <c r="R302" s="58"/>
      <c r="S302" s="58"/>
    </row>
    <row r="303" spans="2:19" x14ac:dyDescent="0.2">
      <c r="B303" s="213"/>
      <c r="C303" s="213"/>
      <c r="D303" s="213"/>
      <c r="E303" s="213"/>
      <c r="F303" s="213"/>
      <c r="G303" s="525"/>
      <c r="H303" s="213"/>
      <c r="I303" s="213"/>
      <c r="J303" s="213"/>
      <c r="K303" s="213"/>
      <c r="L303" s="213"/>
      <c r="N303" s="525"/>
      <c r="O303" s="525"/>
      <c r="P303" s="525"/>
      <c r="Q303" s="58"/>
      <c r="R303" s="58"/>
      <c r="S303" s="58"/>
    </row>
    <row r="304" spans="2:19" x14ac:dyDescent="0.2">
      <c r="B304" s="213"/>
      <c r="C304" s="213"/>
      <c r="D304" s="213"/>
      <c r="E304" s="213"/>
      <c r="F304" s="213"/>
      <c r="G304" s="525"/>
      <c r="H304" s="213"/>
      <c r="I304" s="213"/>
      <c r="J304" s="213"/>
      <c r="K304" s="213"/>
      <c r="L304" s="213"/>
      <c r="N304" s="525"/>
      <c r="O304" s="525"/>
      <c r="P304" s="525"/>
      <c r="Q304" s="58"/>
      <c r="R304" s="58"/>
      <c r="S304" s="58"/>
    </row>
    <row r="305" spans="2:19" x14ac:dyDescent="0.2">
      <c r="B305" s="213"/>
      <c r="C305" s="213"/>
      <c r="D305" s="213"/>
      <c r="E305" s="213"/>
      <c r="F305" s="213"/>
      <c r="G305" s="525"/>
      <c r="H305" s="213"/>
      <c r="I305" s="213"/>
      <c r="J305" s="213"/>
      <c r="K305" s="213"/>
      <c r="L305" s="213"/>
      <c r="N305" s="525"/>
      <c r="O305" s="525"/>
      <c r="P305" s="525"/>
      <c r="Q305" s="58"/>
      <c r="R305" s="58"/>
      <c r="S305" s="58"/>
    </row>
    <row r="306" spans="2:19" x14ac:dyDescent="0.2">
      <c r="B306" s="213"/>
      <c r="C306" s="213"/>
      <c r="D306" s="213"/>
      <c r="E306" s="213"/>
      <c r="F306" s="213"/>
      <c r="G306" s="525"/>
      <c r="H306" s="213"/>
      <c r="I306" s="213"/>
      <c r="J306" s="213"/>
      <c r="K306" s="213"/>
      <c r="L306" s="213"/>
      <c r="N306" s="525"/>
      <c r="O306" s="525"/>
      <c r="P306" s="525"/>
      <c r="Q306" s="58"/>
      <c r="R306" s="58"/>
      <c r="S306" s="58"/>
    </row>
    <row r="307" spans="2:19" x14ac:dyDescent="0.2">
      <c r="B307" s="213"/>
      <c r="C307" s="213"/>
      <c r="D307" s="213"/>
      <c r="E307" s="213"/>
      <c r="F307" s="213"/>
      <c r="G307" s="525"/>
      <c r="H307" s="213"/>
      <c r="I307" s="213"/>
      <c r="J307" s="213"/>
      <c r="K307" s="213"/>
      <c r="L307" s="213"/>
      <c r="N307" s="525"/>
      <c r="O307" s="525"/>
      <c r="P307" s="525"/>
      <c r="Q307" s="58"/>
      <c r="R307" s="58"/>
      <c r="S307" s="58"/>
    </row>
    <row r="308" spans="2:19" x14ac:dyDescent="0.2">
      <c r="B308" s="213"/>
      <c r="C308" s="213"/>
      <c r="D308" s="213"/>
      <c r="E308" s="213"/>
      <c r="F308" s="213"/>
      <c r="G308" s="525"/>
      <c r="H308" s="213"/>
      <c r="I308" s="213"/>
      <c r="J308" s="213"/>
      <c r="K308" s="213"/>
      <c r="L308" s="213"/>
      <c r="N308" s="525"/>
      <c r="O308" s="525"/>
      <c r="P308" s="525"/>
      <c r="Q308" s="58"/>
      <c r="R308" s="58"/>
      <c r="S308" s="58"/>
    </row>
    <row r="309" spans="2:19" x14ac:dyDescent="0.2">
      <c r="B309" s="213"/>
      <c r="C309" s="213"/>
      <c r="D309" s="213"/>
      <c r="E309" s="213"/>
      <c r="F309" s="213"/>
      <c r="G309" s="525"/>
      <c r="H309" s="213"/>
      <c r="I309" s="213"/>
      <c r="J309" s="213"/>
      <c r="K309" s="213"/>
      <c r="L309" s="213"/>
      <c r="N309" s="525"/>
      <c r="O309" s="525"/>
      <c r="P309" s="525"/>
      <c r="Q309" s="58"/>
      <c r="R309" s="58"/>
      <c r="S309" s="58"/>
    </row>
    <row r="310" spans="2:19" x14ac:dyDescent="0.2">
      <c r="B310" s="213"/>
      <c r="C310" s="213"/>
      <c r="D310" s="213"/>
      <c r="E310" s="213"/>
      <c r="F310" s="213"/>
      <c r="G310" s="525"/>
      <c r="H310" s="213"/>
      <c r="I310" s="213"/>
      <c r="J310" s="213"/>
      <c r="K310" s="213"/>
      <c r="L310" s="213"/>
      <c r="N310" s="525"/>
      <c r="O310" s="525"/>
      <c r="P310" s="525"/>
      <c r="Q310" s="58"/>
      <c r="R310" s="58"/>
      <c r="S310" s="58"/>
    </row>
    <row r="311" spans="2:19" x14ac:dyDescent="0.2">
      <c r="B311" s="213"/>
      <c r="C311" s="213"/>
      <c r="D311" s="213"/>
      <c r="E311" s="213"/>
      <c r="F311" s="213"/>
      <c r="G311" s="525"/>
      <c r="H311" s="213"/>
      <c r="I311" s="213"/>
      <c r="J311" s="213"/>
      <c r="K311" s="213"/>
      <c r="L311" s="213"/>
      <c r="N311" s="525"/>
      <c r="O311" s="525"/>
      <c r="P311" s="525"/>
      <c r="Q311" s="58"/>
      <c r="R311" s="58"/>
      <c r="S311" s="58"/>
    </row>
    <row r="312" spans="2:19" x14ac:dyDescent="0.2">
      <c r="B312" s="213"/>
      <c r="C312" s="213"/>
      <c r="D312" s="213"/>
      <c r="E312" s="213"/>
      <c r="F312" s="213"/>
      <c r="G312" s="525"/>
      <c r="H312" s="213"/>
      <c r="I312" s="213"/>
      <c r="J312" s="213"/>
      <c r="K312" s="213"/>
      <c r="L312" s="213"/>
      <c r="N312" s="525"/>
      <c r="O312" s="525"/>
      <c r="P312" s="525"/>
      <c r="Q312" s="58"/>
      <c r="R312" s="58"/>
      <c r="S312" s="58"/>
    </row>
    <row r="313" spans="2:19" x14ac:dyDescent="0.2">
      <c r="B313" s="213"/>
      <c r="C313" s="213"/>
      <c r="D313" s="213"/>
      <c r="E313" s="213"/>
      <c r="F313" s="213"/>
      <c r="G313" s="525"/>
      <c r="H313" s="213"/>
      <c r="I313" s="213"/>
      <c r="J313" s="213"/>
      <c r="K313" s="213"/>
      <c r="L313" s="213"/>
      <c r="N313" s="525"/>
      <c r="O313" s="525"/>
      <c r="P313" s="525"/>
      <c r="Q313" s="58"/>
      <c r="R313" s="58"/>
      <c r="S313" s="58"/>
    </row>
    <row r="314" spans="2:19" x14ac:dyDescent="0.2">
      <c r="B314" s="213"/>
      <c r="C314" s="213"/>
      <c r="D314" s="213"/>
      <c r="E314" s="213"/>
      <c r="F314" s="213"/>
      <c r="G314" s="525"/>
      <c r="H314" s="213"/>
      <c r="I314" s="213"/>
      <c r="J314" s="213"/>
      <c r="K314" s="213"/>
      <c r="L314" s="213"/>
      <c r="N314" s="525"/>
      <c r="O314" s="525"/>
      <c r="P314" s="525"/>
      <c r="Q314" s="58"/>
      <c r="R314" s="58"/>
      <c r="S314" s="58"/>
    </row>
    <row r="315" spans="2:19" x14ac:dyDescent="0.2">
      <c r="B315" s="213"/>
      <c r="C315" s="213"/>
      <c r="D315" s="213"/>
      <c r="E315" s="213"/>
      <c r="F315" s="213"/>
      <c r="G315" s="525"/>
      <c r="H315" s="213"/>
      <c r="I315" s="213"/>
      <c r="J315" s="213"/>
      <c r="K315" s="213"/>
      <c r="L315" s="213"/>
      <c r="N315" s="525"/>
      <c r="O315" s="525"/>
      <c r="P315" s="525"/>
      <c r="Q315" s="58"/>
      <c r="R315" s="58"/>
      <c r="S315" s="58"/>
    </row>
    <row r="316" spans="2:19" x14ac:dyDescent="0.2">
      <c r="B316" s="213"/>
      <c r="C316" s="213"/>
      <c r="D316" s="213"/>
      <c r="E316" s="213"/>
      <c r="F316" s="213"/>
      <c r="G316" s="525"/>
      <c r="H316" s="213"/>
      <c r="I316" s="213"/>
      <c r="J316" s="213"/>
      <c r="K316" s="213"/>
      <c r="L316" s="213"/>
      <c r="N316" s="525"/>
      <c r="O316" s="525"/>
      <c r="P316" s="525"/>
      <c r="Q316" s="58"/>
      <c r="R316" s="58"/>
      <c r="S316" s="58"/>
    </row>
    <row r="317" spans="2:19" x14ac:dyDescent="0.2">
      <c r="B317" s="213"/>
      <c r="C317" s="213"/>
      <c r="D317" s="213"/>
      <c r="E317" s="213"/>
      <c r="F317" s="213"/>
      <c r="G317" s="525"/>
      <c r="H317" s="213"/>
      <c r="I317" s="213"/>
      <c r="J317" s="213"/>
      <c r="K317" s="213"/>
      <c r="L317" s="213"/>
      <c r="N317" s="525"/>
      <c r="O317" s="525"/>
      <c r="P317" s="525"/>
      <c r="Q317" s="58"/>
      <c r="R317" s="58"/>
      <c r="S317" s="58"/>
    </row>
    <row r="318" spans="2:19" x14ac:dyDescent="0.2">
      <c r="B318" s="213"/>
      <c r="C318" s="213"/>
      <c r="D318" s="213"/>
      <c r="E318" s="213"/>
      <c r="F318" s="213"/>
      <c r="G318" s="525"/>
      <c r="H318" s="213"/>
      <c r="I318" s="213"/>
      <c r="J318" s="213"/>
      <c r="K318" s="213"/>
      <c r="L318" s="213"/>
      <c r="N318" s="525"/>
      <c r="O318" s="525"/>
      <c r="P318" s="525"/>
      <c r="Q318" s="58"/>
      <c r="R318" s="58"/>
      <c r="S318" s="58"/>
    </row>
    <row r="319" spans="2:19" x14ac:dyDescent="0.2">
      <c r="B319" s="213"/>
      <c r="C319" s="213"/>
      <c r="D319" s="213"/>
      <c r="E319" s="213"/>
      <c r="F319" s="213"/>
      <c r="G319" s="525"/>
      <c r="H319" s="213"/>
      <c r="I319" s="213"/>
      <c r="J319" s="213"/>
      <c r="K319" s="213"/>
      <c r="L319" s="213"/>
      <c r="N319" s="525"/>
      <c r="O319" s="525"/>
      <c r="P319" s="525"/>
      <c r="Q319" s="58"/>
      <c r="R319" s="58"/>
      <c r="S319" s="58"/>
    </row>
    <row r="320" spans="2:19" x14ac:dyDescent="0.2">
      <c r="B320" s="213"/>
      <c r="C320" s="213"/>
      <c r="D320" s="213"/>
      <c r="E320" s="213"/>
      <c r="F320" s="213"/>
      <c r="G320" s="525"/>
      <c r="H320" s="213"/>
      <c r="I320" s="213"/>
      <c r="J320" s="213"/>
      <c r="K320" s="213"/>
      <c r="L320" s="213"/>
      <c r="N320" s="525"/>
      <c r="O320" s="525"/>
      <c r="P320" s="525"/>
      <c r="Q320" s="58"/>
      <c r="R320" s="58"/>
      <c r="S320" s="58"/>
    </row>
    <row r="321" spans="2:19" x14ac:dyDescent="0.2">
      <c r="B321" s="213"/>
      <c r="C321" s="213"/>
      <c r="D321" s="213"/>
      <c r="E321" s="213"/>
      <c r="F321" s="213"/>
      <c r="G321" s="525"/>
      <c r="H321" s="213"/>
      <c r="I321" s="213"/>
      <c r="J321" s="213"/>
      <c r="K321" s="213"/>
      <c r="L321" s="213"/>
      <c r="N321" s="525"/>
      <c r="O321" s="525"/>
      <c r="P321" s="525"/>
      <c r="Q321" s="58"/>
      <c r="R321" s="58"/>
      <c r="S321" s="58"/>
    </row>
    <row r="322" spans="2:19" x14ac:dyDescent="0.2">
      <c r="B322" s="213"/>
      <c r="C322" s="213"/>
      <c r="D322" s="213"/>
      <c r="E322" s="213"/>
      <c r="F322" s="213"/>
      <c r="G322" s="525"/>
      <c r="H322" s="213"/>
      <c r="I322" s="213"/>
      <c r="J322" s="213"/>
      <c r="K322" s="213"/>
      <c r="L322" s="213"/>
      <c r="N322" s="525"/>
      <c r="O322" s="525"/>
      <c r="P322" s="525"/>
      <c r="Q322" s="58"/>
      <c r="R322" s="58"/>
      <c r="S322" s="58"/>
    </row>
    <row r="323" spans="2:19" x14ac:dyDescent="0.2">
      <c r="B323" s="213"/>
      <c r="C323" s="213"/>
      <c r="D323" s="213"/>
      <c r="E323" s="213"/>
      <c r="F323" s="213"/>
      <c r="G323" s="525"/>
      <c r="H323" s="213"/>
      <c r="I323" s="213"/>
      <c r="J323" s="213"/>
      <c r="K323" s="213"/>
      <c r="L323" s="213"/>
      <c r="N323" s="525"/>
      <c r="O323" s="525"/>
      <c r="P323" s="525"/>
      <c r="Q323" s="58"/>
      <c r="R323" s="58"/>
      <c r="S323" s="58"/>
    </row>
    <row r="324" spans="2:19" x14ac:dyDescent="0.2">
      <c r="B324" s="213"/>
      <c r="C324" s="213"/>
      <c r="D324" s="213"/>
      <c r="E324" s="213"/>
      <c r="F324" s="213"/>
      <c r="G324" s="525"/>
      <c r="H324" s="213"/>
      <c r="I324" s="213"/>
      <c r="J324" s="213"/>
      <c r="K324" s="213"/>
      <c r="L324" s="213"/>
      <c r="N324" s="525"/>
      <c r="O324" s="525"/>
      <c r="P324" s="525"/>
      <c r="Q324" s="58"/>
      <c r="R324" s="58"/>
      <c r="S324" s="58"/>
    </row>
    <row r="325" spans="2:19" x14ac:dyDescent="0.2">
      <c r="B325" s="213"/>
      <c r="C325" s="213"/>
      <c r="D325" s="213"/>
      <c r="E325" s="213"/>
      <c r="F325" s="213"/>
      <c r="G325" s="525"/>
      <c r="H325" s="213"/>
      <c r="I325" s="213"/>
      <c r="J325" s="213"/>
      <c r="K325" s="213"/>
      <c r="L325" s="213"/>
      <c r="N325" s="525"/>
      <c r="O325" s="525"/>
      <c r="P325" s="525"/>
      <c r="Q325" s="58"/>
      <c r="R325" s="58"/>
      <c r="S325" s="58"/>
    </row>
    <row r="326" spans="2:19" x14ac:dyDescent="0.2">
      <c r="B326" s="213"/>
      <c r="C326" s="213"/>
      <c r="D326" s="213"/>
      <c r="E326" s="213"/>
      <c r="F326" s="213"/>
      <c r="G326" s="525"/>
      <c r="H326" s="213"/>
      <c r="I326" s="213"/>
      <c r="J326" s="213"/>
      <c r="K326" s="213"/>
      <c r="L326" s="213"/>
      <c r="N326" s="525"/>
      <c r="O326" s="525"/>
      <c r="P326" s="525"/>
      <c r="Q326" s="58"/>
      <c r="R326" s="58"/>
      <c r="S326" s="58"/>
    </row>
    <row r="327" spans="2:19" x14ac:dyDescent="0.2">
      <c r="B327" s="213"/>
      <c r="C327" s="213"/>
      <c r="D327" s="213"/>
      <c r="E327" s="213"/>
      <c r="F327" s="213"/>
      <c r="G327" s="525"/>
      <c r="H327" s="213"/>
      <c r="I327" s="213"/>
      <c r="J327" s="213"/>
      <c r="K327" s="213"/>
      <c r="L327" s="213"/>
      <c r="N327" s="525"/>
      <c r="O327" s="525"/>
      <c r="P327" s="525"/>
      <c r="Q327" s="58"/>
      <c r="R327" s="58"/>
      <c r="S327" s="58"/>
    </row>
    <row r="328" spans="2:19" x14ac:dyDescent="0.2">
      <c r="B328" s="213"/>
      <c r="C328" s="213"/>
      <c r="D328" s="213"/>
      <c r="E328" s="213"/>
      <c r="F328" s="213"/>
      <c r="G328" s="525"/>
      <c r="H328" s="213"/>
      <c r="I328" s="213"/>
      <c r="J328" s="213"/>
      <c r="K328" s="213"/>
      <c r="L328" s="213"/>
      <c r="N328" s="525"/>
      <c r="O328" s="525"/>
      <c r="P328" s="525"/>
      <c r="Q328" s="58"/>
      <c r="R328" s="58"/>
      <c r="S328" s="58"/>
    </row>
    <row r="329" spans="2:19" x14ac:dyDescent="0.2">
      <c r="B329" s="213"/>
      <c r="C329" s="213"/>
      <c r="D329" s="213"/>
      <c r="E329" s="213"/>
      <c r="F329" s="213"/>
      <c r="G329" s="525"/>
      <c r="H329" s="213"/>
      <c r="I329" s="213"/>
      <c r="J329" s="213"/>
      <c r="K329" s="213"/>
      <c r="L329" s="213"/>
      <c r="N329" s="525"/>
      <c r="O329" s="525"/>
      <c r="P329" s="525"/>
      <c r="Q329" s="58"/>
      <c r="R329" s="58"/>
      <c r="S329" s="58"/>
    </row>
    <row r="330" spans="2:19" x14ac:dyDescent="0.2">
      <c r="B330" s="213"/>
      <c r="C330" s="213"/>
      <c r="D330" s="213"/>
      <c r="E330" s="213"/>
      <c r="F330" s="213"/>
      <c r="G330" s="525"/>
      <c r="H330" s="213"/>
      <c r="I330" s="213"/>
      <c r="J330" s="213"/>
      <c r="K330" s="213"/>
      <c r="L330" s="213"/>
      <c r="N330" s="525"/>
      <c r="O330" s="525"/>
      <c r="P330" s="525"/>
      <c r="Q330" s="58"/>
      <c r="R330" s="58"/>
      <c r="S330" s="58"/>
    </row>
    <row r="331" spans="2:19" x14ac:dyDescent="0.2">
      <c r="B331" s="213"/>
      <c r="C331" s="213"/>
      <c r="D331" s="213"/>
      <c r="E331" s="213"/>
      <c r="F331" s="213"/>
      <c r="G331" s="525"/>
      <c r="H331" s="213"/>
      <c r="I331" s="213"/>
      <c r="J331" s="213"/>
      <c r="K331" s="213"/>
      <c r="L331" s="213"/>
      <c r="N331" s="525"/>
      <c r="O331" s="525"/>
      <c r="P331" s="525"/>
      <c r="Q331" s="58"/>
      <c r="R331" s="58"/>
      <c r="S331" s="58"/>
    </row>
    <row r="332" spans="2:19" x14ac:dyDescent="0.2">
      <c r="B332" s="213"/>
      <c r="C332" s="213"/>
      <c r="D332" s="213"/>
      <c r="E332" s="213"/>
      <c r="F332" s="213"/>
      <c r="G332" s="525"/>
      <c r="H332" s="213"/>
      <c r="I332" s="213"/>
      <c r="J332" s="213"/>
      <c r="K332" s="213"/>
      <c r="L332" s="213"/>
      <c r="N332" s="525"/>
      <c r="O332" s="525"/>
      <c r="P332" s="525"/>
      <c r="Q332" s="58"/>
      <c r="R332" s="58"/>
      <c r="S332" s="58"/>
    </row>
    <row r="333" spans="2:19" x14ac:dyDescent="0.2">
      <c r="B333" s="213"/>
      <c r="C333" s="213"/>
      <c r="D333" s="213"/>
      <c r="E333" s="213"/>
      <c r="F333" s="213"/>
      <c r="G333" s="525"/>
      <c r="H333" s="213"/>
      <c r="I333" s="213"/>
      <c r="J333" s="213"/>
      <c r="K333" s="213"/>
      <c r="L333" s="213"/>
      <c r="N333" s="525"/>
      <c r="O333" s="525"/>
      <c r="P333" s="525"/>
      <c r="Q333" s="58"/>
      <c r="R333" s="58"/>
      <c r="S333" s="58"/>
    </row>
    <row r="334" spans="2:19" x14ac:dyDescent="0.2">
      <c r="B334" s="213"/>
      <c r="C334" s="213"/>
      <c r="D334" s="213"/>
      <c r="E334" s="213"/>
      <c r="F334" s="213"/>
      <c r="G334" s="525"/>
      <c r="H334" s="213"/>
      <c r="I334" s="213"/>
      <c r="J334" s="213"/>
      <c r="K334" s="213"/>
      <c r="L334" s="213"/>
      <c r="N334" s="525"/>
      <c r="O334" s="525"/>
      <c r="P334" s="525"/>
      <c r="Q334" s="58"/>
      <c r="R334" s="58"/>
      <c r="S334" s="58"/>
    </row>
    <row r="335" spans="2:19" x14ac:dyDescent="0.2">
      <c r="B335" s="213"/>
      <c r="C335" s="213"/>
      <c r="D335" s="213"/>
      <c r="E335" s="213"/>
      <c r="F335" s="213"/>
      <c r="G335" s="525"/>
      <c r="H335" s="213"/>
      <c r="I335" s="213"/>
      <c r="J335" s="213"/>
      <c r="K335" s="213"/>
      <c r="L335" s="213"/>
      <c r="N335" s="525"/>
      <c r="O335" s="525"/>
      <c r="P335" s="525"/>
      <c r="Q335" s="58"/>
      <c r="R335" s="58"/>
      <c r="S335" s="58"/>
    </row>
    <row r="336" spans="2:19" x14ac:dyDescent="0.2">
      <c r="B336" s="213"/>
      <c r="C336" s="213"/>
      <c r="D336" s="213"/>
      <c r="E336" s="213"/>
      <c r="F336" s="213"/>
      <c r="G336" s="525"/>
      <c r="H336" s="213"/>
      <c r="I336" s="213"/>
      <c r="J336" s="213"/>
      <c r="K336" s="213"/>
      <c r="L336" s="213"/>
      <c r="N336" s="525"/>
      <c r="O336" s="525"/>
      <c r="P336" s="525"/>
      <c r="Q336" s="58"/>
      <c r="R336" s="58"/>
      <c r="S336" s="58"/>
    </row>
    <row r="337" spans="2:19" x14ac:dyDescent="0.2">
      <c r="B337" s="213"/>
      <c r="C337" s="213"/>
      <c r="D337" s="213"/>
      <c r="E337" s="213"/>
      <c r="F337" s="213"/>
      <c r="G337" s="525"/>
      <c r="H337" s="213"/>
      <c r="I337" s="213"/>
      <c r="J337" s="213"/>
      <c r="K337" s="213"/>
      <c r="L337" s="213"/>
      <c r="N337" s="525"/>
      <c r="O337" s="525"/>
      <c r="P337" s="525"/>
      <c r="Q337" s="58"/>
      <c r="R337" s="58"/>
      <c r="S337" s="58"/>
    </row>
    <row r="338" spans="2:19" x14ac:dyDescent="0.2">
      <c r="B338" s="213"/>
      <c r="C338" s="213"/>
      <c r="D338" s="213"/>
      <c r="E338" s="213"/>
      <c r="F338" s="213"/>
      <c r="G338" s="525"/>
      <c r="H338" s="213"/>
      <c r="I338" s="213"/>
      <c r="J338" s="213"/>
      <c r="K338" s="213"/>
      <c r="L338" s="213"/>
      <c r="N338" s="525"/>
      <c r="O338" s="525"/>
      <c r="P338" s="525"/>
      <c r="Q338" s="58"/>
      <c r="R338" s="58"/>
      <c r="S338" s="58"/>
    </row>
    <row r="339" spans="2:19" x14ac:dyDescent="0.2">
      <c r="B339" s="213"/>
      <c r="C339" s="213"/>
      <c r="D339" s="213"/>
      <c r="E339" s="213"/>
      <c r="F339" s="213"/>
      <c r="G339" s="525"/>
      <c r="H339" s="213"/>
      <c r="I339" s="213"/>
      <c r="J339" s="213"/>
      <c r="K339" s="213"/>
      <c r="L339" s="213"/>
      <c r="N339" s="525"/>
      <c r="O339" s="525"/>
      <c r="P339" s="525"/>
      <c r="Q339" s="58"/>
      <c r="R339" s="58"/>
      <c r="S339" s="58"/>
    </row>
    <row r="340" spans="2:19" x14ac:dyDescent="0.2">
      <c r="B340" s="213"/>
      <c r="C340" s="213"/>
      <c r="D340" s="213"/>
      <c r="E340" s="213"/>
      <c r="F340" s="213"/>
      <c r="G340" s="525"/>
      <c r="H340" s="213"/>
      <c r="I340" s="213"/>
      <c r="J340" s="213"/>
      <c r="K340" s="213"/>
      <c r="L340" s="213"/>
      <c r="N340" s="525"/>
      <c r="O340" s="525"/>
      <c r="P340" s="525"/>
      <c r="Q340" s="58"/>
      <c r="R340" s="58"/>
      <c r="S340" s="58"/>
    </row>
    <row r="341" spans="2:19" x14ac:dyDescent="0.2">
      <c r="B341" s="213"/>
      <c r="C341" s="213"/>
      <c r="D341" s="213"/>
      <c r="E341" s="213"/>
      <c r="F341" s="213"/>
      <c r="G341" s="525"/>
      <c r="H341" s="213"/>
      <c r="I341" s="213"/>
      <c r="J341" s="213"/>
      <c r="K341" s="213"/>
      <c r="L341" s="213"/>
      <c r="N341" s="525"/>
      <c r="O341" s="525"/>
      <c r="P341" s="525"/>
      <c r="Q341" s="58"/>
      <c r="R341" s="58"/>
      <c r="S341" s="58"/>
    </row>
    <row r="342" spans="2:19" x14ac:dyDescent="0.2">
      <c r="B342" s="213"/>
      <c r="C342" s="213"/>
      <c r="D342" s="213"/>
      <c r="E342" s="213"/>
      <c r="F342" s="213"/>
      <c r="G342" s="525"/>
      <c r="H342" s="213"/>
      <c r="I342" s="213"/>
      <c r="J342" s="213"/>
      <c r="K342" s="213"/>
      <c r="L342" s="213"/>
      <c r="N342" s="525"/>
      <c r="O342" s="525"/>
      <c r="P342" s="525"/>
      <c r="Q342" s="58"/>
      <c r="R342" s="58"/>
      <c r="S342" s="58"/>
    </row>
    <row r="343" spans="2:19" x14ac:dyDescent="0.2">
      <c r="B343" s="213"/>
      <c r="C343" s="213"/>
      <c r="D343" s="213"/>
      <c r="E343" s="213"/>
      <c r="F343" s="213"/>
      <c r="G343" s="525"/>
      <c r="H343" s="213"/>
      <c r="I343" s="213"/>
      <c r="J343" s="213"/>
      <c r="K343" s="213"/>
      <c r="L343" s="213"/>
      <c r="N343" s="525"/>
      <c r="O343" s="525"/>
      <c r="P343" s="525"/>
      <c r="Q343" s="58"/>
      <c r="R343" s="58"/>
      <c r="S343" s="58"/>
    </row>
    <row r="344" spans="2:19" x14ac:dyDescent="0.2">
      <c r="B344" s="213"/>
      <c r="C344" s="213"/>
      <c r="D344" s="213"/>
      <c r="E344" s="213"/>
      <c r="F344" s="213"/>
      <c r="G344" s="525"/>
      <c r="H344" s="213"/>
      <c r="I344" s="213"/>
      <c r="J344" s="213"/>
      <c r="K344" s="213"/>
      <c r="L344" s="213"/>
      <c r="N344" s="525"/>
      <c r="O344" s="525"/>
      <c r="P344" s="525"/>
      <c r="Q344" s="58"/>
      <c r="R344" s="58"/>
      <c r="S344" s="58"/>
    </row>
    <row r="345" spans="2:19" x14ac:dyDescent="0.2">
      <c r="B345" s="213"/>
      <c r="C345" s="213"/>
      <c r="D345" s="213"/>
      <c r="E345" s="213"/>
      <c r="F345" s="213"/>
      <c r="G345" s="525"/>
      <c r="H345" s="213"/>
      <c r="I345" s="213"/>
      <c r="J345" s="213"/>
      <c r="K345" s="213"/>
      <c r="L345" s="213"/>
      <c r="N345" s="525"/>
      <c r="O345" s="525"/>
      <c r="P345" s="525"/>
      <c r="Q345" s="58"/>
      <c r="R345" s="58"/>
      <c r="S345" s="58"/>
    </row>
    <row r="346" spans="2:19" x14ac:dyDescent="0.2">
      <c r="B346" s="213"/>
      <c r="C346" s="213"/>
      <c r="D346" s="213"/>
      <c r="E346" s="213"/>
      <c r="F346" s="213"/>
      <c r="G346" s="525"/>
      <c r="H346" s="213"/>
      <c r="I346" s="213"/>
      <c r="J346" s="213"/>
      <c r="K346" s="213"/>
      <c r="L346" s="213"/>
      <c r="N346" s="525"/>
      <c r="O346" s="525"/>
      <c r="P346" s="525"/>
      <c r="Q346" s="58"/>
      <c r="R346" s="58"/>
      <c r="S346" s="58"/>
    </row>
    <row r="347" spans="2:19" x14ac:dyDescent="0.2">
      <c r="B347" s="213"/>
      <c r="C347" s="213"/>
      <c r="D347" s="213"/>
      <c r="E347" s="213"/>
      <c r="F347" s="213"/>
      <c r="G347" s="525"/>
      <c r="H347" s="213"/>
      <c r="I347" s="213"/>
      <c r="J347" s="213"/>
      <c r="K347" s="213"/>
      <c r="L347" s="213"/>
      <c r="N347" s="525"/>
      <c r="O347" s="525"/>
      <c r="P347" s="525"/>
      <c r="Q347" s="58"/>
      <c r="R347" s="58"/>
      <c r="S347" s="58"/>
    </row>
    <row r="348" spans="2:19" x14ac:dyDescent="0.2">
      <c r="B348" s="213"/>
      <c r="C348" s="213"/>
      <c r="D348" s="213"/>
      <c r="E348" s="213"/>
      <c r="F348" s="213"/>
      <c r="G348" s="525"/>
      <c r="H348" s="213"/>
      <c r="I348" s="213"/>
      <c r="J348" s="213"/>
      <c r="K348" s="213"/>
      <c r="L348" s="213"/>
      <c r="N348" s="525"/>
      <c r="O348" s="525"/>
      <c r="P348" s="525"/>
      <c r="Q348" s="58"/>
      <c r="R348" s="58"/>
      <c r="S348" s="58"/>
    </row>
    <row r="349" spans="2:19" x14ac:dyDescent="0.2">
      <c r="B349" s="213"/>
      <c r="C349" s="213"/>
      <c r="D349" s="213"/>
      <c r="E349" s="213"/>
      <c r="F349" s="213"/>
      <c r="G349" s="525"/>
      <c r="H349" s="213"/>
      <c r="I349" s="213"/>
      <c r="J349" s="213"/>
      <c r="K349" s="213"/>
      <c r="L349" s="213"/>
      <c r="N349" s="525"/>
      <c r="O349" s="525"/>
      <c r="P349" s="525"/>
      <c r="Q349" s="58"/>
      <c r="R349" s="58"/>
      <c r="S349" s="58"/>
    </row>
    <row r="350" spans="2:19" x14ac:dyDescent="0.2">
      <c r="B350" s="213"/>
      <c r="C350" s="213"/>
      <c r="D350" s="213"/>
      <c r="E350" s="213"/>
      <c r="F350" s="213"/>
      <c r="G350" s="525"/>
      <c r="H350" s="213"/>
      <c r="I350" s="213"/>
      <c r="J350" s="213"/>
      <c r="K350" s="213"/>
      <c r="L350" s="213"/>
      <c r="N350" s="525"/>
      <c r="O350" s="525"/>
      <c r="P350" s="525"/>
      <c r="Q350" s="58"/>
      <c r="R350" s="58"/>
      <c r="S350" s="58"/>
    </row>
    <row r="351" spans="2:19" x14ac:dyDescent="0.2">
      <c r="B351" s="213"/>
      <c r="C351" s="213"/>
      <c r="D351" s="213"/>
      <c r="E351" s="213"/>
      <c r="F351" s="213"/>
      <c r="G351" s="525"/>
      <c r="H351" s="213"/>
      <c r="I351" s="213"/>
      <c r="J351" s="213"/>
      <c r="K351" s="213"/>
      <c r="L351" s="213"/>
      <c r="N351" s="525"/>
      <c r="O351" s="525"/>
      <c r="P351" s="525"/>
      <c r="Q351" s="58"/>
      <c r="R351" s="58"/>
      <c r="S351" s="58"/>
    </row>
    <row r="352" spans="2:19" x14ac:dyDescent="0.2">
      <c r="B352" s="213"/>
      <c r="C352" s="213"/>
      <c r="D352" s="213"/>
      <c r="E352" s="213"/>
      <c r="F352" s="213"/>
      <c r="G352" s="525"/>
      <c r="H352" s="213"/>
      <c r="I352" s="213"/>
      <c r="J352" s="213"/>
      <c r="K352" s="213"/>
      <c r="L352" s="213"/>
      <c r="N352" s="525"/>
      <c r="O352" s="525"/>
      <c r="P352" s="525"/>
      <c r="Q352" s="58"/>
      <c r="R352" s="58"/>
      <c r="S352" s="58"/>
    </row>
    <row r="353" spans="2:19" x14ac:dyDescent="0.2">
      <c r="B353" s="213"/>
      <c r="C353" s="213"/>
      <c r="D353" s="213"/>
      <c r="E353" s="213"/>
      <c r="F353" s="213"/>
      <c r="G353" s="525"/>
      <c r="H353" s="213"/>
      <c r="I353" s="213"/>
      <c r="J353" s="213"/>
      <c r="K353" s="213"/>
      <c r="L353" s="213"/>
      <c r="N353" s="525"/>
      <c r="O353" s="525"/>
      <c r="P353" s="525"/>
      <c r="Q353" s="58"/>
      <c r="R353" s="58"/>
      <c r="S353" s="58"/>
    </row>
    <row r="354" spans="2:19" x14ac:dyDescent="0.2">
      <c r="B354" s="213"/>
      <c r="C354" s="213"/>
      <c r="D354" s="213"/>
      <c r="E354" s="213"/>
      <c r="F354" s="213"/>
      <c r="G354" s="525"/>
      <c r="H354" s="213"/>
      <c r="I354" s="213"/>
      <c r="J354" s="213"/>
      <c r="K354" s="213"/>
      <c r="L354" s="213"/>
      <c r="N354" s="525"/>
      <c r="O354" s="525"/>
      <c r="P354" s="525"/>
      <c r="Q354" s="58"/>
      <c r="R354" s="58"/>
      <c r="S354" s="58"/>
    </row>
    <row r="355" spans="2:19" x14ac:dyDescent="0.2">
      <c r="B355" s="213"/>
      <c r="C355" s="213"/>
      <c r="D355" s="213"/>
      <c r="E355" s="213"/>
      <c r="F355" s="213"/>
      <c r="G355" s="525"/>
      <c r="H355" s="213"/>
      <c r="I355" s="213"/>
      <c r="J355" s="213"/>
      <c r="K355" s="213"/>
      <c r="L355" s="213"/>
      <c r="N355" s="525"/>
      <c r="O355" s="525"/>
      <c r="P355" s="525"/>
      <c r="Q355" s="58"/>
      <c r="R355" s="58"/>
      <c r="S355" s="58"/>
    </row>
    <row r="356" spans="2:19" x14ac:dyDescent="0.2">
      <c r="B356" s="213"/>
      <c r="C356" s="213"/>
      <c r="D356" s="213"/>
      <c r="E356" s="213"/>
      <c r="F356" s="213"/>
      <c r="G356" s="525"/>
      <c r="H356" s="213"/>
      <c r="I356" s="213"/>
      <c r="J356" s="213"/>
      <c r="K356" s="213"/>
      <c r="L356" s="213"/>
      <c r="N356" s="525"/>
      <c r="O356" s="525"/>
      <c r="P356" s="525"/>
      <c r="Q356" s="58"/>
      <c r="R356" s="58"/>
      <c r="S356" s="58"/>
    </row>
    <row r="357" spans="2:19" x14ac:dyDescent="0.2">
      <c r="B357" s="213"/>
      <c r="C357" s="213"/>
      <c r="D357" s="213"/>
      <c r="E357" s="213"/>
      <c r="F357" s="213"/>
      <c r="G357" s="525"/>
      <c r="H357" s="213"/>
      <c r="I357" s="213"/>
      <c r="J357" s="213"/>
      <c r="K357" s="213"/>
      <c r="L357" s="213"/>
      <c r="N357" s="525"/>
      <c r="O357" s="525"/>
      <c r="P357" s="525"/>
      <c r="Q357" s="58"/>
      <c r="R357" s="58"/>
      <c r="S357" s="58"/>
    </row>
    <row r="358" spans="2:19" x14ac:dyDescent="0.2">
      <c r="B358" s="213"/>
      <c r="C358" s="213"/>
      <c r="D358" s="213"/>
      <c r="E358" s="213"/>
      <c r="F358" s="213"/>
      <c r="G358" s="525"/>
      <c r="H358" s="213"/>
      <c r="I358" s="213"/>
      <c r="J358" s="213"/>
      <c r="K358" s="213"/>
      <c r="L358" s="213"/>
      <c r="N358" s="525"/>
      <c r="O358" s="525"/>
      <c r="P358" s="525"/>
      <c r="Q358" s="58"/>
      <c r="R358" s="58"/>
      <c r="S358" s="58"/>
    </row>
    <row r="359" spans="2:19" x14ac:dyDescent="0.2">
      <c r="B359" s="213"/>
      <c r="C359" s="213"/>
      <c r="D359" s="213"/>
      <c r="E359" s="213"/>
      <c r="F359" s="213"/>
      <c r="G359" s="525"/>
      <c r="H359" s="213"/>
      <c r="I359" s="213"/>
      <c r="J359" s="213"/>
      <c r="K359" s="213"/>
      <c r="L359" s="213"/>
      <c r="N359" s="525"/>
      <c r="O359" s="525"/>
      <c r="P359" s="525"/>
      <c r="Q359" s="58"/>
      <c r="R359" s="58"/>
      <c r="S359" s="58"/>
    </row>
    <row r="360" spans="2:19" x14ac:dyDescent="0.2">
      <c r="B360" s="213"/>
      <c r="C360" s="213"/>
      <c r="D360" s="213"/>
      <c r="E360" s="213"/>
      <c r="F360" s="213"/>
      <c r="G360" s="525"/>
      <c r="H360" s="213"/>
      <c r="I360" s="213"/>
      <c r="J360" s="213"/>
      <c r="K360" s="213"/>
      <c r="L360" s="213"/>
      <c r="N360" s="525"/>
      <c r="O360" s="525"/>
      <c r="P360" s="525"/>
      <c r="Q360" s="58"/>
      <c r="R360" s="58"/>
      <c r="S360" s="58"/>
    </row>
    <row r="361" spans="2:19" x14ac:dyDescent="0.2">
      <c r="B361" s="213"/>
      <c r="C361" s="213"/>
      <c r="D361" s="213"/>
      <c r="E361" s="213"/>
      <c r="F361" s="213"/>
      <c r="G361" s="525"/>
      <c r="H361" s="213"/>
      <c r="I361" s="213"/>
      <c r="J361" s="213"/>
      <c r="K361" s="213"/>
      <c r="L361" s="213"/>
      <c r="N361" s="525"/>
      <c r="O361" s="525"/>
      <c r="P361" s="525"/>
      <c r="Q361" s="58"/>
      <c r="R361" s="58"/>
      <c r="S361" s="58"/>
    </row>
    <row r="362" spans="2:19" x14ac:dyDescent="0.2">
      <c r="B362" s="213"/>
      <c r="C362" s="213"/>
      <c r="D362" s="213"/>
      <c r="E362" s="213"/>
      <c r="F362" s="213"/>
      <c r="G362" s="525"/>
      <c r="H362" s="213"/>
      <c r="I362" s="213"/>
      <c r="J362" s="213"/>
      <c r="K362" s="213"/>
      <c r="L362" s="213"/>
      <c r="N362" s="525"/>
      <c r="O362" s="525"/>
      <c r="P362" s="525"/>
      <c r="Q362" s="58"/>
      <c r="R362" s="58"/>
      <c r="S362" s="58"/>
    </row>
    <row r="363" spans="2:19" x14ac:dyDescent="0.2">
      <c r="B363" s="213"/>
      <c r="C363" s="213"/>
      <c r="D363" s="213"/>
      <c r="E363" s="213"/>
      <c r="F363" s="213"/>
      <c r="G363" s="525"/>
      <c r="H363" s="213"/>
      <c r="I363" s="213"/>
      <c r="J363" s="213"/>
      <c r="K363" s="213"/>
      <c r="L363" s="213"/>
      <c r="N363" s="525"/>
      <c r="O363" s="525"/>
      <c r="P363" s="525"/>
      <c r="Q363" s="58"/>
      <c r="R363" s="58"/>
      <c r="S363" s="58"/>
    </row>
    <row r="364" spans="2:19" x14ac:dyDescent="0.2">
      <c r="B364" s="213"/>
      <c r="C364" s="213"/>
      <c r="D364" s="213"/>
      <c r="E364" s="213"/>
      <c r="F364" s="213"/>
      <c r="G364" s="525"/>
      <c r="H364" s="213"/>
      <c r="I364" s="213"/>
      <c r="J364" s="213"/>
      <c r="K364" s="213"/>
      <c r="L364" s="213"/>
      <c r="N364" s="525"/>
      <c r="O364" s="525"/>
      <c r="P364" s="525"/>
      <c r="Q364" s="58"/>
      <c r="R364" s="58"/>
      <c r="S364" s="58"/>
    </row>
    <row r="365" spans="2:19" x14ac:dyDescent="0.2">
      <c r="B365" s="213"/>
      <c r="C365" s="213"/>
      <c r="D365" s="213"/>
      <c r="E365" s="213"/>
      <c r="F365" s="213"/>
      <c r="G365" s="525"/>
      <c r="H365" s="213"/>
      <c r="I365" s="213"/>
      <c r="J365" s="213"/>
      <c r="K365" s="213"/>
      <c r="L365" s="213"/>
      <c r="N365" s="525"/>
      <c r="O365" s="525"/>
      <c r="P365" s="525"/>
      <c r="Q365" s="58"/>
      <c r="R365" s="58"/>
      <c r="S365" s="58"/>
    </row>
    <row r="366" spans="2:19" x14ac:dyDescent="0.2">
      <c r="B366" s="213"/>
      <c r="C366" s="213"/>
      <c r="D366" s="213"/>
      <c r="E366" s="213"/>
      <c r="F366" s="213"/>
      <c r="G366" s="525"/>
      <c r="H366" s="213"/>
      <c r="I366" s="213"/>
      <c r="J366" s="213"/>
      <c r="K366" s="213"/>
      <c r="L366" s="213"/>
      <c r="N366" s="525"/>
      <c r="O366" s="525"/>
      <c r="P366" s="525"/>
      <c r="Q366" s="58"/>
      <c r="R366" s="58"/>
      <c r="S366" s="58"/>
    </row>
    <row r="367" spans="2:19" x14ac:dyDescent="0.2">
      <c r="B367" s="213"/>
      <c r="C367" s="213"/>
      <c r="D367" s="213"/>
      <c r="E367" s="213"/>
      <c r="F367" s="213"/>
      <c r="G367" s="525"/>
      <c r="H367" s="213"/>
      <c r="I367" s="213"/>
      <c r="J367" s="213"/>
      <c r="K367" s="213"/>
      <c r="L367" s="213"/>
      <c r="N367" s="525"/>
      <c r="O367" s="525"/>
      <c r="P367" s="525"/>
      <c r="Q367" s="58"/>
      <c r="R367" s="58"/>
      <c r="S367" s="58"/>
    </row>
    <row r="368" spans="2:19" x14ac:dyDescent="0.2">
      <c r="B368" s="213"/>
      <c r="C368" s="213"/>
      <c r="D368" s="213"/>
      <c r="E368" s="213"/>
      <c r="F368" s="213"/>
      <c r="G368" s="525"/>
      <c r="H368" s="213"/>
      <c r="I368" s="213"/>
      <c r="J368" s="213"/>
      <c r="K368" s="213"/>
      <c r="L368" s="213"/>
      <c r="N368" s="525"/>
      <c r="O368" s="525"/>
      <c r="P368" s="525"/>
      <c r="Q368" s="58"/>
      <c r="R368" s="58"/>
      <c r="S368" s="58"/>
    </row>
    <row r="369" spans="2:19" x14ac:dyDescent="0.2">
      <c r="B369" s="213"/>
      <c r="C369" s="213"/>
      <c r="D369" s="213"/>
      <c r="E369" s="213"/>
      <c r="F369" s="213"/>
      <c r="G369" s="525"/>
      <c r="H369" s="213"/>
      <c r="I369" s="213"/>
      <c r="J369" s="213"/>
      <c r="K369" s="213"/>
      <c r="L369" s="213"/>
      <c r="N369" s="525"/>
      <c r="O369" s="525"/>
      <c r="P369" s="525"/>
      <c r="Q369" s="58"/>
      <c r="R369" s="58"/>
      <c r="S369" s="58"/>
    </row>
    <row r="370" spans="2:19" x14ac:dyDescent="0.2">
      <c r="B370" s="213"/>
      <c r="C370" s="213"/>
      <c r="D370" s="213"/>
      <c r="E370" s="213"/>
      <c r="F370" s="213"/>
      <c r="G370" s="525"/>
      <c r="H370" s="213"/>
      <c r="I370" s="213"/>
      <c r="J370" s="213"/>
      <c r="K370" s="213"/>
      <c r="L370" s="213"/>
      <c r="N370" s="525"/>
      <c r="O370" s="525"/>
      <c r="P370" s="525"/>
      <c r="Q370" s="58"/>
      <c r="R370" s="58"/>
      <c r="S370" s="58"/>
    </row>
    <row r="371" spans="2:19" x14ac:dyDescent="0.2">
      <c r="B371" s="213"/>
      <c r="C371" s="213"/>
      <c r="D371" s="213"/>
      <c r="E371" s="213"/>
      <c r="F371" s="213"/>
      <c r="G371" s="525"/>
      <c r="H371" s="213"/>
      <c r="I371" s="213"/>
      <c r="J371" s="213"/>
      <c r="K371" s="213"/>
      <c r="L371" s="213"/>
      <c r="N371" s="525"/>
      <c r="O371" s="525"/>
      <c r="P371" s="525"/>
      <c r="Q371" s="58"/>
      <c r="R371" s="58"/>
      <c r="S371" s="58"/>
    </row>
    <row r="372" spans="2:19" x14ac:dyDescent="0.2">
      <c r="B372" s="213"/>
      <c r="C372" s="213"/>
      <c r="D372" s="213"/>
      <c r="E372" s="213"/>
      <c r="F372" s="213"/>
      <c r="G372" s="525"/>
      <c r="H372" s="213"/>
      <c r="I372" s="213"/>
      <c r="J372" s="213"/>
      <c r="K372" s="213"/>
      <c r="L372" s="213"/>
      <c r="N372" s="525"/>
      <c r="O372" s="525"/>
      <c r="P372" s="525"/>
      <c r="Q372" s="58"/>
      <c r="R372" s="58"/>
      <c r="S372" s="58"/>
    </row>
    <row r="373" spans="2:19" x14ac:dyDescent="0.2">
      <c r="B373" s="213"/>
      <c r="C373" s="213"/>
      <c r="D373" s="213"/>
      <c r="E373" s="213"/>
      <c r="F373" s="213"/>
      <c r="G373" s="525"/>
      <c r="H373" s="213"/>
      <c r="I373" s="213"/>
      <c r="J373" s="213"/>
      <c r="K373" s="213"/>
      <c r="L373" s="213"/>
      <c r="N373" s="525"/>
      <c r="O373" s="525"/>
      <c r="P373" s="525"/>
      <c r="Q373" s="58"/>
      <c r="R373" s="58"/>
      <c r="S373" s="58"/>
    </row>
    <row r="374" spans="2:19" x14ac:dyDescent="0.2">
      <c r="B374" s="213"/>
      <c r="C374" s="213"/>
      <c r="D374" s="213"/>
      <c r="E374" s="213"/>
      <c r="F374" s="213"/>
      <c r="G374" s="525"/>
      <c r="H374" s="213"/>
      <c r="I374" s="213"/>
      <c r="J374" s="213"/>
      <c r="K374" s="213"/>
      <c r="L374" s="213"/>
      <c r="N374" s="525"/>
      <c r="O374" s="525"/>
      <c r="P374" s="525"/>
      <c r="Q374" s="58"/>
      <c r="R374" s="58"/>
      <c r="S374" s="58"/>
    </row>
    <row r="375" spans="2:19" x14ac:dyDescent="0.2">
      <c r="B375" s="213"/>
      <c r="C375" s="213"/>
      <c r="D375" s="213"/>
      <c r="E375" s="213"/>
      <c r="F375" s="213"/>
      <c r="G375" s="525"/>
      <c r="H375" s="213"/>
      <c r="I375" s="213"/>
      <c r="J375" s="213"/>
      <c r="K375" s="213"/>
      <c r="L375" s="213"/>
      <c r="N375" s="525"/>
      <c r="O375" s="525"/>
      <c r="P375" s="525"/>
      <c r="Q375" s="58"/>
      <c r="R375" s="58"/>
      <c r="S375" s="58"/>
    </row>
    <row r="376" spans="2:19" x14ac:dyDescent="0.2">
      <c r="B376" s="213"/>
      <c r="C376" s="213"/>
      <c r="D376" s="213"/>
      <c r="E376" s="213"/>
      <c r="F376" s="213"/>
      <c r="G376" s="525"/>
      <c r="H376" s="213"/>
      <c r="I376" s="213"/>
      <c r="J376" s="213"/>
      <c r="K376" s="213"/>
      <c r="L376" s="213"/>
      <c r="N376" s="525"/>
      <c r="O376" s="525"/>
      <c r="P376" s="525"/>
      <c r="Q376" s="58"/>
      <c r="R376" s="58"/>
      <c r="S376" s="58"/>
    </row>
    <row r="377" spans="2:19" x14ac:dyDescent="0.2">
      <c r="B377" s="213"/>
      <c r="C377" s="213"/>
      <c r="D377" s="213"/>
      <c r="E377" s="213"/>
      <c r="F377" s="213"/>
      <c r="G377" s="525"/>
      <c r="H377" s="213"/>
      <c r="I377" s="213"/>
      <c r="J377" s="213"/>
      <c r="K377" s="213"/>
      <c r="L377" s="213"/>
      <c r="N377" s="525"/>
      <c r="O377" s="525"/>
      <c r="P377" s="525"/>
      <c r="Q377" s="58"/>
      <c r="R377" s="58"/>
      <c r="S377" s="58"/>
    </row>
    <row r="378" spans="2:19" x14ac:dyDescent="0.2">
      <c r="B378" s="213"/>
      <c r="C378" s="213"/>
      <c r="D378" s="213"/>
      <c r="E378" s="213"/>
      <c r="F378" s="213"/>
      <c r="G378" s="525"/>
      <c r="H378" s="213"/>
      <c r="I378" s="213"/>
      <c r="J378" s="213"/>
      <c r="K378" s="213"/>
      <c r="L378" s="213"/>
      <c r="N378" s="525"/>
      <c r="O378" s="525"/>
      <c r="P378" s="525"/>
      <c r="Q378" s="58"/>
      <c r="R378" s="58"/>
      <c r="S378" s="58"/>
    </row>
    <row r="379" spans="2:19" x14ac:dyDescent="0.2">
      <c r="B379" s="213"/>
      <c r="C379" s="213"/>
      <c r="D379" s="213"/>
      <c r="E379" s="213"/>
      <c r="F379" s="213"/>
      <c r="G379" s="525"/>
      <c r="H379" s="213"/>
      <c r="I379" s="213"/>
      <c r="J379" s="213"/>
      <c r="K379" s="213"/>
      <c r="L379" s="213"/>
      <c r="N379" s="525"/>
      <c r="O379" s="525"/>
      <c r="P379" s="525"/>
      <c r="Q379" s="58"/>
      <c r="R379" s="58"/>
      <c r="S379" s="58"/>
    </row>
    <row r="380" spans="2:19" x14ac:dyDescent="0.2">
      <c r="B380" s="213"/>
      <c r="C380" s="213"/>
      <c r="D380" s="213"/>
      <c r="E380" s="213"/>
      <c r="F380" s="213"/>
      <c r="G380" s="525"/>
      <c r="H380" s="213"/>
      <c r="I380" s="213"/>
      <c r="J380" s="213"/>
      <c r="K380" s="213"/>
      <c r="L380" s="213"/>
      <c r="N380" s="525"/>
      <c r="O380" s="525"/>
      <c r="P380" s="525"/>
      <c r="Q380" s="58"/>
      <c r="R380" s="58"/>
      <c r="S380" s="58"/>
    </row>
    <row r="381" spans="2:19" x14ac:dyDescent="0.2">
      <c r="B381" s="213"/>
      <c r="C381" s="213"/>
      <c r="D381" s="213"/>
      <c r="E381" s="213"/>
      <c r="F381" s="213"/>
      <c r="G381" s="525"/>
      <c r="H381" s="213"/>
      <c r="I381" s="213"/>
      <c r="J381" s="213"/>
      <c r="K381" s="213"/>
      <c r="L381" s="213"/>
      <c r="N381" s="525"/>
      <c r="O381" s="525"/>
      <c r="P381" s="525"/>
      <c r="Q381" s="58"/>
      <c r="R381" s="58"/>
      <c r="S381" s="58"/>
    </row>
    <row r="382" spans="2:19" x14ac:dyDescent="0.2">
      <c r="B382" s="213"/>
      <c r="C382" s="213"/>
      <c r="D382" s="213"/>
      <c r="E382" s="213"/>
      <c r="F382" s="213"/>
      <c r="G382" s="525"/>
      <c r="H382" s="213"/>
      <c r="I382" s="213"/>
      <c r="J382" s="213"/>
      <c r="K382" s="213"/>
      <c r="L382" s="213"/>
      <c r="N382" s="525"/>
      <c r="O382" s="525"/>
      <c r="P382" s="525"/>
      <c r="Q382" s="58"/>
      <c r="R382" s="58"/>
      <c r="S382" s="58"/>
    </row>
    <row r="383" spans="2:19" x14ac:dyDescent="0.2">
      <c r="B383" s="213"/>
      <c r="C383" s="213"/>
      <c r="D383" s="213"/>
      <c r="E383" s="213"/>
      <c r="F383" s="213"/>
      <c r="G383" s="525"/>
      <c r="H383" s="213"/>
      <c r="I383" s="213"/>
      <c r="J383" s="213"/>
      <c r="K383" s="213"/>
      <c r="L383" s="213"/>
      <c r="N383" s="525"/>
      <c r="O383" s="525"/>
      <c r="P383" s="525"/>
      <c r="Q383" s="58"/>
      <c r="R383" s="58"/>
      <c r="S383" s="58"/>
    </row>
    <row r="384" spans="2:19" x14ac:dyDescent="0.2">
      <c r="B384" s="213"/>
      <c r="C384" s="213"/>
      <c r="D384" s="213"/>
      <c r="E384" s="213"/>
      <c r="F384" s="213"/>
      <c r="G384" s="525"/>
      <c r="H384" s="213"/>
      <c r="I384" s="213"/>
      <c r="J384" s="213"/>
      <c r="K384" s="213"/>
      <c r="L384" s="213"/>
      <c r="N384" s="525"/>
      <c r="O384" s="525"/>
      <c r="P384" s="525"/>
      <c r="Q384" s="58"/>
      <c r="R384" s="58"/>
      <c r="S384" s="58"/>
    </row>
    <row r="385" spans="2:19" x14ac:dyDescent="0.2">
      <c r="B385" s="213"/>
      <c r="C385" s="213"/>
      <c r="D385" s="213"/>
      <c r="E385" s="213"/>
      <c r="F385" s="213"/>
      <c r="G385" s="525"/>
      <c r="H385" s="213"/>
      <c r="I385" s="213"/>
      <c r="J385" s="213"/>
      <c r="K385" s="213"/>
      <c r="L385" s="213"/>
      <c r="N385" s="525"/>
      <c r="O385" s="525"/>
      <c r="P385" s="525"/>
      <c r="Q385" s="58"/>
      <c r="R385" s="58"/>
      <c r="S385" s="58"/>
    </row>
    <row r="386" spans="2:19" x14ac:dyDescent="0.2">
      <c r="B386" s="213"/>
      <c r="C386" s="213"/>
      <c r="D386" s="213"/>
      <c r="E386" s="213"/>
      <c r="F386" s="213"/>
      <c r="G386" s="525"/>
      <c r="H386" s="213"/>
      <c r="I386" s="213"/>
      <c r="J386" s="213"/>
      <c r="K386" s="213"/>
      <c r="L386" s="213"/>
      <c r="N386" s="525"/>
      <c r="O386" s="525"/>
      <c r="P386" s="525"/>
      <c r="Q386" s="58"/>
      <c r="R386" s="58"/>
      <c r="S386" s="58"/>
    </row>
    <row r="387" spans="2:19" x14ac:dyDescent="0.2">
      <c r="B387" s="213"/>
      <c r="C387" s="213"/>
      <c r="D387" s="213"/>
      <c r="E387" s="213"/>
      <c r="F387" s="213"/>
      <c r="G387" s="525"/>
      <c r="H387" s="213"/>
      <c r="I387" s="213"/>
      <c r="J387" s="213"/>
      <c r="K387" s="213"/>
      <c r="L387" s="213"/>
      <c r="N387" s="525"/>
      <c r="O387" s="525"/>
      <c r="P387" s="525"/>
      <c r="Q387" s="58"/>
      <c r="R387" s="58"/>
      <c r="S387" s="58"/>
    </row>
    <row r="388" spans="2:19" x14ac:dyDescent="0.2">
      <c r="B388" s="213"/>
      <c r="C388" s="213"/>
      <c r="D388" s="213"/>
      <c r="E388" s="213"/>
      <c r="F388" s="213"/>
      <c r="G388" s="525"/>
      <c r="H388" s="213"/>
      <c r="I388" s="213"/>
      <c r="J388" s="213"/>
      <c r="K388" s="213"/>
      <c r="L388" s="213"/>
      <c r="N388" s="525"/>
      <c r="O388" s="525"/>
      <c r="P388" s="525"/>
      <c r="Q388" s="58"/>
      <c r="R388" s="58"/>
      <c r="S388" s="58"/>
    </row>
    <row r="389" spans="2:19" x14ac:dyDescent="0.2">
      <c r="B389" s="213"/>
      <c r="C389" s="213"/>
      <c r="D389" s="213"/>
      <c r="E389" s="213"/>
      <c r="F389" s="213"/>
      <c r="G389" s="525"/>
      <c r="H389" s="213"/>
      <c r="I389" s="213"/>
      <c r="J389" s="213"/>
      <c r="K389" s="213"/>
      <c r="L389" s="213"/>
      <c r="N389" s="525"/>
      <c r="O389" s="525"/>
      <c r="P389" s="525"/>
      <c r="Q389" s="58"/>
      <c r="R389" s="58"/>
      <c r="S389" s="58"/>
    </row>
    <row r="390" spans="2:19" x14ac:dyDescent="0.2">
      <c r="B390" s="213"/>
      <c r="C390" s="213"/>
      <c r="D390" s="213"/>
      <c r="E390" s="213"/>
      <c r="F390" s="213"/>
      <c r="G390" s="525"/>
      <c r="H390" s="213"/>
      <c r="I390" s="213"/>
      <c r="J390" s="213"/>
      <c r="K390" s="213"/>
      <c r="L390" s="213"/>
      <c r="N390" s="525"/>
      <c r="O390" s="525"/>
      <c r="P390" s="525"/>
      <c r="Q390" s="58"/>
      <c r="R390" s="58"/>
      <c r="S390" s="58"/>
    </row>
    <row r="391" spans="2:19" x14ac:dyDescent="0.2">
      <c r="B391" s="213"/>
      <c r="C391" s="213"/>
      <c r="D391" s="213"/>
      <c r="E391" s="213"/>
      <c r="F391" s="213"/>
      <c r="G391" s="525"/>
      <c r="H391" s="213"/>
      <c r="I391" s="213"/>
      <c r="J391" s="213"/>
      <c r="K391" s="213"/>
      <c r="L391" s="213"/>
      <c r="N391" s="525"/>
      <c r="O391" s="525"/>
      <c r="P391" s="525"/>
      <c r="Q391" s="58"/>
      <c r="R391" s="58"/>
      <c r="S391" s="58"/>
    </row>
    <row r="392" spans="2:19" x14ac:dyDescent="0.2">
      <c r="B392" s="213"/>
      <c r="C392" s="213"/>
      <c r="D392" s="213"/>
      <c r="E392" s="213"/>
      <c r="F392" s="213"/>
      <c r="G392" s="525"/>
      <c r="H392" s="213"/>
      <c r="I392" s="213"/>
      <c r="J392" s="213"/>
      <c r="K392" s="213"/>
      <c r="L392" s="213"/>
      <c r="N392" s="525"/>
      <c r="O392" s="525"/>
      <c r="P392" s="525"/>
      <c r="Q392" s="58"/>
      <c r="R392" s="58"/>
      <c r="S392" s="58"/>
    </row>
    <row r="393" spans="2:19" x14ac:dyDescent="0.2">
      <c r="B393" s="213"/>
      <c r="C393" s="213"/>
      <c r="D393" s="213"/>
      <c r="E393" s="213"/>
      <c r="F393" s="213"/>
      <c r="G393" s="525"/>
      <c r="H393" s="213"/>
      <c r="I393" s="213"/>
      <c r="J393" s="213"/>
      <c r="K393" s="213"/>
      <c r="L393" s="213"/>
      <c r="N393" s="525"/>
      <c r="O393" s="525"/>
      <c r="P393" s="525"/>
      <c r="Q393" s="58"/>
      <c r="R393" s="58"/>
      <c r="S393" s="58"/>
    </row>
    <row r="394" spans="2:19" x14ac:dyDescent="0.2">
      <c r="B394" s="213"/>
      <c r="C394" s="213"/>
      <c r="D394" s="213"/>
      <c r="E394" s="213"/>
      <c r="F394" s="213"/>
      <c r="G394" s="525"/>
      <c r="H394" s="213"/>
      <c r="I394" s="213"/>
      <c r="J394" s="213"/>
      <c r="K394" s="213"/>
      <c r="L394" s="213"/>
      <c r="N394" s="525"/>
      <c r="O394" s="525"/>
      <c r="P394" s="525"/>
      <c r="Q394" s="58"/>
      <c r="R394" s="58"/>
      <c r="S394" s="58"/>
    </row>
    <row r="395" spans="2:19" x14ac:dyDescent="0.2">
      <c r="B395" s="213"/>
      <c r="C395" s="213"/>
      <c r="D395" s="213"/>
      <c r="E395" s="213"/>
      <c r="F395" s="213"/>
      <c r="G395" s="525"/>
      <c r="H395" s="213"/>
      <c r="I395" s="213"/>
      <c r="J395" s="213"/>
      <c r="K395" s="213"/>
      <c r="L395" s="213"/>
      <c r="N395" s="525"/>
      <c r="O395" s="525"/>
      <c r="P395" s="525"/>
      <c r="Q395" s="58"/>
      <c r="R395" s="58"/>
      <c r="S395" s="58"/>
    </row>
    <row r="396" spans="2:19" x14ac:dyDescent="0.2">
      <c r="B396" s="213"/>
      <c r="C396" s="213"/>
      <c r="D396" s="213"/>
      <c r="E396" s="213"/>
      <c r="F396" s="213"/>
      <c r="G396" s="525"/>
      <c r="H396" s="213"/>
      <c r="I396" s="213"/>
      <c r="J396" s="213"/>
      <c r="K396" s="213"/>
      <c r="L396" s="213"/>
      <c r="N396" s="525"/>
      <c r="O396" s="525"/>
      <c r="P396" s="525"/>
      <c r="Q396" s="58"/>
      <c r="R396" s="58"/>
      <c r="S396" s="58"/>
    </row>
    <row r="397" spans="2:19" x14ac:dyDescent="0.2">
      <c r="B397" s="213"/>
      <c r="C397" s="213"/>
      <c r="D397" s="213"/>
      <c r="E397" s="213"/>
      <c r="F397" s="213"/>
      <c r="G397" s="525"/>
      <c r="H397" s="213"/>
      <c r="I397" s="213"/>
      <c r="J397" s="213"/>
      <c r="K397" s="213"/>
      <c r="L397" s="213"/>
      <c r="N397" s="525"/>
      <c r="O397" s="525"/>
      <c r="P397" s="525"/>
      <c r="Q397" s="58"/>
      <c r="R397" s="58"/>
      <c r="S397" s="58"/>
    </row>
    <row r="398" spans="2:19" x14ac:dyDescent="0.2">
      <c r="B398" s="213"/>
      <c r="C398" s="213"/>
      <c r="D398" s="213"/>
      <c r="E398" s="213"/>
      <c r="F398" s="213"/>
      <c r="G398" s="525"/>
      <c r="H398" s="213"/>
      <c r="I398" s="213"/>
      <c r="J398" s="213"/>
      <c r="K398" s="213"/>
      <c r="L398" s="213"/>
      <c r="N398" s="525"/>
      <c r="O398" s="525"/>
      <c r="P398" s="525"/>
      <c r="Q398" s="58"/>
      <c r="R398" s="58"/>
      <c r="S398" s="58"/>
    </row>
    <row r="399" spans="2:19" x14ac:dyDescent="0.2">
      <c r="B399" s="213"/>
      <c r="C399" s="213"/>
      <c r="D399" s="213"/>
      <c r="E399" s="213"/>
      <c r="F399" s="213"/>
      <c r="G399" s="525"/>
      <c r="H399" s="213"/>
      <c r="I399" s="213"/>
      <c r="J399" s="213"/>
      <c r="K399" s="213"/>
      <c r="L399" s="213"/>
      <c r="N399" s="525"/>
      <c r="O399" s="525"/>
      <c r="P399" s="525"/>
      <c r="Q399" s="58"/>
      <c r="R399" s="58"/>
      <c r="S399" s="58"/>
    </row>
    <row r="400" spans="2:19" x14ac:dyDescent="0.2">
      <c r="B400" s="213"/>
      <c r="C400" s="213"/>
      <c r="D400" s="213"/>
      <c r="E400" s="213"/>
      <c r="F400" s="213"/>
      <c r="G400" s="525"/>
      <c r="H400" s="213"/>
      <c r="I400" s="213"/>
      <c r="J400" s="213"/>
      <c r="K400" s="213"/>
      <c r="L400" s="213"/>
      <c r="N400" s="525"/>
      <c r="O400" s="525"/>
      <c r="P400" s="525"/>
      <c r="Q400" s="58"/>
      <c r="R400" s="58"/>
      <c r="S400" s="58"/>
    </row>
    <row r="401" spans="2:19" x14ac:dyDescent="0.2">
      <c r="B401" s="213"/>
      <c r="C401" s="213"/>
      <c r="D401" s="213"/>
      <c r="E401" s="213"/>
      <c r="F401" s="213"/>
      <c r="G401" s="525"/>
      <c r="H401" s="213"/>
      <c r="I401" s="213"/>
      <c r="J401" s="213"/>
      <c r="K401" s="213"/>
      <c r="L401" s="213"/>
      <c r="N401" s="525"/>
      <c r="O401" s="525"/>
      <c r="P401" s="525"/>
      <c r="Q401" s="58"/>
      <c r="R401" s="58"/>
      <c r="S401" s="58"/>
    </row>
    <row r="402" spans="2:19" x14ac:dyDescent="0.2">
      <c r="B402" s="213"/>
      <c r="C402" s="213"/>
      <c r="D402" s="213"/>
      <c r="E402" s="213"/>
      <c r="F402" s="213"/>
      <c r="G402" s="525"/>
      <c r="H402" s="213"/>
      <c r="I402" s="213"/>
      <c r="J402" s="213"/>
      <c r="K402" s="213"/>
      <c r="L402" s="213"/>
      <c r="N402" s="525"/>
      <c r="O402" s="525"/>
      <c r="P402" s="525"/>
      <c r="Q402" s="58"/>
      <c r="R402" s="58"/>
      <c r="S402" s="58"/>
    </row>
    <row r="403" spans="2:19" x14ac:dyDescent="0.2">
      <c r="B403" s="213"/>
      <c r="C403" s="213"/>
      <c r="D403" s="213"/>
      <c r="E403" s="213"/>
      <c r="F403" s="213"/>
      <c r="G403" s="525"/>
      <c r="H403" s="213"/>
      <c r="I403" s="213"/>
      <c r="J403" s="213"/>
      <c r="K403" s="213"/>
      <c r="L403" s="213"/>
      <c r="N403" s="525"/>
      <c r="O403" s="525"/>
      <c r="P403" s="525"/>
      <c r="Q403" s="58"/>
      <c r="R403" s="58"/>
      <c r="S403" s="58"/>
    </row>
    <row r="404" spans="2:19" x14ac:dyDescent="0.2">
      <c r="B404" s="213"/>
      <c r="C404" s="213"/>
      <c r="D404" s="213"/>
      <c r="E404" s="213"/>
      <c r="F404" s="213"/>
      <c r="G404" s="525"/>
      <c r="H404" s="213"/>
      <c r="I404" s="213"/>
      <c r="J404" s="213"/>
      <c r="K404" s="213"/>
      <c r="L404" s="213"/>
      <c r="N404" s="525"/>
      <c r="O404" s="525"/>
      <c r="P404" s="525"/>
      <c r="Q404" s="58"/>
      <c r="R404" s="58"/>
      <c r="S404" s="58"/>
    </row>
    <row r="405" spans="2:19" x14ac:dyDescent="0.2">
      <c r="B405" s="213"/>
      <c r="C405" s="213"/>
      <c r="D405" s="213"/>
      <c r="E405" s="213"/>
      <c r="F405" s="213"/>
      <c r="G405" s="525"/>
      <c r="H405" s="213"/>
      <c r="I405" s="213"/>
      <c r="J405" s="213"/>
      <c r="K405" s="213"/>
      <c r="L405" s="213"/>
      <c r="N405" s="525"/>
      <c r="O405" s="525"/>
      <c r="P405" s="525"/>
      <c r="Q405" s="58"/>
      <c r="R405" s="58"/>
      <c r="S405" s="58"/>
    </row>
    <row r="406" spans="2:19" x14ac:dyDescent="0.2">
      <c r="B406" s="213"/>
      <c r="C406" s="213"/>
      <c r="D406" s="213"/>
      <c r="E406" s="213"/>
      <c r="F406" s="213"/>
      <c r="G406" s="525"/>
      <c r="H406" s="213"/>
      <c r="I406" s="213"/>
      <c r="J406" s="213"/>
      <c r="K406" s="213"/>
      <c r="L406" s="213"/>
      <c r="N406" s="525"/>
      <c r="O406" s="525"/>
      <c r="P406" s="525"/>
      <c r="Q406" s="58"/>
      <c r="R406" s="58"/>
      <c r="S406" s="58"/>
    </row>
    <row r="407" spans="2:19" x14ac:dyDescent="0.2">
      <c r="B407" s="213"/>
      <c r="C407" s="213"/>
      <c r="D407" s="213"/>
      <c r="E407" s="213"/>
      <c r="F407" s="213"/>
      <c r="G407" s="525"/>
      <c r="H407" s="213"/>
      <c r="I407" s="213"/>
      <c r="J407" s="213"/>
      <c r="K407" s="213"/>
      <c r="L407" s="213"/>
      <c r="N407" s="525"/>
      <c r="O407" s="525"/>
      <c r="P407" s="525"/>
      <c r="Q407" s="58"/>
      <c r="R407" s="58"/>
      <c r="S407" s="58"/>
    </row>
    <row r="408" spans="2:19" x14ac:dyDescent="0.2">
      <c r="B408" s="213"/>
      <c r="C408" s="213"/>
      <c r="D408" s="213"/>
      <c r="E408" s="213"/>
      <c r="F408" s="213"/>
      <c r="G408" s="525"/>
      <c r="H408" s="213"/>
      <c r="I408" s="213"/>
      <c r="J408" s="213"/>
      <c r="K408" s="213"/>
      <c r="L408" s="213"/>
      <c r="N408" s="525"/>
      <c r="O408" s="525"/>
      <c r="P408" s="525"/>
      <c r="Q408" s="58"/>
      <c r="R408" s="58"/>
      <c r="S408" s="58"/>
    </row>
    <row r="409" spans="2:19" x14ac:dyDescent="0.2">
      <c r="B409" s="213"/>
      <c r="C409" s="213"/>
      <c r="D409" s="213"/>
      <c r="E409" s="213"/>
      <c r="F409" s="213"/>
      <c r="G409" s="525"/>
      <c r="H409" s="213"/>
      <c r="I409" s="213"/>
      <c r="J409" s="213"/>
      <c r="K409" s="213"/>
      <c r="L409" s="213"/>
      <c r="N409" s="525"/>
      <c r="O409" s="525"/>
      <c r="P409" s="525"/>
      <c r="Q409" s="58"/>
      <c r="R409" s="58"/>
      <c r="S409" s="58"/>
    </row>
    <row r="410" spans="2:19" x14ac:dyDescent="0.2">
      <c r="B410" s="213"/>
      <c r="C410" s="213"/>
      <c r="D410" s="213"/>
      <c r="E410" s="213"/>
      <c r="F410" s="213"/>
      <c r="G410" s="525"/>
      <c r="H410" s="213"/>
      <c r="I410" s="213"/>
      <c r="J410" s="213"/>
      <c r="K410" s="213"/>
      <c r="L410" s="213"/>
      <c r="N410" s="525"/>
      <c r="O410" s="525"/>
      <c r="P410" s="525"/>
      <c r="Q410" s="58"/>
      <c r="R410" s="58"/>
      <c r="S410" s="58"/>
    </row>
    <row r="411" spans="2:19" x14ac:dyDescent="0.2">
      <c r="B411" s="213"/>
      <c r="C411" s="213"/>
      <c r="D411" s="213"/>
      <c r="E411" s="213"/>
      <c r="F411" s="213"/>
      <c r="G411" s="525"/>
      <c r="H411" s="213"/>
      <c r="I411" s="213"/>
      <c r="J411" s="213"/>
      <c r="K411" s="213"/>
      <c r="L411" s="213"/>
      <c r="N411" s="525"/>
      <c r="O411" s="525"/>
      <c r="P411" s="525"/>
      <c r="Q411" s="58"/>
      <c r="R411" s="58"/>
      <c r="S411" s="58"/>
    </row>
    <row r="412" spans="2:19" x14ac:dyDescent="0.2">
      <c r="B412" s="213"/>
      <c r="C412" s="213"/>
      <c r="D412" s="213"/>
      <c r="E412" s="213"/>
      <c r="F412" s="213"/>
      <c r="G412" s="525"/>
      <c r="H412" s="213"/>
      <c r="I412" s="213"/>
      <c r="J412" s="213"/>
      <c r="K412" s="213"/>
      <c r="L412" s="213"/>
      <c r="N412" s="525"/>
      <c r="O412" s="525"/>
      <c r="P412" s="525"/>
      <c r="Q412" s="58"/>
      <c r="R412" s="58"/>
      <c r="S412" s="58"/>
    </row>
    <row r="413" spans="2:19" x14ac:dyDescent="0.2">
      <c r="B413" s="213"/>
      <c r="C413" s="213"/>
      <c r="D413" s="213"/>
      <c r="E413" s="213"/>
      <c r="F413" s="213"/>
      <c r="G413" s="525"/>
      <c r="H413" s="213"/>
      <c r="I413" s="213"/>
      <c r="J413" s="213"/>
      <c r="K413" s="213"/>
      <c r="L413" s="213"/>
      <c r="N413" s="525"/>
      <c r="O413" s="525"/>
      <c r="P413" s="525"/>
      <c r="Q413" s="58"/>
      <c r="R413" s="58"/>
      <c r="S413" s="58"/>
    </row>
    <row r="414" spans="2:19" x14ac:dyDescent="0.2">
      <c r="B414" s="213"/>
      <c r="C414" s="213"/>
      <c r="D414" s="213"/>
      <c r="E414" s="213"/>
      <c r="F414" s="213"/>
      <c r="G414" s="525"/>
      <c r="H414" s="213"/>
      <c r="I414" s="213"/>
      <c r="J414" s="213"/>
      <c r="K414" s="213"/>
      <c r="L414" s="213"/>
      <c r="N414" s="525"/>
      <c r="O414" s="525"/>
      <c r="P414" s="525"/>
      <c r="Q414" s="58"/>
      <c r="R414" s="58"/>
      <c r="S414" s="58"/>
    </row>
    <row r="415" spans="2:19" x14ac:dyDescent="0.2">
      <c r="B415" s="213"/>
      <c r="C415" s="213"/>
      <c r="D415" s="213"/>
      <c r="E415" s="213"/>
      <c r="F415" s="213"/>
      <c r="G415" s="525"/>
      <c r="H415" s="213"/>
      <c r="I415" s="213"/>
      <c r="J415" s="213"/>
      <c r="K415" s="213"/>
      <c r="L415" s="213"/>
      <c r="N415" s="525"/>
      <c r="O415" s="525"/>
      <c r="P415" s="525"/>
      <c r="Q415" s="58"/>
      <c r="R415" s="58"/>
      <c r="S415" s="58"/>
    </row>
    <row r="416" spans="2:19" x14ac:dyDescent="0.2">
      <c r="B416" s="213"/>
      <c r="C416" s="213"/>
      <c r="D416" s="213"/>
      <c r="E416" s="213"/>
      <c r="F416" s="213"/>
      <c r="G416" s="525"/>
      <c r="H416" s="213"/>
      <c r="I416" s="213"/>
      <c r="J416" s="213"/>
      <c r="K416" s="213"/>
      <c r="L416" s="213"/>
      <c r="N416" s="525"/>
      <c r="O416" s="525"/>
      <c r="P416" s="525"/>
      <c r="Q416" s="58"/>
      <c r="R416" s="58"/>
      <c r="S416" s="58"/>
    </row>
    <row r="417" spans="2:19" x14ac:dyDescent="0.2">
      <c r="B417" s="213"/>
      <c r="C417" s="213"/>
      <c r="D417" s="213"/>
      <c r="E417" s="213"/>
      <c r="F417" s="213"/>
      <c r="G417" s="525"/>
      <c r="H417" s="213"/>
      <c r="I417" s="213"/>
      <c r="J417" s="213"/>
      <c r="K417" s="213"/>
      <c r="L417" s="213"/>
      <c r="N417" s="525"/>
      <c r="O417" s="525"/>
      <c r="P417" s="525"/>
      <c r="Q417" s="58"/>
      <c r="R417" s="58"/>
      <c r="S417" s="58"/>
    </row>
    <row r="418" spans="2:19" x14ac:dyDescent="0.2">
      <c r="B418" s="213"/>
      <c r="C418" s="213"/>
      <c r="D418" s="213"/>
      <c r="E418" s="213"/>
      <c r="F418" s="213"/>
      <c r="G418" s="525"/>
      <c r="H418" s="213"/>
      <c r="I418" s="213"/>
      <c r="J418" s="213"/>
      <c r="K418" s="213"/>
      <c r="L418" s="213"/>
      <c r="N418" s="525"/>
      <c r="O418" s="525"/>
      <c r="P418" s="525"/>
      <c r="Q418" s="58"/>
      <c r="R418" s="58"/>
      <c r="S418" s="58"/>
    </row>
    <row r="419" spans="2:19" x14ac:dyDescent="0.2">
      <c r="B419" s="213"/>
      <c r="C419" s="213"/>
      <c r="D419" s="213"/>
      <c r="E419" s="213"/>
      <c r="F419" s="213"/>
      <c r="G419" s="525"/>
      <c r="H419" s="213"/>
      <c r="I419" s="213"/>
      <c r="J419" s="213"/>
      <c r="K419" s="213"/>
      <c r="L419" s="213"/>
      <c r="N419" s="525"/>
      <c r="O419" s="525"/>
      <c r="P419" s="525"/>
      <c r="Q419" s="58"/>
      <c r="R419" s="58"/>
      <c r="S419" s="58"/>
    </row>
    <row r="420" spans="2:19" x14ac:dyDescent="0.2">
      <c r="B420" s="213"/>
      <c r="C420" s="213"/>
      <c r="D420" s="213"/>
      <c r="E420" s="213"/>
      <c r="F420" s="213"/>
      <c r="G420" s="525"/>
      <c r="H420" s="213"/>
      <c r="I420" s="213"/>
      <c r="J420" s="213"/>
      <c r="K420" s="213"/>
      <c r="L420" s="213"/>
      <c r="N420" s="525"/>
      <c r="O420" s="525"/>
      <c r="P420" s="525"/>
      <c r="Q420" s="58"/>
      <c r="R420" s="58"/>
      <c r="S420" s="58"/>
    </row>
    <row r="421" spans="2:19" x14ac:dyDescent="0.2">
      <c r="B421" s="213"/>
      <c r="C421" s="213"/>
      <c r="D421" s="213"/>
      <c r="E421" s="213"/>
      <c r="F421" s="213"/>
      <c r="G421" s="525"/>
      <c r="H421" s="213"/>
      <c r="I421" s="213"/>
      <c r="J421" s="213"/>
      <c r="K421" s="213"/>
      <c r="L421" s="213"/>
      <c r="N421" s="525"/>
      <c r="O421" s="525"/>
      <c r="P421" s="525"/>
      <c r="Q421" s="58"/>
      <c r="R421" s="58"/>
      <c r="S421" s="58"/>
    </row>
    <row r="422" spans="2:19" x14ac:dyDescent="0.2">
      <c r="B422" s="213"/>
      <c r="C422" s="213"/>
      <c r="D422" s="213"/>
      <c r="E422" s="213"/>
      <c r="F422" s="213"/>
      <c r="G422" s="525"/>
      <c r="H422" s="213"/>
      <c r="I422" s="213"/>
      <c r="J422" s="213"/>
      <c r="K422" s="213"/>
      <c r="L422" s="213"/>
      <c r="N422" s="525"/>
      <c r="O422" s="525"/>
      <c r="P422" s="525"/>
      <c r="Q422" s="58"/>
      <c r="R422" s="58"/>
      <c r="S422" s="58"/>
    </row>
    <row r="423" spans="2:19" x14ac:dyDescent="0.2">
      <c r="B423" s="213"/>
      <c r="C423" s="213"/>
      <c r="D423" s="213"/>
      <c r="E423" s="213"/>
      <c r="F423" s="213"/>
      <c r="G423" s="525"/>
      <c r="H423" s="213"/>
      <c r="I423" s="213"/>
      <c r="J423" s="213"/>
      <c r="K423" s="213"/>
      <c r="L423" s="213"/>
      <c r="N423" s="525"/>
      <c r="O423" s="525"/>
      <c r="P423" s="525"/>
      <c r="Q423" s="58"/>
      <c r="R423" s="58"/>
      <c r="S423" s="58"/>
    </row>
    <row r="424" spans="2:19" x14ac:dyDescent="0.2">
      <c r="B424" s="213"/>
      <c r="C424" s="213"/>
      <c r="D424" s="213"/>
      <c r="E424" s="213"/>
      <c r="F424" s="213"/>
      <c r="G424" s="525"/>
      <c r="H424" s="213"/>
      <c r="I424" s="213"/>
      <c r="J424" s="213"/>
      <c r="K424" s="213"/>
      <c r="L424" s="213"/>
      <c r="N424" s="525"/>
      <c r="O424" s="525"/>
      <c r="P424" s="525"/>
      <c r="Q424" s="58"/>
      <c r="R424" s="58"/>
      <c r="S424" s="58"/>
    </row>
    <row r="425" spans="2:19" x14ac:dyDescent="0.2">
      <c r="B425" s="213"/>
      <c r="C425" s="213"/>
      <c r="D425" s="213"/>
      <c r="E425" s="213"/>
      <c r="F425" s="213"/>
      <c r="G425" s="525"/>
      <c r="H425" s="213"/>
      <c r="I425" s="213"/>
      <c r="J425" s="213"/>
      <c r="K425" s="213"/>
      <c r="L425" s="213"/>
      <c r="N425" s="525"/>
      <c r="O425" s="525"/>
      <c r="P425" s="525"/>
      <c r="Q425" s="58"/>
      <c r="R425" s="58"/>
      <c r="S425" s="58"/>
    </row>
    <row r="426" spans="2:19" x14ac:dyDescent="0.2">
      <c r="B426" s="213"/>
      <c r="C426" s="213"/>
      <c r="D426" s="213"/>
      <c r="E426" s="213"/>
      <c r="F426" s="213"/>
      <c r="G426" s="525"/>
      <c r="H426" s="213"/>
      <c r="I426" s="213"/>
      <c r="J426" s="213"/>
      <c r="K426" s="213"/>
      <c r="L426" s="213"/>
      <c r="N426" s="525"/>
      <c r="O426" s="525"/>
      <c r="P426" s="525"/>
      <c r="Q426" s="58"/>
      <c r="R426" s="58"/>
      <c r="S426" s="58"/>
    </row>
    <row r="427" spans="2:19" x14ac:dyDescent="0.2">
      <c r="B427" s="213"/>
      <c r="C427" s="213"/>
      <c r="D427" s="213"/>
      <c r="E427" s="213"/>
      <c r="F427" s="213"/>
      <c r="G427" s="525"/>
      <c r="H427" s="213"/>
      <c r="I427" s="213"/>
      <c r="J427" s="213"/>
      <c r="K427" s="213"/>
      <c r="L427" s="213"/>
      <c r="N427" s="525"/>
      <c r="O427" s="525"/>
      <c r="P427" s="525"/>
      <c r="Q427" s="58"/>
      <c r="R427" s="58"/>
      <c r="S427" s="58"/>
    </row>
    <row r="428" spans="2:19" x14ac:dyDescent="0.2">
      <c r="B428" s="213"/>
      <c r="C428" s="213"/>
      <c r="D428" s="213"/>
      <c r="E428" s="213"/>
      <c r="F428" s="213"/>
      <c r="G428" s="525"/>
      <c r="H428" s="213"/>
      <c r="I428" s="213"/>
      <c r="J428" s="213"/>
      <c r="K428" s="213"/>
      <c r="L428" s="213"/>
      <c r="N428" s="525"/>
      <c r="O428" s="525"/>
      <c r="P428" s="525"/>
      <c r="Q428" s="58"/>
      <c r="R428" s="58"/>
      <c r="S428" s="58"/>
    </row>
    <row r="429" spans="2:19" x14ac:dyDescent="0.2">
      <c r="B429" s="213"/>
      <c r="C429" s="213"/>
      <c r="D429" s="213"/>
      <c r="E429" s="213"/>
      <c r="F429" s="213"/>
      <c r="G429" s="525"/>
      <c r="H429" s="213"/>
      <c r="I429" s="213"/>
      <c r="J429" s="213"/>
      <c r="K429" s="213"/>
      <c r="L429" s="213"/>
      <c r="N429" s="525"/>
      <c r="O429" s="525"/>
      <c r="P429" s="525"/>
      <c r="Q429" s="58"/>
      <c r="R429" s="58"/>
      <c r="S429" s="58"/>
    </row>
    <row r="430" spans="2:19" x14ac:dyDescent="0.2">
      <c r="B430" s="213"/>
      <c r="C430" s="213"/>
      <c r="D430" s="213"/>
      <c r="E430" s="213"/>
      <c r="F430" s="213"/>
      <c r="G430" s="525"/>
      <c r="H430" s="213"/>
      <c r="I430" s="213"/>
      <c r="J430" s="213"/>
      <c r="K430" s="213"/>
      <c r="L430" s="213"/>
      <c r="N430" s="525"/>
      <c r="O430" s="525"/>
      <c r="P430" s="525"/>
      <c r="Q430" s="58"/>
      <c r="R430" s="58"/>
      <c r="S430" s="58"/>
    </row>
    <row r="431" spans="2:19" x14ac:dyDescent="0.2">
      <c r="B431" s="213"/>
      <c r="C431" s="213"/>
      <c r="D431" s="213"/>
      <c r="E431" s="213"/>
      <c r="F431" s="213"/>
      <c r="G431" s="525"/>
      <c r="H431" s="213"/>
      <c r="I431" s="213"/>
      <c r="J431" s="213"/>
      <c r="K431" s="213"/>
      <c r="L431" s="213"/>
      <c r="N431" s="525"/>
      <c r="O431" s="525"/>
      <c r="P431" s="525"/>
      <c r="Q431" s="58"/>
      <c r="R431" s="58"/>
      <c r="S431" s="58"/>
    </row>
    <row r="432" spans="2:19" x14ac:dyDescent="0.2">
      <c r="B432" s="213"/>
      <c r="C432" s="213"/>
      <c r="D432" s="213"/>
      <c r="E432" s="213"/>
      <c r="F432" s="213"/>
      <c r="G432" s="525"/>
      <c r="H432" s="213"/>
      <c r="I432" s="213"/>
      <c r="J432" s="213"/>
      <c r="K432" s="213"/>
      <c r="L432" s="213"/>
      <c r="N432" s="525"/>
      <c r="O432" s="525"/>
      <c r="P432" s="525"/>
      <c r="Q432" s="58"/>
      <c r="R432" s="58"/>
      <c r="S432" s="58"/>
    </row>
    <row r="433" spans="2:19" x14ac:dyDescent="0.2">
      <c r="B433" s="213"/>
      <c r="C433" s="213"/>
      <c r="D433" s="213"/>
      <c r="E433" s="213"/>
      <c r="F433" s="213"/>
      <c r="G433" s="525"/>
      <c r="H433" s="213"/>
      <c r="I433" s="213"/>
      <c r="J433" s="213"/>
      <c r="K433" s="213"/>
      <c r="L433" s="213"/>
      <c r="N433" s="525"/>
      <c r="O433" s="525"/>
      <c r="P433" s="525"/>
      <c r="Q433" s="58"/>
      <c r="R433" s="58"/>
      <c r="S433" s="58"/>
    </row>
    <row r="434" spans="2:19" x14ac:dyDescent="0.2">
      <c r="B434" s="213"/>
      <c r="C434" s="213"/>
      <c r="D434" s="213"/>
      <c r="E434" s="213"/>
      <c r="F434" s="213"/>
      <c r="G434" s="525"/>
      <c r="H434" s="213"/>
      <c r="I434" s="213"/>
      <c r="J434" s="213"/>
      <c r="K434" s="213"/>
      <c r="L434" s="213"/>
      <c r="N434" s="525"/>
      <c r="O434" s="525"/>
      <c r="P434" s="525"/>
      <c r="Q434" s="58"/>
      <c r="R434" s="58"/>
      <c r="S434" s="58"/>
    </row>
    <row r="435" spans="2:19" x14ac:dyDescent="0.2">
      <c r="B435" s="213"/>
      <c r="C435" s="213"/>
      <c r="D435" s="213"/>
      <c r="E435" s="213"/>
      <c r="F435" s="213"/>
      <c r="G435" s="525"/>
      <c r="H435" s="213"/>
      <c r="I435" s="213"/>
      <c r="J435" s="213"/>
      <c r="K435" s="213"/>
      <c r="L435" s="213"/>
      <c r="N435" s="525"/>
      <c r="O435" s="525"/>
      <c r="P435" s="525"/>
      <c r="Q435" s="58"/>
      <c r="R435" s="58"/>
      <c r="S435" s="58"/>
    </row>
    <row r="436" spans="2:19" x14ac:dyDescent="0.2">
      <c r="B436" s="213"/>
      <c r="C436" s="213"/>
      <c r="D436" s="213"/>
      <c r="E436" s="213"/>
      <c r="F436" s="213"/>
      <c r="G436" s="525"/>
      <c r="H436" s="213"/>
      <c r="I436" s="213"/>
      <c r="J436" s="213"/>
      <c r="K436" s="213"/>
      <c r="L436" s="213"/>
      <c r="N436" s="525"/>
      <c r="O436" s="525"/>
      <c r="P436" s="525"/>
      <c r="Q436" s="58"/>
      <c r="R436" s="58"/>
      <c r="S436" s="58"/>
    </row>
    <row r="437" spans="2:19" x14ac:dyDescent="0.2">
      <c r="B437" s="213"/>
      <c r="C437" s="213"/>
      <c r="D437" s="213"/>
      <c r="E437" s="213"/>
      <c r="F437" s="213"/>
      <c r="G437" s="525"/>
      <c r="H437" s="213"/>
      <c r="I437" s="213"/>
      <c r="J437" s="213"/>
      <c r="K437" s="213"/>
      <c r="L437" s="213"/>
      <c r="N437" s="525"/>
      <c r="O437" s="525"/>
      <c r="P437" s="525"/>
      <c r="Q437" s="58"/>
      <c r="R437" s="58"/>
      <c r="S437" s="58"/>
    </row>
    <row r="438" spans="2:19" x14ac:dyDescent="0.2">
      <c r="B438" s="213"/>
      <c r="C438" s="213"/>
      <c r="D438" s="213"/>
      <c r="E438" s="213"/>
      <c r="F438" s="213"/>
      <c r="G438" s="525"/>
      <c r="H438" s="213"/>
      <c r="I438" s="213"/>
      <c r="J438" s="213"/>
      <c r="K438" s="213"/>
      <c r="L438" s="213"/>
      <c r="N438" s="525"/>
      <c r="O438" s="525"/>
      <c r="P438" s="525"/>
      <c r="Q438" s="58"/>
      <c r="R438" s="58"/>
      <c r="S438" s="58"/>
    </row>
    <row r="439" spans="2:19" x14ac:dyDescent="0.2">
      <c r="B439" s="213"/>
      <c r="C439" s="213"/>
      <c r="D439" s="213"/>
      <c r="E439" s="213"/>
      <c r="F439" s="213"/>
      <c r="G439" s="525"/>
      <c r="H439" s="213"/>
      <c r="I439" s="213"/>
      <c r="J439" s="213"/>
      <c r="K439" s="213"/>
      <c r="L439" s="213"/>
      <c r="N439" s="525"/>
      <c r="O439" s="525"/>
      <c r="P439" s="525"/>
      <c r="Q439" s="58"/>
      <c r="R439" s="58"/>
      <c r="S439" s="58"/>
    </row>
    <row r="440" spans="2:19" x14ac:dyDescent="0.2">
      <c r="B440" s="213"/>
      <c r="C440" s="213"/>
      <c r="D440" s="213"/>
      <c r="E440" s="213"/>
      <c r="F440" s="213"/>
      <c r="G440" s="525"/>
      <c r="H440" s="213"/>
      <c r="I440" s="213"/>
      <c r="J440" s="213"/>
      <c r="K440" s="213"/>
      <c r="L440" s="213"/>
      <c r="N440" s="525"/>
      <c r="O440" s="525"/>
      <c r="P440" s="525"/>
      <c r="Q440" s="58"/>
      <c r="R440" s="58"/>
      <c r="S440" s="58"/>
    </row>
    <row r="441" spans="2:19" x14ac:dyDescent="0.2">
      <c r="B441" s="213"/>
      <c r="C441" s="213"/>
      <c r="D441" s="213"/>
      <c r="E441" s="213"/>
      <c r="F441" s="213"/>
      <c r="G441" s="525"/>
      <c r="H441" s="213"/>
      <c r="I441" s="213"/>
      <c r="J441" s="213"/>
      <c r="K441" s="213"/>
      <c r="L441" s="213"/>
      <c r="N441" s="525"/>
      <c r="O441" s="525"/>
      <c r="P441" s="525"/>
      <c r="Q441" s="58"/>
      <c r="R441" s="58"/>
      <c r="S441" s="58"/>
    </row>
    <row r="442" spans="2:19" x14ac:dyDescent="0.2">
      <c r="B442" s="213"/>
      <c r="C442" s="213"/>
      <c r="D442" s="213"/>
      <c r="E442" s="213"/>
      <c r="F442" s="213"/>
      <c r="G442" s="525"/>
      <c r="H442" s="213"/>
      <c r="I442" s="213"/>
      <c r="J442" s="213"/>
      <c r="K442" s="213"/>
      <c r="L442" s="213"/>
      <c r="N442" s="525"/>
      <c r="O442" s="525"/>
      <c r="P442" s="525"/>
      <c r="Q442" s="58"/>
      <c r="R442" s="58"/>
      <c r="S442" s="58"/>
    </row>
    <row r="443" spans="2:19" x14ac:dyDescent="0.2">
      <c r="B443" s="213"/>
      <c r="C443" s="213"/>
      <c r="D443" s="213"/>
      <c r="E443" s="213"/>
      <c r="F443" s="213"/>
      <c r="G443" s="525"/>
      <c r="H443" s="213"/>
      <c r="I443" s="213"/>
      <c r="J443" s="213"/>
      <c r="K443" s="213"/>
      <c r="L443" s="213"/>
      <c r="N443" s="525"/>
      <c r="O443" s="525"/>
      <c r="P443" s="525"/>
      <c r="Q443" s="58"/>
      <c r="R443" s="58"/>
      <c r="S443" s="58"/>
    </row>
    <row r="444" spans="2:19" x14ac:dyDescent="0.2">
      <c r="B444" s="213"/>
      <c r="C444" s="213"/>
      <c r="D444" s="213"/>
      <c r="E444" s="213"/>
      <c r="F444" s="213"/>
      <c r="G444" s="525"/>
      <c r="H444" s="213"/>
      <c r="I444" s="213"/>
      <c r="J444" s="213"/>
      <c r="K444" s="213"/>
      <c r="L444" s="213"/>
      <c r="N444" s="525"/>
      <c r="O444" s="525"/>
      <c r="P444" s="525"/>
      <c r="Q444" s="58"/>
      <c r="R444" s="58"/>
      <c r="S444" s="58"/>
    </row>
    <row r="445" spans="2:19" x14ac:dyDescent="0.2">
      <c r="B445" s="213"/>
      <c r="C445" s="213"/>
      <c r="D445" s="213"/>
      <c r="E445" s="213"/>
      <c r="F445" s="213"/>
      <c r="G445" s="525"/>
      <c r="H445" s="213"/>
      <c r="I445" s="213"/>
      <c r="J445" s="213"/>
      <c r="K445" s="213"/>
      <c r="L445" s="213"/>
      <c r="N445" s="525"/>
      <c r="O445" s="525"/>
      <c r="P445" s="525"/>
      <c r="Q445" s="58"/>
      <c r="R445" s="58"/>
      <c r="S445" s="58"/>
    </row>
    <row r="446" spans="2:19" x14ac:dyDescent="0.2">
      <c r="B446" s="213"/>
      <c r="C446" s="213"/>
      <c r="D446" s="213"/>
      <c r="E446" s="213"/>
      <c r="F446" s="213"/>
      <c r="G446" s="525"/>
      <c r="H446" s="213"/>
      <c r="I446" s="213"/>
      <c r="J446" s="213"/>
      <c r="K446" s="213"/>
      <c r="L446" s="213"/>
      <c r="N446" s="525"/>
      <c r="O446" s="525"/>
      <c r="P446" s="525"/>
      <c r="Q446" s="58"/>
      <c r="R446" s="58"/>
      <c r="S446" s="58"/>
    </row>
    <row r="447" spans="2:19" x14ac:dyDescent="0.2">
      <c r="B447" s="213"/>
      <c r="C447" s="213"/>
      <c r="D447" s="213"/>
      <c r="E447" s="213"/>
      <c r="F447" s="213"/>
      <c r="G447" s="525"/>
      <c r="H447" s="213"/>
      <c r="I447" s="213"/>
      <c r="J447" s="213"/>
      <c r="K447" s="213"/>
      <c r="L447" s="213"/>
      <c r="N447" s="525"/>
      <c r="O447" s="525"/>
      <c r="P447" s="525"/>
      <c r="Q447" s="58"/>
      <c r="R447" s="58"/>
      <c r="S447" s="58"/>
    </row>
    <row r="448" spans="2:19" x14ac:dyDescent="0.2">
      <c r="B448" s="213"/>
      <c r="C448" s="213"/>
      <c r="D448" s="213"/>
      <c r="E448" s="213"/>
      <c r="F448" s="213"/>
      <c r="G448" s="525"/>
      <c r="H448" s="213"/>
      <c r="I448" s="213"/>
      <c r="J448" s="213"/>
      <c r="K448" s="213"/>
      <c r="L448" s="213"/>
      <c r="N448" s="525"/>
      <c r="O448" s="525"/>
      <c r="P448" s="525"/>
      <c r="Q448" s="58"/>
      <c r="R448" s="58"/>
      <c r="S448" s="58"/>
    </row>
    <row r="449" spans="2:19" x14ac:dyDescent="0.2">
      <c r="B449" s="213"/>
      <c r="C449" s="213"/>
      <c r="D449" s="213"/>
      <c r="E449" s="213"/>
      <c r="F449" s="213"/>
      <c r="G449" s="525"/>
      <c r="H449" s="213"/>
      <c r="I449" s="213"/>
      <c r="J449" s="213"/>
      <c r="K449" s="213"/>
      <c r="L449" s="213"/>
      <c r="N449" s="525"/>
      <c r="O449" s="525"/>
      <c r="P449" s="525"/>
      <c r="Q449" s="58"/>
      <c r="R449" s="58"/>
      <c r="S449" s="58"/>
    </row>
    <row r="450" spans="2:19" x14ac:dyDescent="0.2">
      <c r="B450" s="213"/>
      <c r="C450" s="213"/>
      <c r="D450" s="213"/>
      <c r="E450" s="213"/>
      <c r="F450" s="213"/>
      <c r="G450" s="525"/>
      <c r="H450" s="213"/>
      <c r="I450" s="213"/>
      <c r="J450" s="213"/>
      <c r="K450" s="213"/>
      <c r="L450" s="213"/>
      <c r="N450" s="525"/>
      <c r="O450" s="525"/>
      <c r="P450" s="525"/>
      <c r="Q450" s="58"/>
      <c r="R450" s="58"/>
      <c r="S450" s="58"/>
    </row>
    <row r="451" spans="2:19" x14ac:dyDescent="0.2">
      <c r="B451" s="213"/>
      <c r="C451" s="213"/>
      <c r="D451" s="213"/>
      <c r="E451" s="213"/>
      <c r="F451" s="213"/>
      <c r="G451" s="525"/>
      <c r="H451" s="213"/>
      <c r="I451" s="213"/>
      <c r="J451" s="213"/>
      <c r="K451" s="213"/>
      <c r="L451" s="213"/>
      <c r="N451" s="525"/>
      <c r="O451" s="525"/>
      <c r="P451" s="525"/>
      <c r="Q451" s="58"/>
      <c r="R451" s="58"/>
      <c r="S451" s="58"/>
    </row>
    <row r="452" spans="2:19" x14ac:dyDescent="0.2">
      <c r="B452" s="213"/>
      <c r="C452" s="213"/>
      <c r="D452" s="213"/>
      <c r="E452" s="213"/>
      <c r="F452" s="213"/>
      <c r="G452" s="525"/>
      <c r="H452" s="213"/>
      <c r="I452" s="213"/>
      <c r="J452" s="213"/>
      <c r="K452" s="213"/>
      <c r="L452" s="213"/>
      <c r="N452" s="525"/>
      <c r="O452" s="525"/>
      <c r="P452" s="525"/>
      <c r="Q452" s="58"/>
      <c r="R452" s="58"/>
      <c r="S452" s="58"/>
    </row>
    <row r="453" spans="2:19" x14ac:dyDescent="0.2">
      <c r="B453" s="213"/>
      <c r="C453" s="213"/>
      <c r="D453" s="213"/>
      <c r="E453" s="213"/>
      <c r="F453" s="213"/>
      <c r="G453" s="525"/>
      <c r="H453" s="213"/>
      <c r="I453" s="213"/>
      <c r="J453" s="213"/>
      <c r="K453" s="213"/>
      <c r="L453" s="213"/>
      <c r="N453" s="525"/>
      <c r="O453" s="525"/>
      <c r="P453" s="525"/>
      <c r="Q453" s="58"/>
      <c r="R453" s="58"/>
      <c r="S453" s="58"/>
    </row>
    <row r="454" spans="2:19" x14ac:dyDescent="0.2">
      <c r="B454" s="213"/>
      <c r="C454" s="213"/>
      <c r="D454" s="213"/>
      <c r="E454" s="213"/>
      <c r="F454" s="213"/>
      <c r="G454" s="525"/>
      <c r="H454" s="213"/>
      <c r="I454" s="213"/>
      <c r="J454" s="213"/>
      <c r="K454" s="213"/>
      <c r="L454" s="213"/>
      <c r="N454" s="525"/>
      <c r="O454" s="525"/>
      <c r="P454" s="525"/>
      <c r="Q454" s="58"/>
      <c r="R454" s="58"/>
      <c r="S454" s="58"/>
    </row>
    <row r="455" spans="2:19" x14ac:dyDescent="0.2">
      <c r="B455" s="213"/>
      <c r="C455" s="213"/>
      <c r="D455" s="213"/>
      <c r="E455" s="213"/>
      <c r="F455" s="213"/>
      <c r="G455" s="525"/>
      <c r="H455" s="213"/>
      <c r="I455" s="213"/>
      <c r="J455" s="213"/>
      <c r="K455" s="213"/>
      <c r="L455" s="213"/>
      <c r="N455" s="525"/>
      <c r="O455" s="525"/>
      <c r="P455" s="525"/>
      <c r="Q455" s="58"/>
      <c r="R455" s="58"/>
      <c r="S455" s="58"/>
    </row>
    <row r="456" spans="2:19" x14ac:dyDescent="0.2">
      <c r="B456" s="213"/>
      <c r="C456" s="213"/>
      <c r="D456" s="213"/>
      <c r="E456" s="213"/>
      <c r="F456" s="213"/>
      <c r="G456" s="525"/>
      <c r="H456" s="213"/>
      <c r="I456" s="213"/>
      <c r="J456" s="213"/>
      <c r="K456" s="213"/>
      <c r="L456" s="213"/>
      <c r="N456" s="525"/>
      <c r="O456" s="525"/>
      <c r="P456" s="525"/>
      <c r="Q456" s="58"/>
      <c r="R456" s="58"/>
      <c r="S456" s="58"/>
    </row>
    <row r="457" spans="2:19" x14ac:dyDescent="0.2">
      <c r="B457" s="213"/>
      <c r="C457" s="213"/>
      <c r="D457" s="213"/>
      <c r="E457" s="213"/>
      <c r="F457" s="213"/>
      <c r="G457" s="525"/>
      <c r="H457" s="213"/>
      <c r="I457" s="213"/>
      <c r="J457" s="213"/>
      <c r="K457" s="213"/>
      <c r="L457" s="213"/>
      <c r="N457" s="525"/>
      <c r="O457" s="525"/>
      <c r="P457" s="525"/>
      <c r="Q457" s="58"/>
      <c r="R457" s="58"/>
      <c r="S457" s="58"/>
    </row>
    <row r="458" spans="2:19" x14ac:dyDescent="0.2">
      <c r="B458" s="213"/>
      <c r="C458" s="213"/>
      <c r="D458" s="213"/>
      <c r="E458" s="213"/>
      <c r="F458" s="213"/>
      <c r="G458" s="525"/>
      <c r="H458" s="213"/>
      <c r="I458" s="213"/>
      <c r="J458" s="213"/>
      <c r="K458" s="213"/>
      <c r="L458" s="213"/>
      <c r="N458" s="525"/>
      <c r="O458" s="525"/>
      <c r="P458" s="525"/>
      <c r="Q458" s="58"/>
      <c r="R458" s="58"/>
      <c r="S458" s="58"/>
    </row>
    <row r="459" spans="2:19" x14ac:dyDescent="0.2">
      <c r="B459" s="213"/>
      <c r="C459" s="213"/>
      <c r="D459" s="213"/>
      <c r="E459" s="213"/>
      <c r="F459" s="213"/>
      <c r="G459" s="525"/>
      <c r="H459" s="213"/>
      <c r="I459" s="213"/>
      <c r="J459" s="213"/>
      <c r="K459" s="213"/>
      <c r="L459" s="213"/>
      <c r="N459" s="525"/>
      <c r="O459" s="525"/>
      <c r="P459" s="525"/>
      <c r="Q459" s="58"/>
      <c r="R459" s="58"/>
      <c r="S459" s="58"/>
    </row>
    <row r="460" spans="2:19" x14ac:dyDescent="0.2">
      <c r="B460" s="213"/>
      <c r="C460" s="213"/>
      <c r="D460" s="213"/>
      <c r="E460" s="213"/>
      <c r="F460" s="213"/>
      <c r="G460" s="525"/>
      <c r="H460" s="213"/>
      <c r="I460" s="213"/>
      <c r="J460" s="213"/>
      <c r="K460" s="213"/>
      <c r="L460" s="213"/>
      <c r="N460" s="525"/>
      <c r="O460" s="525"/>
      <c r="P460" s="525"/>
      <c r="Q460" s="58"/>
      <c r="R460" s="58"/>
      <c r="S460" s="58"/>
    </row>
    <row r="461" spans="2:19" x14ac:dyDescent="0.2">
      <c r="B461" s="213"/>
      <c r="C461" s="213"/>
      <c r="D461" s="213"/>
      <c r="E461" s="213"/>
      <c r="F461" s="213"/>
      <c r="G461" s="525"/>
      <c r="H461" s="213"/>
      <c r="I461" s="213"/>
      <c r="J461" s="213"/>
      <c r="K461" s="213"/>
      <c r="L461" s="213"/>
      <c r="N461" s="525"/>
      <c r="O461" s="525"/>
      <c r="P461" s="525"/>
      <c r="Q461" s="58"/>
      <c r="R461" s="58"/>
      <c r="S461" s="58"/>
    </row>
    <row r="462" spans="2:19" x14ac:dyDescent="0.2">
      <c r="B462" s="213"/>
      <c r="C462" s="213"/>
      <c r="D462" s="213"/>
      <c r="E462" s="213"/>
      <c r="F462" s="213"/>
      <c r="G462" s="525"/>
      <c r="H462" s="213"/>
      <c r="I462" s="213"/>
      <c r="J462" s="213"/>
      <c r="K462" s="213"/>
      <c r="L462" s="213"/>
      <c r="N462" s="525"/>
      <c r="O462" s="525"/>
      <c r="P462" s="525"/>
      <c r="Q462" s="58"/>
      <c r="R462" s="58"/>
      <c r="S462" s="58"/>
    </row>
    <row r="463" spans="2:19" x14ac:dyDescent="0.2">
      <c r="B463" s="213"/>
      <c r="C463" s="213"/>
      <c r="D463" s="213"/>
      <c r="E463" s="213"/>
      <c r="F463" s="213"/>
      <c r="G463" s="525"/>
      <c r="H463" s="213"/>
      <c r="I463" s="213"/>
      <c r="J463" s="213"/>
      <c r="K463" s="213"/>
      <c r="L463" s="213"/>
      <c r="N463" s="525"/>
      <c r="O463" s="525"/>
      <c r="P463" s="525"/>
      <c r="Q463" s="58"/>
      <c r="R463" s="58"/>
      <c r="S463" s="58"/>
    </row>
    <row r="464" spans="2:19" x14ac:dyDescent="0.2">
      <c r="B464" s="213"/>
      <c r="C464" s="213"/>
      <c r="D464" s="213"/>
      <c r="E464" s="213"/>
      <c r="F464" s="213"/>
      <c r="G464" s="525"/>
      <c r="H464" s="213"/>
      <c r="I464" s="213"/>
      <c r="J464" s="213"/>
      <c r="K464" s="213"/>
      <c r="L464" s="213"/>
      <c r="N464" s="525"/>
      <c r="O464" s="525"/>
      <c r="P464" s="525"/>
      <c r="Q464" s="58"/>
      <c r="R464" s="58"/>
      <c r="S464" s="58"/>
    </row>
    <row r="465" spans="2:19" x14ac:dyDescent="0.2">
      <c r="B465" s="213"/>
      <c r="C465" s="213"/>
      <c r="D465" s="213"/>
      <c r="E465" s="213"/>
      <c r="F465" s="213"/>
      <c r="G465" s="525"/>
      <c r="H465" s="213"/>
      <c r="I465" s="213"/>
      <c r="J465" s="213"/>
      <c r="K465" s="213"/>
      <c r="L465" s="213"/>
      <c r="N465" s="525"/>
      <c r="O465" s="525"/>
      <c r="P465" s="525"/>
      <c r="Q465" s="58"/>
      <c r="R465" s="58"/>
      <c r="S465" s="58"/>
    </row>
    <row r="466" spans="2:19" x14ac:dyDescent="0.2">
      <c r="B466" s="213"/>
      <c r="C466" s="213"/>
      <c r="D466" s="213"/>
      <c r="E466" s="213"/>
      <c r="F466" s="213"/>
      <c r="G466" s="525"/>
      <c r="H466" s="213"/>
      <c r="I466" s="213"/>
      <c r="J466" s="213"/>
      <c r="K466" s="213"/>
      <c r="L466" s="213"/>
      <c r="N466" s="525"/>
      <c r="O466" s="525"/>
      <c r="P466" s="525"/>
      <c r="Q466" s="58"/>
      <c r="R466" s="58"/>
      <c r="S466" s="58"/>
    </row>
    <row r="467" spans="2:19" x14ac:dyDescent="0.2">
      <c r="B467" s="213"/>
      <c r="C467" s="213"/>
      <c r="D467" s="213"/>
      <c r="E467" s="213"/>
      <c r="F467" s="213"/>
      <c r="G467" s="525"/>
      <c r="H467" s="213"/>
      <c r="I467" s="213"/>
      <c r="J467" s="213"/>
      <c r="K467" s="213"/>
      <c r="L467" s="213"/>
      <c r="N467" s="525"/>
      <c r="O467" s="525"/>
      <c r="P467" s="525"/>
      <c r="Q467" s="58"/>
      <c r="R467" s="58"/>
      <c r="S467" s="58"/>
    </row>
    <row r="468" spans="2:19" x14ac:dyDescent="0.2">
      <c r="B468" s="213"/>
      <c r="C468" s="213"/>
      <c r="D468" s="213"/>
      <c r="E468" s="213"/>
      <c r="F468" s="213"/>
      <c r="G468" s="525"/>
      <c r="H468" s="213"/>
      <c r="I468" s="213"/>
      <c r="J468" s="213"/>
      <c r="K468" s="213"/>
      <c r="L468" s="213"/>
      <c r="N468" s="525"/>
      <c r="O468" s="525"/>
      <c r="P468" s="525"/>
      <c r="Q468" s="58"/>
      <c r="R468" s="58"/>
      <c r="S468" s="58"/>
    </row>
    <row r="469" spans="2:19" x14ac:dyDescent="0.2">
      <c r="B469" s="213"/>
      <c r="C469" s="213"/>
      <c r="D469" s="213"/>
      <c r="E469" s="213"/>
      <c r="F469" s="213"/>
      <c r="G469" s="525"/>
      <c r="H469" s="213"/>
      <c r="I469" s="213"/>
      <c r="J469" s="213"/>
      <c r="K469" s="213"/>
      <c r="L469" s="213"/>
      <c r="N469" s="525"/>
      <c r="O469" s="525"/>
      <c r="P469" s="525"/>
      <c r="Q469" s="58"/>
      <c r="R469" s="58"/>
      <c r="S469" s="58"/>
    </row>
    <row r="470" spans="2:19" x14ac:dyDescent="0.2">
      <c r="B470" s="213"/>
      <c r="C470" s="213"/>
      <c r="D470" s="213"/>
      <c r="E470" s="213"/>
      <c r="F470" s="213"/>
      <c r="G470" s="525"/>
      <c r="H470" s="213"/>
      <c r="I470" s="213"/>
      <c r="J470" s="213"/>
      <c r="K470" s="213"/>
      <c r="L470" s="213"/>
      <c r="N470" s="525"/>
      <c r="O470" s="525"/>
      <c r="P470" s="525"/>
      <c r="Q470" s="58"/>
      <c r="R470" s="58"/>
      <c r="S470" s="58"/>
    </row>
    <row r="471" spans="2:19" x14ac:dyDescent="0.2">
      <c r="B471" s="213"/>
      <c r="C471" s="213"/>
      <c r="D471" s="213"/>
      <c r="E471" s="213"/>
      <c r="F471" s="213"/>
      <c r="G471" s="525"/>
      <c r="H471" s="213"/>
      <c r="I471" s="213"/>
      <c r="J471" s="213"/>
      <c r="K471" s="213"/>
      <c r="L471" s="213"/>
      <c r="N471" s="525"/>
      <c r="O471" s="525"/>
      <c r="P471" s="525"/>
      <c r="Q471" s="58"/>
      <c r="R471" s="58"/>
      <c r="S471" s="58"/>
    </row>
    <row r="472" spans="2:19" x14ac:dyDescent="0.2">
      <c r="B472" s="213"/>
      <c r="C472" s="213"/>
      <c r="D472" s="213"/>
      <c r="E472" s="213"/>
      <c r="F472" s="213"/>
      <c r="G472" s="525"/>
      <c r="H472" s="213"/>
      <c r="I472" s="213"/>
      <c r="J472" s="213"/>
      <c r="K472" s="213"/>
      <c r="L472" s="213"/>
      <c r="N472" s="525"/>
      <c r="O472" s="525"/>
      <c r="P472" s="525"/>
      <c r="Q472" s="58"/>
      <c r="R472" s="58"/>
      <c r="S472" s="58"/>
    </row>
    <row r="473" spans="2:19" x14ac:dyDescent="0.2">
      <c r="B473" s="213"/>
      <c r="C473" s="213"/>
      <c r="D473" s="213"/>
      <c r="E473" s="213"/>
      <c r="F473" s="213"/>
      <c r="G473" s="525"/>
      <c r="H473" s="213"/>
      <c r="I473" s="213"/>
      <c r="J473" s="213"/>
      <c r="K473" s="213"/>
      <c r="L473" s="213"/>
      <c r="N473" s="525"/>
      <c r="O473" s="525"/>
      <c r="P473" s="525"/>
      <c r="Q473" s="58"/>
      <c r="R473" s="58"/>
      <c r="S473" s="58"/>
    </row>
    <row r="474" spans="2:19" x14ac:dyDescent="0.2">
      <c r="B474" s="213"/>
      <c r="C474" s="213"/>
      <c r="D474" s="213"/>
      <c r="E474" s="213"/>
      <c r="F474" s="213"/>
      <c r="G474" s="525"/>
      <c r="H474" s="213"/>
      <c r="I474" s="213"/>
      <c r="J474" s="213"/>
      <c r="K474" s="213"/>
      <c r="L474" s="213"/>
      <c r="N474" s="525"/>
      <c r="O474" s="525"/>
      <c r="P474" s="525"/>
      <c r="Q474" s="58"/>
      <c r="R474" s="58"/>
      <c r="S474" s="58"/>
    </row>
    <row r="475" spans="2:19" x14ac:dyDescent="0.2">
      <c r="B475" s="213"/>
      <c r="C475" s="213"/>
      <c r="D475" s="213"/>
      <c r="E475" s="213"/>
      <c r="F475" s="213"/>
      <c r="G475" s="525"/>
      <c r="H475" s="213"/>
      <c r="I475" s="213"/>
      <c r="J475" s="213"/>
      <c r="K475" s="213"/>
      <c r="L475" s="213"/>
      <c r="N475" s="525"/>
      <c r="O475" s="525"/>
      <c r="P475" s="525"/>
      <c r="Q475" s="58"/>
      <c r="R475" s="58"/>
      <c r="S475" s="58"/>
    </row>
    <row r="476" spans="2:19" x14ac:dyDescent="0.2">
      <c r="B476" s="213"/>
      <c r="C476" s="213"/>
      <c r="D476" s="213"/>
      <c r="E476" s="213"/>
      <c r="F476" s="213"/>
      <c r="G476" s="525"/>
      <c r="H476" s="213"/>
      <c r="I476" s="213"/>
      <c r="J476" s="213"/>
      <c r="K476" s="213"/>
      <c r="L476" s="213"/>
      <c r="N476" s="525"/>
      <c r="O476" s="525"/>
      <c r="P476" s="525"/>
      <c r="Q476" s="58"/>
      <c r="R476" s="58"/>
      <c r="S476" s="58"/>
    </row>
    <row r="477" spans="2:19" x14ac:dyDescent="0.2">
      <c r="B477" s="213"/>
      <c r="C477" s="213"/>
      <c r="D477" s="213"/>
      <c r="E477" s="213"/>
      <c r="F477" s="213"/>
      <c r="G477" s="525"/>
      <c r="H477" s="213"/>
      <c r="I477" s="213"/>
      <c r="J477" s="213"/>
      <c r="K477" s="213"/>
      <c r="L477" s="213"/>
      <c r="N477" s="525"/>
      <c r="O477" s="525"/>
      <c r="P477" s="525"/>
      <c r="Q477" s="58"/>
      <c r="R477" s="58"/>
      <c r="S477" s="58"/>
    </row>
    <row r="478" spans="2:19" x14ac:dyDescent="0.2">
      <c r="B478" s="213"/>
      <c r="C478" s="213"/>
      <c r="D478" s="213"/>
      <c r="E478" s="213"/>
      <c r="F478" s="213"/>
      <c r="G478" s="525"/>
      <c r="H478" s="213"/>
      <c r="I478" s="213"/>
      <c r="J478" s="213"/>
      <c r="K478" s="213"/>
      <c r="L478" s="213"/>
      <c r="N478" s="525"/>
      <c r="O478" s="525"/>
      <c r="P478" s="525"/>
      <c r="Q478" s="58"/>
      <c r="R478" s="58"/>
      <c r="S478" s="58"/>
    </row>
    <row r="479" spans="2:19" x14ac:dyDescent="0.2">
      <c r="B479" s="213"/>
      <c r="C479" s="213"/>
      <c r="D479" s="213"/>
      <c r="E479" s="213"/>
      <c r="F479" s="213"/>
      <c r="G479" s="525"/>
      <c r="H479" s="213"/>
      <c r="I479" s="213"/>
      <c r="J479" s="213"/>
      <c r="K479" s="213"/>
      <c r="L479" s="213"/>
      <c r="N479" s="525"/>
      <c r="O479" s="525"/>
      <c r="P479" s="525"/>
      <c r="Q479" s="58"/>
      <c r="R479" s="58"/>
      <c r="S479" s="58"/>
    </row>
    <row r="480" spans="2:19" x14ac:dyDescent="0.2">
      <c r="B480" s="213"/>
      <c r="C480" s="213"/>
      <c r="D480" s="213"/>
      <c r="E480" s="213"/>
      <c r="F480" s="213"/>
      <c r="G480" s="525"/>
      <c r="H480" s="213"/>
      <c r="I480" s="213"/>
      <c r="J480" s="213"/>
      <c r="K480" s="213"/>
      <c r="L480" s="213"/>
      <c r="N480" s="525"/>
      <c r="O480" s="525"/>
      <c r="P480" s="525"/>
      <c r="Q480" s="58"/>
      <c r="R480" s="58"/>
      <c r="S480" s="58"/>
    </row>
    <row r="481" spans="2:19" x14ac:dyDescent="0.2">
      <c r="B481" s="213"/>
      <c r="C481" s="213"/>
      <c r="D481" s="213"/>
      <c r="E481" s="213"/>
      <c r="F481" s="213"/>
      <c r="G481" s="525"/>
      <c r="H481" s="213"/>
      <c r="I481" s="213"/>
      <c r="J481" s="213"/>
      <c r="K481" s="213"/>
      <c r="L481" s="213"/>
      <c r="N481" s="525"/>
      <c r="O481" s="525"/>
      <c r="P481" s="525"/>
      <c r="Q481" s="58"/>
      <c r="R481" s="58"/>
      <c r="S481" s="58"/>
    </row>
    <row r="482" spans="2:19" x14ac:dyDescent="0.2">
      <c r="B482" s="213"/>
      <c r="C482" s="213"/>
      <c r="D482" s="213"/>
      <c r="E482" s="213"/>
      <c r="F482" s="213"/>
      <c r="G482" s="525"/>
      <c r="H482" s="213"/>
      <c r="I482" s="213"/>
      <c r="J482" s="213"/>
      <c r="K482" s="213"/>
      <c r="L482" s="213"/>
      <c r="N482" s="525"/>
      <c r="O482" s="525"/>
      <c r="P482" s="525"/>
      <c r="Q482" s="58"/>
      <c r="R482" s="58"/>
      <c r="S482" s="58"/>
    </row>
    <row r="483" spans="2:19" x14ac:dyDescent="0.2">
      <c r="B483" s="213"/>
      <c r="C483" s="213"/>
      <c r="D483" s="213"/>
      <c r="E483" s="213"/>
      <c r="F483" s="213"/>
      <c r="G483" s="525"/>
      <c r="H483" s="213"/>
      <c r="I483" s="213"/>
      <c r="J483" s="213"/>
      <c r="K483" s="213"/>
      <c r="L483" s="213"/>
      <c r="N483" s="525"/>
      <c r="O483" s="525"/>
      <c r="P483" s="525"/>
      <c r="Q483" s="58"/>
      <c r="R483" s="58"/>
      <c r="S483" s="58"/>
    </row>
    <row r="484" spans="2:19" x14ac:dyDescent="0.2">
      <c r="B484" s="213"/>
      <c r="C484" s="213"/>
      <c r="D484" s="213"/>
      <c r="E484" s="213"/>
      <c r="F484" s="213"/>
      <c r="G484" s="525"/>
      <c r="H484" s="213"/>
      <c r="I484" s="213"/>
      <c r="J484" s="213"/>
      <c r="K484" s="213"/>
      <c r="L484" s="213"/>
      <c r="N484" s="525"/>
      <c r="O484" s="525"/>
      <c r="P484" s="525"/>
      <c r="Q484" s="58"/>
      <c r="R484" s="58"/>
      <c r="S484" s="58"/>
    </row>
    <row r="485" spans="2:19" x14ac:dyDescent="0.2">
      <c r="B485" s="213"/>
      <c r="C485" s="213"/>
      <c r="D485" s="213"/>
      <c r="E485" s="213"/>
      <c r="F485" s="213"/>
      <c r="G485" s="525"/>
      <c r="H485" s="213"/>
      <c r="I485" s="213"/>
      <c r="J485" s="213"/>
      <c r="K485" s="213"/>
      <c r="L485" s="213"/>
      <c r="N485" s="525"/>
      <c r="O485" s="525"/>
      <c r="P485" s="525"/>
      <c r="Q485" s="58"/>
      <c r="R485" s="58"/>
      <c r="S485" s="58"/>
    </row>
    <row r="486" spans="2:19" x14ac:dyDescent="0.2">
      <c r="B486" s="213"/>
      <c r="C486" s="213"/>
      <c r="D486" s="213"/>
      <c r="E486" s="213"/>
      <c r="F486" s="213"/>
      <c r="G486" s="525"/>
      <c r="H486" s="213"/>
      <c r="I486" s="213"/>
      <c r="J486" s="213"/>
      <c r="K486" s="213"/>
      <c r="L486" s="213"/>
      <c r="N486" s="525"/>
      <c r="O486" s="525"/>
      <c r="P486" s="525"/>
      <c r="Q486" s="58"/>
      <c r="R486" s="58"/>
      <c r="S486" s="58"/>
    </row>
    <row r="487" spans="2:19" x14ac:dyDescent="0.2">
      <c r="B487" s="213"/>
      <c r="C487" s="213"/>
      <c r="D487" s="213"/>
      <c r="E487" s="213"/>
      <c r="F487" s="213"/>
      <c r="G487" s="525"/>
      <c r="H487" s="213"/>
      <c r="I487" s="213"/>
      <c r="J487" s="213"/>
      <c r="K487" s="213"/>
      <c r="L487" s="213"/>
      <c r="N487" s="525"/>
      <c r="O487" s="525"/>
      <c r="P487" s="525"/>
      <c r="Q487" s="58"/>
      <c r="R487" s="58"/>
      <c r="S487" s="58"/>
    </row>
    <row r="488" spans="2:19" x14ac:dyDescent="0.2">
      <c r="B488" s="213"/>
      <c r="C488" s="213"/>
      <c r="D488" s="213"/>
      <c r="E488" s="213"/>
      <c r="F488" s="213"/>
      <c r="G488" s="525"/>
      <c r="H488" s="213"/>
      <c r="I488" s="213"/>
      <c r="J488" s="213"/>
      <c r="K488" s="213"/>
      <c r="L488" s="213"/>
      <c r="N488" s="525"/>
      <c r="O488" s="525"/>
      <c r="P488" s="525"/>
      <c r="Q488" s="58"/>
      <c r="R488" s="58"/>
      <c r="S488" s="58"/>
    </row>
    <row r="489" spans="2:19" x14ac:dyDescent="0.2">
      <c r="B489" s="213"/>
      <c r="C489" s="213"/>
      <c r="D489" s="213"/>
      <c r="E489" s="213"/>
      <c r="F489" s="213"/>
      <c r="G489" s="525"/>
      <c r="H489" s="213"/>
      <c r="I489" s="213"/>
      <c r="J489" s="213"/>
      <c r="K489" s="213"/>
      <c r="L489" s="213"/>
      <c r="N489" s="525"/>
      <c r="O489" s="525"/>
      <c r="P489" s="525"/>
      <c r="Q489" s="58"/>
      <c r="R489" s="58"/>
      <c r="S489" s="58"/>
    </row>
    <row r="490" spans="2:19" x14ac:dyDescent="0.2">
      <c r="B490" s="213"/>
      <c r="C490" s="213"/>
      <c r="D490" s="213"/>
      <c r="E490" s="213"/>
      <c r="F490" s="213"/>
      <c r="G490" s="525"/>
      <c r="H490" s="213"/>
      <c r="I490" s="213"/>
      <c r="J490" s="213"/>
      <c r="K490" s="213"/>
      <c r="L490" s="213"/>
      <c r="N490" s="525"/>
      <c r="O490" s="525"/>
      <c r="P490" s="525"/>
      <c r="Q490" s="58"/>
      <c r="R490" s="58"/>
      <c r="S490" s="58"/>
    </row>
    <row r="491" spans="2:19" x14ac:dyDescent="0.2">
      <c r="B491" s="213"/>
      <c r="C491" s="213"/>
      <c r="D491" s="213"/>
      <c r="E491" s="213"/>
      <c r="F491" s="213"/>
      <c r="G491" s="525"/>
      <c r="H491" s="213"/>
      <c r="I491" s="213"/>
      <c r="J491" s="213"/>
      <c r="K491" s="213"/>
      <c r="L491" s="213"/>
      <c r="N491" s="525"/>
      <c r="O491" s="525"/>
      <c r="P491" s="525"/>
      <c r="Q491" s="58"/>
      <c r="R491" s="58"/>
      <c r="S491" s="58"/>
    </row>
    <row r="492" spans="2:19" x14ac:dyDescent="0.2">
      <c r="B492" s="213"/>
      <c r="C492" s="213"/>
      <c r="D492" s="213"/>
      <c r="E492" s="213"/>
      <c r="F492" s="213"/>
      <c r="G492" s="525"/>
      <c r="H492" s="213"/>
      <c r="I492" s="213"/>
      <c r="J492" s="213"/>
      <c r="K492" s="213"/>
      <c r="L492" s="213"/>
      <c r="N492" s="525"/>
      <c r="O492" s="525"/>
      <c r="P492" s="525"/>
      <c r="Q492" s="58"/>
      <c r="R492" s="58"/>
      <c r="S492" s="58"/>
    </row>
    <row r="493" spans="2:19" x14ac:dyDescent="0.2">
      <c r="B493" s="213"/>
      <c r="C493" s="213"/>
      <c r="D493" s="213"/>
      <c r="E493" s="213"/>
      <c r="F493" s="213"/>
      <c r="G493" s="525"/>
      <c r="H493" s="213"/>
      <c r="I493" s="213"/>
      <c r="J493" s="213"/>
      <c r="K493" s="213"/>
      <c r="L493" s="213"/>
      <c r="N493" s="525"/>
      <c r="O493" s="525"/>
      <c r="P493" s="525"/>
      <c r="Q493" s="58"/>
      <c r="R493" s="58"/>
      <c r="S493" s="58"/>
    </row>
    <row r="494" spans="2:19" x14ac:dyDescent="0.2">
      <c r="B494" s="213"/>
      <c r="C494" s="213"/>
      <c r="D494" s="213"/>
      <c r="E494" s="213"/>
      <c r="F494" s="213"/>
      <c r="G494" s="525"/>
      <c r="H494" s="213"/>
      <c r="I494" s="213"/>
      <c r="J494" s="213"/>
      <c r="K494" s="213"/>
      <c r="L494" s="213"/>
      <c r="N494" s="525"/>
      <c r="O494" s="525"/>
      <c r="P494" s="525"/>
      <c r="Q494" s="58"/>
      <c r="R494" s="58"/>
      <c r="S494" s="58"/>
    </row>
    <row r="495" spans="2:19" x14ac:dyDescent="0.2">
      <c r="B495" s="213"/>
      <c r="C495" s="213"/>
      <c r="D495" s="213"/>
      <c r="E495" s="213"/>
      <c r="F495" s="213"/>
      <c r="G495" s="525"/>
      <c r="H495" s="213"/>
      <c r="I495" s="213"/>
      <c r="J495" s="213"/>
      <c r="K495" s="213"/>
      <c r="L495" s="213"/>
      <c r="N495" s="525"/>
      <c r="O495" s="525"/>
      <c r="P495" s="525"/>
      <c r="Q495" s="58"/>
      <c r="R495" s="58"/>
      <c r="S495" s="58"/>
    </row>
    <row r="496" spans="2:19" x14ac:dyDescent="0.2">
      <c r="B496" s="213"/>
      <c r="C496" s="213"/>
      <c r="D496" s="213"/>
      <c r="E496" s="213"/>
      <c r="F496" s="213"/>
      <c r="G496" s="525"/>
      <c r="H496" s="213"/>
      <c r="I496" s="213"/>
      <c r="J496" s="213"/>
      <c r="K496" s="213"/>
      <c r="L496" s="213"/>
      <c r="N496" s="525"/>
      <c r="O496" s="525"/>
      <c r="P496" s="525"/>
      <c r="Q496" s="58"/>
      <c r="R496" s="58"/>
      <c r="S496" s="58"/>
    </row>
    <row r="497" spans="2:19" x14ac:dyDescent="0.2">
      <c r="B497" s="213"/>
      <c r="C497" s="213"/>
      <c r="D497" s="213"/>
      <c r="E497" s="213"/>
      <c r="F497" s="213"/>
      <c r="G497" s="525"/>
      <c r="H497" s="213"/>
      <c r="I497" s="213"/>
      <c r="J497" s="213"/>
      <c r="K497" s="213"/>
      <c r="L497" s="213"/>
      <c r="N497" s="525"/>
      <c r="O497" s="525"/>
      <c r="P497" s="525"/>
      <c r="Q497" s="58"/>
      <c r="R497" s="58"/>
      <c r="S497" s="58"/>
    </row>
    <row r="498" spans="2:19" x14ac:dyDescent="0.2">
      <c r="B498" s="213"/>
      <c r="C498" s="213"/>
      <c r="D498" s="213"/>
      <c r="E498" s="213"/>
      <c r="F498" s="213"/>
      <c r="G498" s="525"/>
      <c r="H498" s="213"/>
      <c r="I498" s="213"/>
      <c r="J498" s="213"/>
      <c r="K498" s="213"/>
      <c r="L498" s="213"/>
      <c r="N498" s="525"/>
      <c r="O498" s="525"/>
      <c r="P498" s="525"/>
      <c r="Q498" s="58"/>
      <c r="R498" s="58"/>
      <c r="S498" s="58"/>
    </row>
    <row r="499" spans="2:19" x14ac:dyDescent="0.2">
      <c r="B499" s="213"/>
      <c r="C499" s="213"/>
      <c r="D499" s="213"/>
      <c r="E499" s="213"/>
      <c r="F499" s="213"/>
      <c r="G499" s="525"/>
      <c r="H499" s="213"/>
      <c r="I499" s="213"/>
      <c r="J499" s="213"/>
      <c r="K499" s="213"/>
      <c r="L499" s="213"/>
      <c r="N499" s="525"/>
      <c r="O499" s="525"/>
      <c r="P499" s="525"/>
      <c r="Q499" s="58"/>
      <c r="R499" s="58"/>
      <c r="S499" s="58"/>
    </row>
    <row r="500" spans="2:19" x14ac:dyDescent="0.2">
      <c r="B500" s="213"/>
      <c r="C500" s="213"/>
      <c r="D500" s="213"/>
      <c r="E500" s="213"/>
      <c r="F500" s="213"/>
      <c r="G500" s="525"/>
      <c r="H500" s="213"/>
      <c r="I500" s="213"/>
      <c r="J500" s="213"/>
      <c r="K500" s="213"/>
      <c r="L500" s="213"/>
      <c r="N500" s="525"/>
      <c r="O500" s="525"/>
      <c r="P500" s="525"/>
      <c r="Q500" s="58"/>
      <c r="R500" s="58"/>
      <c r="S500" s="58"/>
    </row>
    <row r="501" spans="2:19" x14ac:dyDescent="0.2">
      <c r="B501" s="213"/>
      <c r="C501" s="213"/>
      <c r="D501" s="213"/>
      <c r="E501" s="213"/>
      <c r="F501" s="213"/>
      <c r="G501" s="525"/>
      <c r="H501" s="213"/>
      <c r="I501" s="213"/>
      <c r="J501" s="213"/>
      <c r="K501" s="213"/>
      <c r="L501" s="213"/>
      <c r="N501" s="525"/>
      <c r="O501" s="525"/>
      <c r="P501" s="525"/>
      <c r="Q501" s="58"/>
      <c r="R501" s="58"/>
      <c r="S501" s="58"/>
    </row>
    <row r="502" spans="2:19" x14ac:dyDescent="0.2">
      <c r="B502" s="213"/>
      <c r="C502" s="213"/>
      <c r="D502" s="213"/>
      <c r="E502" s="213"/>
      <c r="F502" s="213"/>
      <c r="G502" s="525"/>
      <c r="H502" s="213"/>
      <c r="I502" s="213"/>
      <c r="J502" s="213"/>
      <c r="K502" s="213"/>
      <c r="L502" s="213"/>
      <c r="N502" s="525"/>
      <c r="O502" s="525"/>
      <c r="P502" s="525"/>
      <c r="Q502" s="58"/>
      <c r="R502" s="58"/>
      <c r="S502" s="58"/>
    </row>
    <row r="503" spans="2:19" x14ac:dyDescent="0.2">
      <c r="B503" s="213"/>
      <c r="C503" s="213"/>
      <c r="D503" s="213"/>
      <c r="E503" s="213"/>
      <c r="F503" s="213"/>
      <c r="G503" s="525"/>
      <c r="H503" s="213"/>
      <c r="I503" s="213"/>
      <c r="J503" s="213"/>
      <c r="K503" s="213"/>
      <c r="L503" s="213"/>
      <c r="N503" s="525"/>
      <c r="O503" s="525"/>
      <c r="P503" s="525"/>
      <c r="Q503" s="58"/>
      <c r="R503" s="58"/>
      <c r="S503" s="58"/>
    </row>
    <row r="504" spans="2:19" x14ac:dyDescent="0.2">
      <c r="B504" s="213"/>
      <c r="C504" s="213"/>
      <c r="D504" s="213"/>
      <c r="E504" s="213"/>
      <c r="F504" s="213"/>
      <c r="G504" s="525"/>
      <c r="H504" s="213"/>
      <c r="I504" s="213"/>
      <c r="J504" s="213"/>
      <c r="K504" s="213"/>
      <c r="L504" s="213"/>
      <c r="N504" s="525"/>
      <c r="O504" s="525"/>
      <c r="P504" s="525"/>
      <c r="Q504" s="58"/>
      <c r="R504" s="58"/>
      <c r="S504" s="58"/>
    </row>
    <row r="505" spans="2:19" x14ac:dyDescent="0.2">
      <c r="B505" s="213"/>
      <c r="C505" s="213"/>
      <c r="D505" s="213"/>
      <c r="E505" s="213"/>
      <c r="F505" s="213"/>
      <c r="G505" s="525"/>
      <c r="H505" s="213"/>
      <c r="I505" s="213"/>
      <c r="J505" s="213"/>
      <c r="K505" s="213"/>
      <c r="L505" s="213"/>
      <c r="N505" s="525"/>
      <c r="O505" s="525"/>
      <c r="P505" s="525"/>
      <c r="Q505" s="58"/>
      <c r="R505" s="58"/>
      <c r="S505" s="58"/>
    </row>
    <row r="506" spans="2:19" x14ac:dyDescent="0.2">
      <c r="B506" s="213"/>
      <c r="C506" s="213"/>
      <c r="D506" s="213"/>
      <c r="E506" s="213"/>
      <c r="F506" s="213"/>
      <c r="G506" s="525"/>
      <c r="H506" s="213"/>
      <c r="I506" s="213"/>
      <c r="J506" s="213"/>
      <c r="K506" s="213"/>
      <c r="L506" s="213"/>
      <c r="N506" s="525"/>
      <c r="O506" s="525"/>
      <c r="P506" s="525"/>
      <c r="Q506" s="58"/>
      <c r="R506" s="58"/>
      <c r="S506" s="58"/>
    </row>
    <row r="507" spans="2:19" x14ac:dyDescent="0.2">
      <c r="B507" s="213"/>
      <c r="C507" s="213"/>
      <c r="D507" s="213"/>
      <c r="E507" s="213"/>
      <c r="F507" s="213"/>
      <c r="G507" s="525"/>
      <c r="H507" s="213"/>
      <c r="I507" s="213"/>
      <c r="J507" s="213"/>
      <c r="K507" s="213"/>
      <c r="L507" s="213"/>
      <c r="N507" s="525"/>
      <c r="O507" s="525"/>
      <c r="P507" s="525"/>
      <c r="Q507" s="58"/>
      <c r="R507" s="58"/>
      <c r="S507" s="58"/>
    </row>
    <row r="508" spans="2:19" x14ac:dyDescent="0.2">
      <c r="B508" s="213"/>
      <c r="C508" s="213"/>
      <c r="D508" s="213"/>
      <c r="E508" s="213"/>
      <c r="F508" s="213"/>
      <c r="G508" s="525"/>
      <c r="H508" s="213"/>
      <c r="I508" s="213"/>
      <c r="J508" s="213"/>
      <c r="K508" s="213"/>
      <c r="L508" s="213"/>
      <c r="N508" s="525"/>
      <c r="O508" s="525"/>
      <c r="P508" s="525"/>
      <c r="Q508" s="58"/>
      <c r="R508" s="58"/>
      <c r="S508" s="58"/>
    </row>
    <row r="509" spans="2:19" x14ac:dyDescent="0.2">
      <c r="B509" s="213"/>
      <c r="C509" s="213"/>
      <c r="D509" s="213"/>
      <c r="E509" s="213"/>
      <c r="F509" s="213"/>
      <c r="G509" s="525"/>
      <c r="H509" s="213"/>
      <c r="I509" s="213"/>
      <c r="J509" s="213"/>
      <c r="K509" s="213"/>
      <c r="L509" s="213"/>
      <c r="N509" s="525"/>
      <c r="O509" s="525"/>
      <c r="P509" s="525"/>
      <c r="Q509" s="58"/>
      <c r="R509" s="58"/>
      <c r="S509" s="58"/>
    </row>
    <row r="510" spans="2:19" x14ac:dyDescent="0.2">
      <c r="B510" s="213"/>
      <c r="C510" s="213"/>
      <c r="D510" s="213"/>
      <c r="E510" s="213"/>
      <c r="F510" s="213"/>
      <c r="G510" s="525"/>
      <c r="H510" s="213"/>
      <c r="I510" s="213"/>
      <c r="J510" s="213"/>
      <c r="K510" s="213"/>
      <c r="L510" s="213"/>
      <c r="N510" s="525"/>
      <c r="O510" s="525"/>
      <c r="P510" s="525"/>
      <c r="Q510" s="58"/>
      <c r="R510" s="58"/>
      <c r="S510" s="58"/>
    </row>
    <row r="511" spans="2:19" x14ac:dyDescent="0.2">
      <c r="B511" s="213"/>
      <c r="C511" s="213"/>
      <c r="D511" s="213"/>
      <c r="E511" s="213"/>
      <c r="F511" s="213"/>
      <c r="G511" s="525"/>
      <c r="H511" s="213"/>
      <c r="I511" s="213"/>
      <c r="J511" s="213"/>
      <c r="K511" s="213"/>
      <c r="L511" s="213"/>
      <c r="N511" s="525"/>
      <c r="O511" s="525"/>
      <c r="P511" s="525"/>
      <c r="Q511" s="58"/>
      <c r="R511" s="58"/>
      <c r="S511" s="58"/>
    </row>
    <row r="512" spans="2:19" x14ac:dyDescent="0.2">
      <c r="B512" s="213"/>
      <c r="C512" s="213"/>
      <c r="D512" s="213"/>
      <c r="E512" s="213"/>
      <c r="F512" s="213"/>
      <c r="G512" s="525"/>
      <c r="H512" s="213"/>
      <c r="I512" s="213"/>
      <c r="J512" s="213"/>
      <c r="K512" s="213"/>
      <c r="L512" s="213"/>
      <c r="N512" s="525"/>
      <c r="O512" s="525"/>
      <c r="P512" s="525"/>
      <c r="Q512" s="58"/>
      <c r="R512" s="58"/>
      <c r="S512" s="58"/>
    </row>
    <row r="513" spans="2:19" x14ac:dyDescent="0.2">
      <c r="B513" s="213"/>
      <c r="C513" s="213"/>
      <c r="D513" s="213"/>
      <c r="E513" s="213"/>
      <c r="F513" s="213"/>
      <c r="G513" s="525"/>
      <c r="H513" s="213"/>
      <c r="I513" s="213"/>
      <c r="J513" s="213"/>
      <c r="K513" s="213"/>
      <c r="L513" s="213"/>
      <c r="N513" s="525"/>
      <c r="O513" s="525"/>
      <c r="P513" s="525"/>
      <c r="Q513" s="58"/>
      <c r="R513" s="58"/>
      <c r="S513" s="58"/>
    </row>
    <row r="514" spans="2:19" x14ac:dyDescent="0.2">
      <c r="B514" s="213"/>
      <c r="C514" s="213"/>
      <c r="D514" s="213"/>
      <c r="E514" s="213"/>
      <c r="F514" s="213"/>
      <c r="G514" s="525"/>
      <c r="H514" s="213"/>
      <c r="I514" s="213"/>
      <c r="J514" s="213"/>
      <c r="K514" s="213"/>
      <c r="L514" s="213"/>
      <c r="N514" s="525"/>
      <c r="O514" s="525"/>
      <c r="P514" s="525"/>
      <c r="Q514" s="58"/>
      <c r="R514" s="58"/>
      <c r="S514" s="58"/>
    </row>
    <row r="515" spans="2:19" x14ac:dyDescent="0.2">
      <c r="B515" s="213"/>
      <c r="C515" s="213"/>
      <c r="D515" s="213"/>
      <c r="E515" s="213"/>
      <c r="F515" s="213"/>
      <c r="G515" s="525"/>
      <c r="H515" s="213"/>
      <c r="I515" s="213"/>
      <c r="J515" s="213"/>
      <c r="K515" s="213"/>
      <c r="L515" s="213"/>
      <c r="N515" s="525"/>
      <c r="O515" s="525"/>
      <c r="P515" s="525"/>
      <c r="Q515" s="58"/>
      <c r="R515" s="58"/>
      <c r="S515" s="58"/>
    </row>
    <row r="516" spans="2:19" x14ac:dyDescent="0.2">
      <c r="B516" s="213"/>
      <c r="C516" s="213"/>
      <c r="D516" s="213"/>
      <c r="E516" s="213"/>
      <c r="F516" s="213"/>
      <c r="G516" s="525"/>
      <c r="H516" s="213"/>
      <c r="I516" s="213"/>
      <c r="J516" s="213"/>
      <c r="K516" s="213"/>
      <c r="L516" s="213"/>
      <c r="N516" s="525"/>
      <c r="O516" s="525"/>
      <c r="P516" s="525"/>
      <c r="Q516" s="58"/>
      <c r="R516" s="58"/>
      <c r="S516" s="58"/>
    </row>
    <row r="517" spans="2:19" x14ac:dyDescent="0.2">
      <c r="B517" s="213"/>
      <c r="C517" s="213"/>
      <c r="D517" s="213"/>
      <c r="E517" s="213"/>
      <c r="F517" s="213"/>
      <c r="G517" s="525"/>
      <c r="H517" s="213"/>
      <c r="I517" s="213"/>
      <c r="J517" s="213"/>
      <c r="K517" s="213"/>
      <c r="L517" s="213"/>
      <c r="N517" s="525"/>
      <c r="O517" s="525"/>
      <c r="P517" s="525"/>
      <c r="Q517" s="58"/>
      <c r="R517" s="58"/>
      <c r="S517" s="58"/>
    </row>
    <row r="518" spans="2:19" x14ac:dyDescent="0.2">
      <c r="B518" s="213"/>
      <c r="C518" s="213"/>
      <c r="D518" s="213"/>
      <c r="E518" s="213"/>
      <c r="F518" s="213"/>
      <c r="G518" s="525"/>
      <c r="H518" s="213"/>
      <c r="I518" s="213"/>
      <c r="J518" s="213"/>
      <c r="K518" s="213"/>
      <c r="L518" s="213"/>
      <c r="N518" s="525"/>
      <c r="O518" s="525"/>
      <c r="P518" s="525"/>
      <c r="Q518" s="58"/>
      <c r="R518" s="58"/>
      <c r="S518" s="58"/>
    </row>
    <row r="519" spans="2:19" x14ac:dyDescent="0.2">
      <c r="B519" s="213"/>
      <c r="C519" s="213"/>
      <c r="D519" s="213"/>
      <c r="E519" s="213"/>
      <c r="F519" s="213"/>
      <c r="G519" s="525"/>
      <c r="H519" s="213"/>
      <c r="I519" s="213"/>
      <c r="J519" s="213"/>
      <c r="K519" s="213"/>
      <c r="L519" s="213"/>
      <c r="N519" s="525"/>
      <c r="O519" s="525"/>
      <c r="P519" s="525"/>
      <c r="Q519" s="58"/>
      <c r="R519" s="58"/>
      <c r="S519" s="58"/>
    </row>
    <row r="520" spans="2:19" x14ac:dyDescent="0.2">
      <c r="B520" s="213"/>
      <c r="C520" s="213"/>
      <c r="D520" s="213"/>
      <c r="E520" s="213"/>
      <c r="F520" s="213"/>
      <c r="G520" s="525"/>
      <c r="H520" s="213"/>
      <c r="I520" s="213"/>
      <c r="J520" s="213"/>
      <c r="K520" s="213"/>
      <c r="L520" s="213"/>
      <c r="N520" s="525"/>
      <c r="O520" s="525"/>
      <c r="P520" s="525"/>
      <c r="Q520" s="58"/>
      <c r="R520" s="58"/>
      <c r="S520" s="58"/>
    </row>
    <row r="521" spans="2:19" x14ac:dyDescent="0.2">
      <c r="B521" s="213"/>
      <c r="C521" s="213"/>
      <c r="D521" s="213"/>
      <c r="E521" s="213"/>
      <c r="F521" s="213"/>
      <c r="G521" s="525"/>
      <c r="H521" s="213"/>
      <c r="I521" s="213"/>
      <c r="J521" s="213"/>
      <c r="K521" s="213"/>
      <c r="L521" s="213"/>
      <c r="N521" s="525"/>
      <c r="O521" s="525"/>
      <c r="P521" s="525"/>
      <c r="Q521" s="58"/>
      <c r="R521" s="58"/>
      <c r="S521" s="58"/>
    </row>
    <row r="522" spans="2:19" x14ac:dyDescent="0.2">
      <c r="B522" s="213"/>
      <c r="C522" s="213"/>
      <c r="D522" s="213"/>
      <c r="E522" s="213"/>
      <c r="F522" s="213"/>
      <c r="G522" s="525"/>
      <c r="H522" s="213"/>
      <c r="I522" s="213"/>
      <c r="J522" s="213"/>
      <c r="K522" s="213"/>
      <c r="L522" s="213"/>
      <c r="N522" s="525"/>
      <c r="O522" s="525"/>
      <c r="P522" s="525"/>
      <c r="Q522" s="58"/>
      <c r="R522" s="58"/>
      <c r="S522" s="58"/>
    </row>
    <row r="523" spans="2:19" x14ac:dyDescent="0.2">
      <c r="B523" s="213"/>
      <c r="C523" s="213"/>
      <c r="D523" s="213"/>
      <c r="E523" s="213"/>
      <c r="F523" s="213"/>
      <c r="G523" s="525"/>
      <c r="H523" s="213"/>
      <c r="I523" s="213"/>
      <c r="J523" s="213"/>
      <c r="K523" s="213"/>
      <c r="L523" s="213"/>
      <c r="N523" s="525"/>
      <c r="O523" s="525"/>
      <c r="P523" s="525"/>
      <c r="Q523" s="58"/>
      <c r="R523" s="58"/>
      <c r="S523" s="58"/>
    </row>
    <row r="524" spans="2:19" x14ac:dyDescent="0.2">
      <c r="B524" s="213"/>
      <c r="C524" s="213"/>
      <c r="D524" s="213"/>
      <c r="E524" s="213"/>
      <c r="F524" s="213"/>
      <c r="G524" s="525"/>
      <c r="H524" s="213"/>
      <c r="I524" s="213"/>
      <c r="J524" s="213"/>
      <c r="K524" s="213"/>
      <c r="L524" s="213"/>
      <c r="N524" s="525"/>
      <c r="O524" s="525"/>
      <c r="P524" s="525"/>
      <c r="Q524" s="58"/>
      <c r="R524" s="58"/>
      <c r="S524" s="58"/>
    </row>
    <row r="525" spans="2:19" x14ac:dyDescent="0.2">
      <c r="B525" s="213"/>
      <c r="C525" s="213"/>
      <c r="D525" s="213"/>
      <c r="E525" s="213"/>
      <c r="F525" s="213"/>
      <c r="G525" s="525"/>
      <c r="H525" s="213"/>
      <c r="I525" s="213"/>
      <c r="J525" s="213"/>
      <c r="K525" s="213"/>
      <c r="L525" s="213"/>
      <c r="N525" s="525"/>
      <c r="O525" s="525"/>
      <c r="P525" s="525"/>
      <c r="Q525" s="58"/>
      <c r="R525" s="58"/>
      <c r="S525" s="58"/>
    </row>
    <row r="526" spans="2:19" x14ac:dyDescent="0.2">
      <c r="B526" s="213"/>
      <c r="C526" s="213"/>
      <c r="D526" s="213"/>
      <c r="E526" s="213"/>
      <c r="F526" s="213"/>
      <c r="G526" s="525"/>
      <c r="H526" s="213"/>
      <c r="I526" s="213"/>
      <c r="J526" s="213"/>
      <c r="K526" s="213"/>
      <c r="L526" s="213"/>
      <c r="N526" s="525"/>
      <c r="O526" s="525"/>
      <c r="P526" s="525"/>
      <c r="Q526" s="58"/>
      <c r="R526" s="58"/>
      <c r="S526" s="58"/>
    </row>
    <row r="527" spans="2:19" x14ac:dyDescent="0.2">
      <c r="B527" s="213"/>
      <c r="C527" s="213"/>
      <c r="D527" s="213"/>
      <c r="E527" s="213"/>
      <c r="F527" s="213"/>
      <c r="G527" s="525"/>
      <c r="H527" s="213"/>
      <c r="I527" s="213"/>
      <c r="J527" s="213"/>
      <c r="K527" s="213"/>
      <c r="L527" s="213"/>
      <c r="N527" s="525"/>
      <c r="O527" s="525"/>
      <c r="P527" s="525"/>
      <c r="Q527" s="58"/>
      <c r="R527" s="58"/>
      <c r="S527" s="58"/>
    </row>
    <row r="528" spans="2:19" x14ac:dyDescent="0.2">
      <c r="B528" s="213"/>
      <c r="C528" s="213"/>
      <c r="D528" s="213"/>
      <c r="E528" s="213"/>
      <c r="F528" s="213"/>
      <c r="G528" s="525"/>
      <c r="H528" s="213"/>
      <c r="I528" s="213"/>
      <c r="J528" s="213"/>
      <c r="K528" s="213"/>
      <c r="L528" s="213"/>
      <c r="N528" s="525"/>
      <c r="O528" s="525"/>
      <c r="P528" s="525"/>
      <c r="Q528" s="58"/>
      <c r="R528" s="58"/>
      <c r="S528" s="58"/>
    </row>
    <row r="529" spans="2:19" x14ac:dyDescent="0.2">
      <c r="B529" s="213"/>
      <c r="C529" s="213"/>
      <c r="D529" s="213"/>
      <c r="E529" s="213"/>
      <c r="F529" s="213"/>
      <c r="G529" s="525"/>
      <c r="H529" s="213"/>
      <c r="I529" s="213"/>
      <c r="J529" s="213"/>
      <c r="K529" s="213"/>
      <c r="L529" s="213"/>
      <c r="N529" s="525"/>
      <c r="O529" s="525"/>
      <c r="P529" s="525"/>
      <c r="Q529" s="58"/>
      <c r="R529" s="58"/>
      <c r="S529" s="58"/>
    </row>
    <row r="530" spans="2:19" x14ac:dyDescent="0.2">
      <c r="B530" s="213"/>
      <c r="C530" s="213"/>
      <c r="D530" s="213"/>
      <c r="E530" s="213"/>
      <c r="F530" s="213"/>
      <c r="G530" s="525"/>
      <c r="H530" s="213"/>
      <c r="I530" s="213"/>
      <c r="J530" s="213"/>
      <c r="K530" s="213"/>
      <c r="L530" s="213"/>
      <c r="N530" s="525"/>
      <c r="O530" s="525"/>
      <c r="P530" s="525"/>
      <c r="Q530" s="58"/>
      <c r="R530" s="58"/>
      <c r="S530" s="58"/>
    </row>
    <row r="531" spans="2:19" x14ac:dyDescent="0.2">
      <c r="B531" s="213"/>
      <c r="C531" s="213"/>
      <c r="D531" s="213"/>
      <c r="E531" s="213"/>
      <c r="F531" s="213"/>
      <c r="G531" s="525"/>
      <c r="H531" s="213"/>
      <c r="I531" s="213"/>
      <c r="J531" s="213"/>
      <c r="K531" s="213"/>
      <c r="L531" s="213"/>
      <c r="N531" s="525"/>
      <c r="O531" s="525"/>
      <c r="P531" s="525"/>
      <c r="Q531" s="58"/>
      <c r="R531" s="58"/>
      <c r="S531" s="58"/>
    </row>
    <row r="532" spans="2:19" x14ac:dyDescent="0.2">
      <c r="B532" s="213"/>
      <c r="C532" s="213"/>
      <c r="D532" s="213"/>
      <c r="E532" s="213"/>
      <c r="F532" s="213"/>
      <c r="G532" s="525"/>
      <c r="H532" s="213"/>
      <c r="I532" s="213"/>
      <c r="J532" s="213"/>
      <c r="K532" s="213"/>
      <c r="L532" s="213"/>
      <c r="N532" s="525"/>
      <c r="O532" s="525"/>
      <c r="P532" s="525"/>
      <c r="Q532" s="58"/>
      <c r="R532" s="58"/>
      <c r="S532" s="58"/>
    </row>
    <row r="533" spans="2:19" x14ac:dyDescent="0.2">
      <c r="B533" s="213"/>
      <c r="C533" s="213"/>
      <c r="D533" s="213"/>
      <c r="E533" s="213"/>
      <c r="F533" s="213"/>
      <c r="G533" s="525"/>
      <c r="H533" s="213"/>
      <c r="I533" s="213"/>
      <c r="J533" s="213"/>
      <c r="K533" s="213"/>
      <c r="L533" s="213"/>
      <c r="N533" s="525"/>
      <c r="O533" s="525"/>
      <c r="P533" s="525"/>
      <c r="Q533" s="58"/>
      <c r="R533" s="58"/>
      <c r="S533" s="58"/>
    </row>
    <row r="534" spans="2:19" x14ac:dyDescent="0.2">
      <c r="B534" s="213"/>
      <c r="C534" s="213"/>
      <c r="D534" s="213"/>
      <c r="E534" s="213"/>
      <c r="F534" s="213"/>
      <c r="G534" s="525"/>
      <c r="H534" s="213"/>
      <c r="I534" s="213"/>
      <c r="J534" s="213"/>
      <c r="K534" s="213"/>
      <c r="L534" s="213"/>
      <c r="N534" s="525"/>
      <c r="O534" s="525"/>
      <c r="P534" s="525"/>
      <c r="Q534" s="58"/>
      <c r="R534" s="58"/>
      <c r="S534" s="58"/>
    </row>
    <row r="535" spans="2:19" x14ac:dyDescent="0.2">
      <c r="B535" s="213"/>
      <c r="C535" s="213"/>
      <c r="D535" s="213"/>
      <c r="E535" s="213"/>
      <c r="F535" s="213"/>
      <c r="G535" s="525"/>
      <c r="H535" s="213"/>
      <c r="I535" s="213"/>
      <c r="J535" s="213"/>
      <c r="K535" s="213"/>
      <c r="L535" s="213"/>
      <c r="N535" s="525"/>
      <c r="O535" s="525"/>
      <c r="P535" s="525"/>
      <c r="Q535" s="58"/>
      <c r="R535" s="58"/>
      <c r="S535" s="58"/>
    </row>
    <row r="536" spans="2:19" x14ac:dyDescent="0.2">
      <c r="B536" s="213"/>
      <c r="C536" s="213"/>
      <c r="D536" s="213"/>
      <c r="E536" s="213"/>
      <c r="F536" s="213"/>
      <c r="G536" s="525"/>
      <c r="H536" s="213"/>
      <c r="I536" s="213"/>
      <c r="J536" s="213"/>
      <c r="K536" s="213"/>
      <c r="L536" s="213"/>
      <c r="N536" s="525"/>
      <c r="O536" s="525"/>
      <c r="P536" s="525"/>
      <c r="Q536" s="58"/>
      <c r="R536" s="58"/>
      <c r="S536" s="58"/>
    </row>
    <row r="537" spans="2:19" x14ac:dyDescent="0.2">
      <c r="B537" s="213"/>
      <c r="C537" s="213"/>
      <c r="D537" s="213"/>
      <c r="E537" s="213"/>
      <c r="F537" s="213"/>
      <c r="G537" s="525"/>
      <c r="H537" s="213"/>
      <c r="I537" s="213"/>
      <c r="J537" s="213"/>
      <c r="K537" s="213"/>
      <c r="L537" s="213"/>
      <c r="N537" s="525"/>
      <c r="O537" s="525"/>
      <c r="P537" s="525"/>
      <c r="Q537" s="58"/>
      <c r="R537" s="58"/>
      <c r="S537" s="58"/>
    </row>
    <row r="538" spans="2:19" x14ac:dyDescent="0.2">
      <c r="B538" s="213"/>
      <c r="C538" s="213"/>
      <c r="D538" s="213"/>
      <c r="E538" s="213"/>
      <c r="F538" s="213"/>
      <c r="G538" s="525"/>
      <c r="H538" s="213"/>
      <c r="I538" s="213"/>
      <c r="J538" s="213"/>
      <c r="K538" s="213"/>
      <c r="L538" s="213"/>
      <c r="N538" s="525"/>
      <c r="O538" s="525"/>
      <c r="P538" s="525"/>
      <c r="Q538" s="58"/>
      <c r="R538" s="58"/>
      <c r="S538" s="58"/>
    </row>
    <row r="539" spans="2:19" x14ac:dyDescent="0.2">
      <c r="B539" s="213"/>
      <c r="C539" s="213"/>
      <c r="D539" s="213"/>
      <c r="E539" s="213"/>
      <c r="F539" s="213"/>
      <c r="G539" s="525"/>
      <c r="H539" s="213"/>
      <c r="I539" s="213"/>
      <c r="J539" s="213"/>
      <c r="K539" s="213"/>
      <c r="L539" s="213"/>
      <c r="N539" s="525"/>
      <c r="O539" s="525"/>
      <c r="P539" s="525"/>
      <c r="Q539" s="58"/>
      <c r="R539" s="58"/>
      <c r="S539" s="58"/>
    </row>
    <row r="540" spans="2:19" x14ac:dyDescent="0.2">
      <c r="B540" s="213"/>
      <c r="C540" s="213"/>
      <c r="D540" s="213"/>
      <c r="E540" s="213"/>
      <c r="F540" s="213"/>
      <c r="G540" s="525"/>
      <c r="H540" s="213"/>
      <c r="I540" s="213"/>
      <c r="J540" s="213"/>
      <c r="K540" s="213"/>
      <c r="L540" s="213"/>
      <c r="N540" s="525"/>
      <c r="O540" s="525"/>
      <c r="P540" s="525"/>
      <c r="Q540" s="58"/>
      <c r="R540" s="58"/>
      <c r="S540" s="58"/>
    </row>
    <row r="541" spans="2:19" x14ac:dyDescent="0.2">
      <c r="B541" s="213"/>
      <c r="C541" s="213"/>
      <c r="D541" s="213"/>
      <c r="E541" s="213"/>
      <c r="F541" s="213"/>
      <c r="G541" s="525"/>
      <c r="H541" s="213"/>
      <c r="I541" s="213"/>
      <c r="J541" s="213"/>
      <c r="K541" s="213"/>
      <c r="L541" s="213"/>
      <c r="N541" s="525"/>
      <c r="O541" s="525"/>
      <c r="P541" s="525"/>
      <c r="Q541" s="58"/>
      <c r="R541" s="58"/>
      <c r="S541" s="58"/>
    </row>
    <row r="542" spans="2:19" x14ac:dyDescent="0.2">
      <c r="B542" s="213"/>
      <c r="C542" s="213"/>
      <c r="D542" s="213"/>
      <c r="E542" s="213"/>
      <c r="F542" s="213"/>
      <c r="G542" s="525"/>
      <c r="H542" s="213"/>
      <c r="I542" s="213"/>
      <c r="J542" s="213"/>
      <c r="K542" s="213"/>
      <c r="L542" s="213"/>
      <c r="N542" s="525"/>
      <c r="O542" s="525"/>
      <c r="P542" s="525"/>
      <c r="Q542" s="58"/>
      <c r="R542" s="58"/>
      <c r="S542" s="58"/>
    </row>
    <row r="543" spans="2:19" x14ac:dyDescent="0.2">
      <c r="B543" s="213"/>
      <c r="C543" s="213"/>
      <c r="D543" s="213"/>
      <c r="E543" s="213"/>
      <c r="F543" s="213"/>
      <c r="G543" s="525"/>
      <c r="H543" s="213"/>
      <c r="I543" s="213"/>
      <c r="J543" s="213"/>
      <c r="K543" s="213"/>
      <c r="L543" s="213"/>
      <c r="N543" s="525"/>
      <c r="O543" s="525"/>
      <c r="P543" s="525"/>
      <c r="Q543" s="58"/>
      <c r="R543" s="58"/>
      <c r="S543" s="58"/>
    </row>
    <row r="544" spans="2:19" x14ac:dyDescent="0.2">
      <c r="B544" s="213"/>
      <c r="C544" s="213"/>
      <c r="D544" s="213"/>
      <c r="E544" s="213"/>
      <c r="F544" s="213"/>
      <c r="G544" s="525"/>
      <c r="H544" s="213"/>
      <c r="I544" s="213"/>
      <c r="J544" s="213"/>
      <c r="K544" s="213"/>
      <c r="L544" s="213"/>
      <c r="N544" s="525"/>
      <c r="O544" s="525"/>
      <c r="P544" s="525"/>
      <c r="Q544" s="58"/>
      <c r="R544" s="58"/>
      <c r="S544" s="58"/>
    </row>
    <row r="545" spans="2:19" x14ac:dyDescent="0.2">
      <c r="B545" s="213"/>
      <c r="C545" s="213"/>
      <c r="D545" s="213"/>
      <c r="E545" s="213"/>
      <c r="F545" s="213"/>
      <c r="G545" s="525"/>
      <c r="H545" s="213"/>
      <c r="I545" s="213"/>
      <c r="J545" s="213"/>
      <c r="K545" s="213"/>
      <c r="L545" s="213"/>
      <c r="N545" s="525"/>
      <c r="O545" s="525"/>
      <c r="P545" s="525"/>
      <c r="Q545" s="58"/>
      <c r="R545" s="58"/>
      <c r="S545" s="58"/>
    </row>
    <row r="546" spans="2:19" x14ac:dyDescent="0.2">
      <c r="B546" s="213"/>
      <c r="C546" s="213"/>
      <c r="D546" s="213"/>
      <c r="E546" s="213"/>
      <c r="F546" s="213"/>
      <c r="G546" s="525"/>
      <c r="H546" s="213"/>
      <c r="I546" s="213"/>
      <c r="J546" s="213"/>
      <c r="K546" s="213"/>
      <c r="L546" s="213"/>
      <c r="N546" s="525"/>
      <c r="O546" s="525"/>
      <c r="P546" s="525"/>
      <c r="Q546" s="58"/>
      <c r="R546" s="58"/>
      <c r="S546" s="58"/>
    </row>
    <row r="547" spans="2:19" x14ac:dyDescent="0.2">
      <c r="B547" s="213"/>
      <c r="C547" s="213"/>
      <c r="D547" s="213"/>
      <c r="E547" s="213"/>
      <c r="F547" s="213"/>
      <c r="G547" s="525"/>
      <c r="H547" s="213"/>
      <c r="I547" s="213"/>
      <c r="J547" s="213"/>
      <c r="K547" s="213"/>
      <c r="L547" s="213"/>
      <c r="N547" s="525"/>
      <c r="O547" s="525"/>
      <c r="P547" s="525"/>
      <c r="Q547" s="58"/>
      <c r="R547" s="58"/>
      <c r="S547" s="58"/>
    </row>
    <row r="548" spans="2:19" x14ac:dyDescent="0.2">
      <c r="B548" s="213"/>
      <c r="C548" s="213"/>
      <c r="D548" s="213"/>
      <c r="E548" s="213"/>
      <c r="F548" s="213"/>
      <c r="G548" s="525"/>
      <c r="H548" s="213"/>
      <c r="I548" s="213"/>
      <c r="J548" s="213"/>
      <c r="K548" s="213"/>
      <c r="L548" s="213"/>
      <c r="N548" s="525"/>
      <c r="O548" s="525"/>
      <c r="P548" s="525"/>
      <c r="Q548" s="58"/>
      <c r="R548" s="58"/>
      <c r="S548" s="58"/>
    </row>
    <row r="549" spans="2:19" x14ac:dyDescent="0.2">
      <c r="B549" s="213"/>
      <c r="C549" s="213"/>
      <c r="D549" s="213"/>
      <c r="E549" s="213"/>
      <c r="F549" s="213"/>
      <c r="G549" s="525"/>
      <c r="H549" s="213"/>
      <c r="I549" s="213"/>
      <c r="J549" s="213"/>
      <c r="K549" s="213"/>
      <c r="L549" s="213"/>
      <c r="N549" s="525"/>
      <c r="O549" s="525"/>
      <c r="P549" s="525"/>
      <c r="Q549" s="58"/>
      <c r="R549" s="58"/>
      <c r="S549" s="58"/>
    </row>
    <row r="550" spans="2:19" x14ac:dyDescent="0.2">
      <c r="B550" s="213"/>
      <c r="C550" s="213"/>
      <c r="D550" s="213"/>
      <c r="E550" s="213"/>
      <c r="F550" s="213"/>
      <c r="G550" s="525"/>
      <c r="H550" s="213"/>
      <c r="I550" s="213"/>
      <c r="J550" s="213"/>
      <c r="K550" s="213"/>
      <c r="L550" s="213"/>
      <c r="N550" s="525"/>
      <c r="O550" s="525"/>
      <c r="P550" s="525"/>
      <c r="Q550" s="58"/>
      <c r="R550" s="58"/>
      <c r="S550" s="58"/>
    </row>
    <row r="551" spans="2:19" x14ac:dyDescent="0.2">
      <c r="B551" s="213"/>
      <c r="C551" s="213"/>
      <c r="D551" s="213"/>
      <c r="E551" s="213"/>
      <c r="F551" s="213"/>
      <c r="G551" s="525"/>
      <c r="H551" s="213"/>
      <c r="I551" s="213"/>
      <c r="J551" s="213"/>
      <c r="K551" s="213"/>
      <c r="L551" s="213"/>
      <c r="N551" s="525"/>
      <c r="O551" s="525"/>
      <c r="P551" s="525"/>
      <c r="Q551" s="58"/>
      <c r="R551" s="58"/>
      <c r="S551" s="58"/>
    </row>
    <row r="552" spans="2:19" x14ac:dyDescent="0.2">
      <c r="B552" s="213"/>
      <c r="C552" s="213"/>
      <c r="D552" s="213"/>
      <c r="E552" s="213"/>
      <c r="F552" s="213"/>
      <c r="G552" s="525"/>
      <c r="H552" s="213"/>
      <c r="I552" s="213"/>
      <c r="J552" s="213"/>
      <c r="K552" s="213"/>
      <c r="L552" s="213"/>
      <c r="N552" s="525"/>
      <c r="O552" s="525"/>
      <c r="P552" s="525"/>
      <c r="Q552" s="58"/>
      <c r="R552" s="58"/>
      <c r="S552" s="58"/>
    </row>
    <row r="553" spans="2:19" x14ac:dyDescent="0.2">
      <c r="B553" s="213"/>
      <c r="C553" s="213"/>
      <c r="D553" s="213"/>
      <c r="E553" s="213"/>
      <c r="F553" s="213"/>
      <c r="G553" s="525"/>
      <c r="H553" s="213"/>
      <c r="I553" s="213"/>
      <c r="J553" s="213"/>
      <c r="K553" s="213"/>
      <c r="L553" s="213"/>
      <c r="N553" s="525"/>
      <c r="O553" s="525"/>
      <c r="P553" s="525"/>
      <c r="Q553" s="58"/>
      <c r="R553" s="58"/>
      <c r="S553" s="58"/>
    </row>
    <row r="554" spans="2:19" x14ac:dyDescent="0.2">
      <c r="B554" s="213"/>
      <c r="C554" s="213"/>
      <c r="D554" s="213"/>
      <c r="E554" s="213"/>
      <c r="F554" s="213"/>
      <c r="G554" s="525"/>
      <c r="H554" s="213"/>
      <c r="I554" s="213"/>
      <c r="J554" s="213"/>
      <c r="K554" s="213"/>
      <c r="L554" s="213"/>
      <c r="N554" s="525"/>
      <c r="O554" s="525"/>
      <c r="P554" s="525"/>
      <c r="Q554" s="58"/>
      <c r="R554" s="58"/>
      <c r="S554" s="58"/>
    </row>
    <row r="555" spans="2:19" x14ac:dyDescent="0.2">
      <c r="B555" s="213"/>
      <c r="C555" s="213"/>
      <c r="D555" s="213"/>
      <c r="E555" s="213"/>
      <c r="F555" s="213"/>
      <c r="G555" s="525"/>
      <c r="H555" s="213"/>
      <c r="I555" s="213"/>
      <c r="J555" s="213"/>
      <c r="K555" s="213"/>
      <c r="L555" s="213"/>
      <c r="N555" s="525"/>
      <c r="O555" s="525"/>
      <c r="P555" s="525"/>
      <c r="Q555" s="58"/>
      <c r="R555" s="58"/>
      <c r="S555" s="58"/>
    </row>
    <row r="556" spans="2:19" x14ac:dyDescent="0.2">
      <c r="B556" s="213"/>
      <c r="C556" s="213"/>
      <c r="D556" s="213"/>
      <c r="E556" s="213"/>
      <c r="F556" s="213"/>
      <c r="G556" s="525"/>
      <c r="H556" s="213"/>
      <c r="I556" s="213"/>
      <c r="J556" s="213"/>
      <c r="K556" s="213"/>
      <c r="L556" s="213"/>
      <c r="N556" s="525"/>
      <c r="O556" s="525"/>
      <c r="P556" s="525"/>
      <c r="Q556" s="58"/>
      <c r="R556" s="58"/>
      <c r="S556" s="58"/>
    </row>
    <row r="557" spans="2:19" x14ac:dyDescent="0.2">
      <c r="B557" s="213"/>
      <c r="C557" s="213"/>
      <c r="D557" s="213"/>
      <c r="E557" s="213"/>
      <c r="F557" s="213"/>
      <c r="G557" s="525"/>
      <c r="H557" s="213"/>
      <c r="I557" s="213"/>
      <c r="J557" s="213"/>
      <c r="K557" s="213"/>
      <c r="L557" s="213"/>
      <c r="N557" s="525"/>
      <c r="O557" s="525"/>
      <c r="P557" s="525"/>
      <c r="Q557" s="58"/>
      <c r="R557" s="58"/>
      <c r="S557" s="58"/>
    </row>
    <row r="558" spans="2:19" x14ac:dyDescent="0.2">
      <c r="B558" s="213"/>
      <c r="C558" s="213"/>
      <c r="D558" s="213"/>
      <c r="E558" s="213"/>
      <c r="F558" s="213"/>
      <c r="G558" s="525"/>
      <c r="H558" s="213"/>
      <c r="I558" s="213"/>
      <c r="J558" s="213"/>
      <c r="K558" s="213"/>
      <c r="L558" s="213"/>
      <c r="N558" s="525"/>
      <c r="O558" s="525"/>
      <c r="P558" s="525"/>
      <c r="Q558" s="58"/>
      <c r="R558" s="58"/>
      <c r="S558" s="58"/>
    </row>
    <row r="559" spans="2:19" x14ac:dyDescent="0.2">
      <c r="B559" s="213"/>
      <c r="C559" s="213"/>
      <c r="D559" s="213"/>
      <c r="E559" s="213"/>
      <c r="F559" s="213"/>
      <c r="G559" s="525"/>
      <c r="H559" s="213"/>
      <c r="I559" s="213"/>
      <c r="J559" s="213"/>
      <c r="K559" s="213"/>
      <c r="L559" s="213"/>
      <c r="N559" s="525"/>
      <c r="O559" s="525"/>
      <c r="P559" s="525"/>
      <c r="Q559" s="58"/>
      <c r="R559" s="58"/>
      <c r="S559" s="58"/>
    </row>
    <row r="560" spans="2:19" x14ac:dyDescent="0.2">
      <c r="B560" s="213"/>
      <c r="C560" s="213"/>
      <c r="D560" s="213"/>
      <c r="E560" s="213"/>
      <c r="F560" s="213"/>
      <c r="G560" s="525"/>
      <c r="H560" s="213"/>
      <c r="I560" s="213"/>
      <c r="J560" s="213"/>
      <c r="K560" s="213"/>
      <c r="L560" s="213"/>
      <c r="N560" s="525"/>
      <c r="O560" s="525"/>
      <c r="P560" s="525"/>
      <c r="Q560" s="58"/>
      <c r="R560" s="58"/>
      <c r="S560" s="58"/>
    </row>
    <row r="561" spans="2:19" x14ac:dyDescent="0.2">
      <c r="B561" s="213"/>
      <c r="C561" s="213"/>
      <c r="D561" s="213"/>
      <c r="E561" s="213"/>
      <c r="F561" s="213"/>
      <c r="G561" s="525"/>
      <c r="H561" s="213"/>
      <c r="I561" s="213"/>
      <c r="J561" s="213"/>
      <c r="K561" s="213"/>
      <c r="L561" s="213"/>
      <c r="N561" s="525"/>
      <c r="O561" s="525"/>
      <c r="P561" s="525"/>
      <c r="Q561" s="58"/>
      <c r="R561" s="58"/>
      <c r="S561" s="58"/>
    </row>
    <row r="562" spans="2:19" x14ac:dyDescent="0.2">
      <c r="B562" s="213"/>
      <c r="C562" s="213"/>
      <c r="D562" s="213"/>
      <c r="E562" s="213"/>
      <c r="F562" s="213"/>
      <c r="G562" s="525"/>
      <c r="H562" s="213"/>
      <c r="I562" s="213"/>
      <c r="J562" s="213"/>
      <c r="K562" s="213"/>
      <c r="L562" s="213"/>
      <c r="N562" s="525"/>
      <c r="O562" s="525"/>
      <c r="P562" s="525"/>
      <c r="Q562" s="58"/>
      <c r="R562" s="58"/>
      <c r="S562" s="58"/>
    </row>
    <row r="563" spans="2:19" x14ac:dyDescent="0.2">
      <c r="B563" s="213"/>
      <c r="C563" s="213"/>
      <c r="D563" s="213"/>
      <c r="E563" s="213"/>
      <c r="F563" s="213"/>
      <c r="G563" s="525"/>
      <c r="H563" s="213"/>
      <c r="I563" s="213"/>
      <c r="J563" s="213"/>
      <c r="K563" s="213"/>
      <c r="L563" s="213"/>
      <c r="N563" s="525"/>
      <c r="O563" s="525"/>
      <c r="P563" s="525"/>
      <c r="Q563" s="58"/>
      <c r="R563" s="58"/>
      <c r="S563" s="58"/>
    </row>
    <row r="564" spans="2:19" x14ac:dyDescent="0.2">
      <c r="B564" s="213"/>
      <c r="C564" s="213"/>
      <c r="D564" s="213"/>
      <c r="E564" s="213"/>
      <c r="F564" s="213"/>
      <c r="G564" s="525"/>
      <c r="H564" s="213"/>
      <c r="I564" s="213"/>
      <c r="J564" s="213"/>
      <c r="K564" s="213"/>
      <c r="L564" s="213"/>
      <c r="N564" s="525"/>
      <c r="O564" s="525"/>
      <c r="P564" s="525"/>
      <c r="Q564" s="58"/>
      <c r="R564" s="58"/>
      <c r="S564" s="58"/>
    </row>
    <row r="565" spans="2:19" x14ac:dyDescent="0.2">
      <c r="B565" s="213"/>
      <c r="C565" s="213"/>
      <c r="D565" s="213"/>
      <c r="E565" s="213"/>
      <c r="F565" s="213"/>
      <c r="G565" s="525"/>
      <c r="H565" s="213"/>
      <c r="I565" s="213"/>
      <c r="J565" s="213"/>
      <c r="K565" s="213"/>
      <c r="L565" s="213"/>
      <c r="N565" s="525"/>
      <c r="O565" s="525"/>
      <c r="P565" s="525"/>
      <c r="Q565" s="58"/>
      <c r="R565" s="58"/>
      <c r="S565" s="58"/>
    </row>
    <row r="566" spans="2:19" x14ac:dyDescent="0.2">
      <c r="B566" s="213"/>
      <c r="C566" s="213"/>
      <c r="D566" s="213"/>
      <c r="E566" s="213"/>
      <c r="F566" s="213"/>
      <c r="G566" s="525"/>
      <c r="H566" s="213"/>
      <c r="I566" s="213"/>
      <c r="J566" s="213"/>
      <c r="K566" s="213"/>
      <c r="L566" s="213"/>
      <c r="N566" s="525"/>
      <c r="O566" s="525"/>
      <c r="P566" s="525"/>
      <c r="Q566" s="58"/>
      <c r="R566" s="58"/>
      <c r="S566" s="58"/>
    </row>
    <row r="567" spans="2:19" x14ac:dyDescent="0.2">
      <c r="B567" s="213"/>
      <c r="C567" s="213"/>
      <c r="D567" s="213"/>
      <c r="E567" s="213"/>
      <c r="F567" s="213"/>
      <c r="G567" s="525"/>
      <c r="H567" s="213"/>
      <c r="I567" s="213"/>
      <c r="J567" s="213"/>
      <c r="K567" s="213"/>
      <c r="L567" s="213"/>
      <c r="N567" s="525"/>
      <c r="O567" s="525"/>
      <c r="P567" s="525"/>
      <c r="Q567" s="58"/>
      <c r="R567" s="58"/>
      <c r="S567" s="58"/>
    </row>
    <row r="568" spans="2:19" x14ac:dyDescent="0.2">
      <c r="B568" s="213"/>
      <c r="C568" s="213"/>
      <c r="D568" s="213"/>
      <c r="E568" s="213"/>
      <c r="F568" s="213"/>
      <c r="G568" s="525"/>
      <c r="H568" s="213"/>
      <c r="I568" s="213"/>
      <c r="J568" s="213"/>
      <c r="K568" s="213"/>
      <c r="L568" s="213"/>
      <c r="N568" s="525"/>
      <c r="O568" s="525"/>
      <c r="P568" s="525"/>
      <c r="Q568" s="58"/>
      <c r="R568" s="58"/>
      <c r="S568" s="58"/>
    </row>
    <row r="569" spans="2:19" x14ac:dyDescent="0.2">
      <c r="B569" s="213"/>
      <c r="C569" s="213"/>
      <c r="D569" s="213"/>
      <c r="E569" s="213"/>
      <c r="F569" s="213"/>
      <c r="G569" s="525"/>
      <c r="H569" s="213"/>
      <c r="I569" s="213"/>
      <c r="J569" s="213"/>
      <c r="K569" s="213"/>
      <c r="L569" s="213"/>
      <c r="N569" s="525"/>
      <c r="O569" s="525"/>
      <c r="P569" s="525"/>
      <c r="Q569" s="58"/>
      <c r="R569" s="58"/>
      <c r="S569" s="58"/>
    </row>
    <row r="570" spans="2:19" x14ac:dyDescent="0.2">
      <c r="B570" s="213"/>
      <c r="C570" s="213"/>
      <c r="D570" s="213"/>
      <c r="E570" s="213"/>
      <c r="F570" s="213"/>
      <c r="G570" s="525"/>
      <c r="H570" s="213"/>
      <c r="I570" s="213"/>
      <c r="J570" s="213"/>
      <c r="K570" s="213"/>
      <c r="L570" s="213"/>
      <c r="N570" s="525"/>
      <c r="O570" s="525"/>
      <c r="P570" s="525"/>
      <c r="Q570" s="58"/>
      <c r="R570" s="58"/>
      <c r="S570" s="58"/>
    </row>
    <row r="571" spans="2:19" x14ac:dyDescent="0.2">
      <c r="B571" s="213"/>
      <c r="C571" s="213"/>
      <c r="D571" s="213"/>
      <c r="E571" s="213"/>
      <c r="F571" s="213"/>
      <c r="G571" s="525"/>
      <c r="H571" s="213"/>
      <c r="I571" s="213"/>
      <c r="J571" s="213"/>
      <c r="K571" s="213"/>
      <c r="L571" s="213"/>
      <c r="N571" s="525"/>
      <c r="O571" s="525"/>
      <c r="P571" s="525"/>
      <c r="Q571" s="58"/>
      <c r="R571" s="58"/>
      <c r="S571" s="58"/>
    </row>
    <row r="572" spans="2:19" x14ac:dyDescent="0.2">
      <c r="B572" s="213"/>
      <c r="C572" s="213"/>
      <c r="D572" s="213"/>
      <c r="E572" s="213"/>
      <c r="F572" s="213"/>
      <c r="G572" s="525"/>
      <c r="H572" s="213"/>
      <c r="I572" s="213"/>
      <c r="J572" s="213"/>
      <c r="K572" s="213"/>
      <c r="L572" s="213"/>
      <c r="N572" s="525"/>
      <c r="O572" s="525"/>
      <c r="P572" s="525"/>
      <c r="Q572" s="58"/>
      <c r="R572" s="58"/>
      <c r="S572" s="58"/>
    </row>
    <row r="573" spans="2:19" x14ac:dyDescent="0.2">
      <c r="B573" s="213"/>
      <c r="C573" s="213"/>
      <c r="D573" s="213"/>
      <c r="E573" s="213"/>
      <c r="F573" s="213"/>
      <c r="G573" s="525"/>
      <c r="H573" s="213"/>
      <c r="I573" s="213"/>
      <c r="J573" s="213"/>
      <c r="K573" s="213"/>
      <c r="L573" s="213"/>
      <c r="N573" s="525"/>
      <c r="O573" s="525"/>
      <c r="P573" s="525"/>
      <c r="Q573" s="58"/>
      <c r="R573" s="58"/>
      <c r="S573" s="58"/>
    </row>
    <row r="574" spans="2:19" x14ac:dyDescent="0.2">
      <c r="B574" s="213"/>
      <c r="C574" s="213"/>
      <c r="D574" s="213"/>
      <c r="E574" s="213"/>
      <c r="F574" s="213"/>
      <c r="G574" s="525"/>
      <c r="H574" s="213"/>
      <c r="I574" s="213"/>
      <c r="J574" s="213"/>
      <c r="K574" s="213"/>
      <c r="L574" s="213"/>
      <c r="N574" s="525"/>
      <c r="O574" s="525"/>
      <c r="P574" s="525"/>
      <c r="Q574" s="58"/>
      <c r="R574" s="58"/>
      <c r="S574" s="58"/>
    </row>
    <row r="575" spans="2:19" x14ac:dyDescent="0.2">
      <c r="B575" s="213"/>
      <c r="C575" s="213"/>
      <c r="D575" s="213"/>
      <c r="E575" s="213"/>
      <c r="F575" s="213"/>
      <c r="G575" s="525"/>
      <c r="H575" s="213"/>
      <c r="I575" s="213"/>
      <c r="J575" s="213"/>
      <c r="K575" s="213"/>
      <c r="L575" s="213"/>
      <c r="N575" s="525"/>
      <c r="O575" s="525"/>
      <c r="P575" s="525"/>
      <c r="Q575" s="58"/>
      <c r="R575" s="58"/>
      <c r="S575" s="58"/>
    </row>
    <row r="576" spans="2:19" x14ac:dyDescent="0.2">
      <c r="B576" s="213"/>
      <c r="C576" s="213"/>
      <c r="D576" s="213"/>
      <c r="E576" s="213"/>
      <c r="F576" s="213"/>
      <c r="G576" s="525"/>
      <c r="H576" s="213"/>
      <c r="I576" s="213"/>
      <c r="J576" s="213"/>
      <c r="K576" s="213"/>
      <c r="L576" s="213"/>
      <c r="N576" s="525"/>
      <c r="O576" s="525"/>
      <c r="P576" s="525"/>
      <c r="Q576" s="58"/>
      <c r="R576" s="58"/>
      <c r="S576" s="58"/>
    </row>
    <row r="577" spans="2:19" x14ac:dyDescent="0.2">
      <c r="B577" s="213"/>
      <c r="C577" s="213"/>
      <c r="D577" s="213"/>
      <c r="E577" s="213"/>
      <c r="F577" s="213"/>
      <c r="G577" s="525"/>
      <c r="H577" s="213"/>
      <c r="I577" s="213"/>
      <c r="J577" s="213"/>
      <c r="K577" s="213"/>
      <c r="L577" s="213"/>
      <c r="N577" s="525"/>
      <c r="O577" s="525"/>
      <c r="P577" s="525"/>
      <c r="Q577" s="58"/>
      <c r="R577" s="58"/>
      <c r="S577" s="58"/>
    </row>
    <row r="578" spans="2:19" x14ac:dyDescent="0.2">
      <c r="B578" s="213"/>
      <c r="C578" s="213"/>
      <c r="D578" s="213"/>
      <c r="E578" s="213"/>
      <c r="F578" s="213"/>
      <c r="G578" s="525"/>
      <c r="H578" s="213"/>
      <c r="I578" s="213"/>
      <c r="J578" s="213"/>
      <c r="K578" s="213"/>
      <c r="L578" s="213"/>
      <c r="N578" s="525"/>
      <c r="O578" s="525"/>
      <c r="P578" s="525"/>
      <c r="Q578" s="58"/>
      <c r="R578" s="58"/>
      <c r="S578" s="58"/>
    </row>
    <row r="579" spans="2:19" x14ac:dyDescent="0.2">
      <c r="B579" s="213"/>
      <c r="C579" s="213"/>
      <c r="D579" s="213"/>
      <c r="E579" s="213"/>
      <c r="F579" s="213"/>
      <c r="G579" s="525"/>
      <c r="H579" s="213"/>
      <c r="I579" s="213"/>
      <c r="J579" s="213"/>
      <c r="K579" s="213"/>
      <c r="L579" s="213"/>
      <c r="N579" s="525"/>
      <c r="O579" s="525"/>
      <c r="P579" s="525"/>
      <c r="Q579" s="58"/>
      <c r="R579" s="58"/>
      <c r="S579" s="58"/>
    </row>
    <row r="580" spans="2:19" x14ac:dyDescent="0.2">
      <c r="B580" s="213"/>
      <c r="C580" s="213"/>
      <c r="D580" s="213"/>
      <c r="E580" s="213"/>
      <c r="F580" s="213"/>
      <c r="G580" s="525"/>
      <c r="H580" s="213"/>
      <c r="I580" s="213"/>
      <c r="J580" s="213"/>
      <c r="K580" s="213"/>
      <c r="L580" s="213"/>
      <c r="N580" s="525"/>
      <c r="O580" s="525"/>
      <c r="P580" s="525"/>
      <c r="Q580" s="58"/>
      <c r="R580" s="58"/>
      <c r="S580" s="58"/>
    </row>
    <row r="581" spans="2:19" x14ac:dyDescent="0.2">
      <c r="B581" s="213"/>
      <c r="C581" s="213"/>
      <c r="D581" s="213"/>
      <c r="E581" s="213"/>
      <c r="F581" s="213"/>
      <c r="G581" s="525"/>
      <c r="H581" s="213"/>
      <c r="I581" s="213"/>
      <c r="J581" s="213"/>
      <c r="K581" s="213"/>
      <c r="L581" s="213"/>
      <c r="N581" s="525"/>
      <c r="O581" s="525"/>
      <c r="P581" s="525"/>
      <c r="Q581" s="58"/>
      <c r="R581" s="58"/>
      <c r="S581" s="58"/>
    </row>
    <row r="582" spans="2:19" x14ac:dyDescent="0.2">
      <c r="B582" s="213"/>
      <c r="C582" s="213"/>
      <c r="D582" s="213"/>
      <c r="E582" s="213"/>
      <c r="F582" s="213"/>
      <c r="G582" s="525"/>
      <c r="H582" s="213"/>
      <c r="I582" s="213"/>
      <c r="J582" s="213"/>
      <c r="K582" s="213"/>
      <c r="L582" s="213"/>
      <c r="N582" s="525"/>
      <c r="O582" s="525"/>
      <c r="P582" s="525"/>
      <c r="Q582" s="58"/>
      <c r="R582" s="58"/>
      <c r="S582" s="58"/>
    </row>
    <row r="583" spans="2:19" x14ac:dyDescent="0.2">
      <c r="B583" s="213"/>
      <c r="C583" s="213"/>
      <c r="D583" s="213"/>
      <c r="E583" s="213"/>
      <c r="F583" s="213"/>
      <c r="G583" s="525"/>
      <c r="H583" s="213"/>
      <c r="I583" s="213"/>
      <c r="J583" s="213"/>
      <c r="K583" s="213"/>
      <c r="L583" s="213"/>
      <c r="N583" s="525"/>
      <c r="O583" s="525"/>
      <c r="P583" s="525"/>
      <c r="Q583" s="58"/>
      <c r="R583" s="58"/>
      <c r="S583" s="58"/>
    </row>
    <row r="584" spans="2:19" x14ac:dyDescent="0.2">
      <c r="B584" s="213"/>
      <c r="C584" s="213"/>
      <c r="D584" s="213"/>
      <c r="E584" s="213"/>
      <c r="F584" s="213"/>
      <c r="G584" s="525"/>
      <c r="H584" s="213"/>
      <c r="I584" s="213"/>
      <c r="J584" s="213"/>
      <c r="K584" s="213"/>
      <c r="L584" s="213"/>
      <c r="N584" s="525"/>
      <c r="O584" s="525"/>
      <c r="P584" s="525"/>
      <c r="Q584" s="58"/>
      <c r="R584" s="58"/>
      <c r="S584" s="58"/>
    </row>
    <row r="585" spans="2:19" x14ac:dyDescent="0.2">
      <c r="B585" s="213"/>
      <c r="C585" s="213"/>
      <c r="D585" s="213"/>
      <c r="E585" s="213"/>
      <c r="F585" s="213"/>
      <c r="G585" s="525"/>
      <c r="H585" s="213"/>
      <c r="I585" s="213"/>
      <c r="J585" s="213"/>
      <c r="K585" s="213"/>
      <c r="L585" s="213"/>
      <c r="N585" s="525"/>
      <c r="O585" s="525"/>
      <c r="P585" s="525"/>
      <c r="Q585" s="58"/>
      <c r="R585" s="58"/>
      <c r="S585" s="58"/>
    </row>
    <row r="586" spans="2:19" x14ac:dyDescent="0.2">
      <c r="B586" s="213"/>
      <c r="C586" s="213"/>
      <c r="D586" s="213"/>
      <c r="E586" s="213"/>
      <c r="F586" s="213"/>
      <c r="G586" s="525"/>
      <c r="H586" s="213"/>
      <c r="I586" s="213"/>
      <c r="J586" s="213"/>
      <c r="K586" s="213"/>
      <c r="L586" s="213"/>
      <c r="N586" s="525"/>
      <c r="O586" s="525"/>
      <c r="P586" s="525"/>
      <c r="Q586" s="58"/>
      <c r="R586" s="58"/>
      <c r="S586" s="58"/>
    </row>
    <row r="587" spans="2:19" x14ac:dyDescent="0.2">
      <c r="B587" s="213"/>
      <c r="C587" s="213"/>
      <c r="D587" s="213"/>
      <c r="E587" s="213"/>
      <c r="F587" s="213"/>
      <c r="G587" s="525"/>
      <c r="H587" s="213"/>
      <c r="I587" s="213"/>
      <c r="J587" s="213"/>
      <c r="K587" s="213"/>
      <c r="L587" s="213"/>
      <c r="N587" s="525"/>
      <c r="O587" s="525"/>
      <c r="P587" s="525"/>
      <c r="Q587" s="58"/>
      <c r="R587" s="58"/>
      <c r="S587" s="58"/>
    </row>
    <row r="588" spans="2:19" x14ac:dyDescent="0.2">
      <c r="B588" s="213"/>
      <c r="C588" s="213"/>
      <c r="D588" s="213"/>
      <c r="E588" s="213"/>
      <c r="F588" s="213"/>
      <c r="G588" s="525"/>
      <c r="H588" s="213"/>
      <c r="I588" s="213"/>
      <c r="J588" s="213"/>
      <c r="K588" s="213"/>
      <c r="L588" s="213"/>
      <c r="N588" s="525"/>
      <c r="O588" s="525"/>
      <c r="P588" s="525"/>
      <c r="Q588" s="58"/>
      <c r="R588" s="58"/>
      <c r="S588" s="58"/>
    </row>
    <row r="589" spans="2:19" x14ac:dyDescent="0.2">
      <c r="B589" s="213"/>
      <c r="C589" s="213"/>
      <c r="D589" s="213"/>
      <c r="E589" s="213"/>
      <c r="F589" s="213"/>
      <c r="G589" s="525"/>
      <c r="H589" s="213"/>
      <c r="I589" s="213"/>
      <c r="J589" s="213"/>
      <c r="K589" s="213"/>
      <c r="L589" s="213"/>
      <c r="N589" s="525"/>
      <c r="O589" s="525"/>
      <c r="P589" s="525"/>
      <c r="Q589" s="58"/>
      <c r="R589" s="58"/>
      <c r="S589" s="58"/>
    </row>
    <row r="590" spans="2:19" x14ac:dyDescent="0.2">
      <c r="B590" s="213"/>
      <c r="C590" s="213"/>
      <c r="D590" s="213"/>
      <c r="E590" s="213"/>
      <c r="F590" s="213"/>
      <c r="G590" s="525"/>
      <c r="H590" s="213"/>
      <c r="I590" s="213"/>
      <c r="J590" s="213"/>
      <c r="K590" s="213"/>
      <c r="L590" s="213"/>
      <c r="N590" s="525"/>
      <c r="O590" s="525"/>
      <c r="P590" s="525"/>
      <c r="Q590" s="58"/>
      <c r="R590" s="58"/>
      <c r="S590" s="58"/>
    </row>
    <row r="591" spans="2:19" x14ac:dyDescent="0.2">
      <c r="B591" s="213"/>
      <c r="C591" s="213"/>
      <c r="D591" s="213"/>
      <c r="E591" s="213"/>
      <c r="F591" s="213"/>
      <c r="G591" s="525"/>
      <c r="H591" s="213"/>
      <c r="I591" s="213"/>
      <c r="J591" s="213"/>
      <c r="K591" s="213"/>
      <c r="L591" s="213"/>
      <c r="N591" s="525"/>
      <c r="O591" s="525"/>
      <c r="P591" s="525"/>
      <c r="Q591" s="58"/>
      <c r="R591" s="58"/>
      <c r="S591" s="58"/>
    </row>
    <row r="592" spans="2:19" x14ac:dyDescent="0.2">
      <c r="B592" s="213"/>
      <c r="C592" s="213"/>
      <c r="D592" s="213"/>
      <c r="E592" s="213"/>
      <c r="F592" s="213"/>
      <c r="G592" s="525"/>
      <c r="H592" s="213"/>
      <c r="I592" s="213"/>
      <c r="J592" s="213"/>
      <c r="K592" s="213"/>
      <c r="L592" s="213"/>
      <c r="N592" s="525"/>
      <c r="O592" s="525"/>
      <c r="P592" s="525"/>
      <c r="Q592" s="58"/>
      <c r="R592" s="58"/>
      <c r="S592" s="58"/>
    </row>
    <row r="593" spans="2:19" x14ac:dyDescent="0.2">
      <c r="B593" s="213"/>
      <c r="C593" s="213"/>
      <c r="D593" s="213"/>
      <c r="E593" s="213"/>
      <c r="F593" s="213"/>
      <c r="G593" s="525"/>
      <c r="H593" s="213"/>
      <c r="I593" s="213"/>
      <c r="J593" s="213"/>
      <c r="K593" s="213"/>
      <c r="L593" s="213"/>
      <c r="N593" s="525"/>
      <c r="O593" s="525"/>
      <c r="P593" s="525"/>
      <c r="Q593" s="58"/>
      <c r="R593" s="58"/>
      <c r="S593" s="58"/>
    </row>
    <row r="594" spans="2:19" x14ac:dyDescent="0.2">
      <c r="B594" s="213"/>
      <c r="C594" s="213"/>
      <c r="D594" s="213"/>
      <c r="E594" s="213"/>
      <c r="F594" s="213"/>
      <c r="G594" s="525"/>
      <c r="H594" s="213"/>
      <c r="I594" s="213"/>
      <c r="J594" s="213"/>
      <c r="K594" s="213"/>
      <c r="L594" s="213"/>
      <c r="N594" s="525"/>
      <c r="O594" s="525"/>
      <c r="P594" s="525"/>
      <c r="Q594" s="58"/>
      <c r="R594" s="58"/>
      <c r="S594" s="58"/>
    </row>
    <row r="595" spans="2:19" x14ac:dyDescent="0.2">
      <c r="B595" s="213"/>
      <c r="C595" s="213"/>
      <c r="D595" s="213"/>
      <c r="E595" s="213"/>
      <c r="F595" s="213"/>
      <c r="G595" s="525"/>
      <c r="H595" s="213"/>
      <c r="I595" s="213"/>
      <c r="J595" s="213"/>
      <c r="K595" s="213"/>
      <c r="L595" s="213"/>
      <c r="N595" s="525"/>
      <c r="O595" s="525"/>
      <c r="P595" s="525"/>
      <c r="Q595" s="58"/>
      <c r="R595" s="58"/>
      <c r="S595" s="58"/>
    </row>
    <row r="596" spans="2:19" x14ac:dyDescent="0.2">
      <c r="B596" s="213"/>
      <c r="C596" s="213"/>
      <c r="D596" s="213"/>
      <c r="E596" s="213"/>
      <c r="F596" s="213"/>
      <c r="G596" s="525"/>
      <c r="H596" s="213"/>
      <c r="I596" s="213"/>
      <c r="J596" s="213"/>
      <c r="K596" s="213"/>
      <c r="L596" s="213"/>
      <c r="N596" s="525"/>
      <c r="O596" s="525"/>
      <c r="P596" s="525"/>
      <c r="Q596" s="58"/>
      <c r="R596" s="58"/>
      <c r="S596" s="58"/>
    </row>
    <row r="597" spans="2:19" x14ac:dyDescent="0.2">
      <c r="B597" s="213"/>
      <c r="C597" s="213"/>
      <c r="D597" s="213"/>
      <c r="E597" s="213"/>
      <c r="F597" s="213"/>
      <c r="G597" s="525"/>
      <c r="H597" s="213"/>
      <c r="I597" s="213"/>
      <c r="J597" s="213"/>
      <c r="K597" s="213"/>
      <c r="L597" s="213"/>
      <c r="N597" s="525"/>
      <c r="O597" s="525"/>
      <c r="P597" s="525"/>
      <c r="Q597" s="58"/>
      <c r="R597" s="58"/>
      <c r="S597" s="58"/>
    </row>
    <row r="598" spans="2:19" x14ac:dyDescent="0.2">
      <c r="B598" s="213"/>
      <c r="C598" s="213"/>
      <c r="D598" s="213"/>
      <c r="E598" s="213"/>
      <c r="F598" s="213"/>
      <c r="G598" s="525"/>
      <c r="H598" s="213"/>
      <c r="I598" s="213"/>
      <c r="J598" s="213"/>
      <c r="K598" s="213"/>
      <c r="L598" s="213"/>
      <c r="N598" s="525"/>
      <c r="O598" s="525"/>
      <c r="P598" s="525"/>
      <c r="Q598" s="58"/>
      <c r="R598" s="58"/>
      <c r="S598" s="58"/>
    </row>
    <row r="599" spans="2:19" x14ac:dyDescent="0.2">
      <c r="B599" s="213"/>
      <c r="C599" s="213"/>
      <c r="D599" s="213"/>
      <c r="E599" s="213"/>
      <c r="F599" s="213"/>
      <c r="G599" s="525"/>
      <c r="H599" s="213"/>
      <c r="I599" s="213"/>
      <c r="J599" s="213"/>
      <c r="K599" s="213"/>
      <c r="L599" s="213"/>
      <c r="N599" s="525"/>
      <c r="O599" s="525"/>
      <c r="P599" s="525"/>
      <c r="Q599" s="58"/>
      <c r="R599" s="58"/>
      <c r="S599" s="58"/>
    </row>
    <row r="600" spans="2:19" x14ac:dyDescent="0.2">
      <c r="B600" s="213"/>
      <c r="C600" s="213"/>
      <c r="D600" s="213"/>
      <c r="E600" s="213"/>
      <c r="F600" s="213"/>
      <c r="G600" s="525"/>
      <c r="H600" s="213"/>
      <c r="I600" s="213"/>
      <c r="J600" s="213"/>
      <c r="K600" s="213"/>
      <c r="L600" s="213"/>
      <c r="N600" s="525"/>
      <c r="O600" s="525"/>
      <c r="P600" s="525"/>
      <c r="Q600" s="58"/>
      <c r="R600" s="58"/>
      <c r="S600" s="58"/>
    </row>
    <row r="601" spans="2:19" x14ac:dyDescent="0.2">
      <c r="B601" s="213"/>
      <c r="C601" s="213"/>
      <c r="D601" s="213"/>
      <c r="E601" s="213"/>
      <c r="F601" s="213"/>
      <c r="G601" s="525"/>
      <c r="H601" s="213"/>
      <c r="I601" s="213"/>
      <c r="J601" s="213"/>
      <c r="K601" s="213"/>
      <c r="L601" s="213"/>
      <c r="N601" s="525"/>
      <c r="O601" s="525"/>
      <c r="P601" s="525"/>
      <c r="Q601" s="58"/>
      <c r="R601" s="58"/>
      <c r="S601" s="58"/>
    </row>
    <row r="602" spans="2:19" x14ac:dyDescent="0.2">
      <c r="B602" s="213"/>
      <c r="C602" s="213"/>
      <c r="D602" s="213"/>
      <c r="E602" s="213"/>
      <c r="F602" s="213"/>
      <c r="G602" s="525"/>
      <c r="H602" s="213"/>
      <c r="I602" s="213"/>
      <c r="J602" s="213"/>
      <c r="K602" s="213"/>
      <c r="L602" s="213"/>
      <c r="N602" s="525"/>
      <c r="O602" s="525"/>
      <c r="P602" s="525"/>
      <c r="Q602" s="58"/>
      <c r="R602" s="58"/>
      <c r="S602" s="58"/>
    </row>
    <row r="603" spans="2:19" x14ac:dyDescent="0.2">
      <c r="B603" s="213"/>
      <c r="C603" s="213"/>
      <c r="D603" s="213"/>
      <c r="E603" s="213"/>
      <c r="F603" s="213"/>
      <c r="G603" s="525"/>
      <c r="H603" s="213"/>
      <c r="I603" s="213"/>
      <c r="J603" s="213"/>
      <c r="K603" s="213"/>
      <c r="L603" s="213"/>
      <c r="N603" s="525"/>
      <c r="O603" s="525"/>
      <c r="P603" s="525"/>
      <c r="Q603" s="58"/>
      <c r="R603" s="58"/>
      <c r="S603" s="58"/>
    </row>
    <row r="604" spans="2:19" x14ac:dyDescent="0.2">
      <c r="B604" s="213"/>
      <c r="C604" s="213"/>
      <c r="D604" s="213"/>
      <c r="E604" s="213"/>
      <c r="F604" s="213"/>
      <c r="G604" s="525"/>
      <c r="H604" s="213"/>
      <c r="I604" s="213"/>
      <c r="J604" s="213"/>
      <c r="K604" s="213"/>
      <c r="L604" s="213"/>
      <c r="N604" s="525"/>
      <c r="O604" s="525"/>
      <c r="P604" s="525"/>
      <c r="Q604" s="58"/>
      <c r="R604" s="58"/>
      <c r="S604" s="58"/>
    </row>
    <row r="605" spans="2:19" x14ac:dyDescent="0.2">
      <c r="B605" s="213"/>
      <c r="C605" s="213"/>
      <c r="D605" s="213"/>
      <c r="E605" s="213"/>
      <c r="F605" s="213"/>
      <c r="G605" s="525"/>
      <c r="H605" s="213"/>
      <c r="I605" s="213"/>
      <c r="J605" s="213"/>
      <c r="K605" s="213"/>
      <c r="L605" s="213"/>
      <c r="N605" s="525"/>
      <c r="O605" s="525"/>
      <c r="P605" s="525"/>
      <c r="Q605" s="58"/>
      <c r="R605" s="58"/>
      <c r="S605" s="58"/>
    </row>
    <row r="606" spans="2:19" x14ac:dyDescent="0.2">
      <c r="B606" s="213"/>
      <c r="C606" s="213"/>
      <c r="D606" s="213"/>
      <c r="E606" s="213"/>
      <c r="F606" s="213"/>
      <c r="G606" s="525"/>
      <c r="H606" s="213"/>
      <c r="I606" s="213"/>
      <c r="J606" s="213"/>
      <c r="K606" s="213"/>
      <c r="L606" s="213"/>
      <c r="N606" s="525"/>
      <c r="O606" s="525"/>
      <c r="P606" s="525"/>
      <c r="Q606" s="58"/>
      <c r="R606" s="58"/>
      <c r="S606" s="58"/>
    </row>
    <row r="607" spans="2:19" x14ac:dyDescent="0.2">
      <c r="B607" s="213"/>
      <c r="C607" s="213"/>
      <c r="D607" s="213"/>
      <c r="E607" s="213"/>
      <c r="F607" s="213"/>
      <c r="G607" s="525"/>
      <c r="H607" s="213"/>
      <c r="I607" s="213"/>
      <c r="J607" s="213"/>
      <c r="K607" s="213"/>
      <c r="L607" s="213"/>
      <c r="N607" s="525"/>
      <c r="O607" s="525"/>
      <c r="P607" s="525"/>
      <c r="Q607" s="58"/>
      <c r="R607" s="58"/>
      <c r="S607" s="58"/>
    </row>
    <row r="608" spans="2:19" x14ac:dyDescent="0.2">
      <c r="B608" s="213"/>
      <c r="C608" s="213"/>
      <c r="D608" s="213"/>
      <c r="E608" s="213"/>
      <c r="F608" s="213"/>
      <c r="G608" s="525"/>
      <c r="H608" s="213"/>
      <c r="I608" s="213"/>
      <c r="J608" s="213"/>
      <c r="K608" s="213"/>
      <c r="L608" s="213"/>
      <c r="N608" s="525"/>
      <c r="O608" s="525"/>
      <c r="P608" s="525"/>
      <c r="Q608" s="58"/>
      <c r="R608" s="58"/>
      <c r="S608" s="58"/>
    </row>
    <row r="609" spans="2:19" x14ac:dyDescent="0.2">
      <c r="B609" s="213"/>
      <c r="C609" s="213"/>
      <c r="D609" s="213"/>
      <c r="E609" s="213"/>
      <c r="F609" s="213"/>
      <c r="G609" s="525"/>
      <c r="H609" s="213"/>
      <c r="I609" s="213"/>
      <c r="J609" s="213"/>
      <c r="K609" s="213"/>
      <c r="L609" s="213"/>
      <c r="N609" s="525"/>
      <c r="O609" s="525"/>
      <c r="P609" s="525"/>
      <c r="Q609" s="58"/>
      <c r="R609" s="58"/>
      <c r="S609" s="58"/>
    </row>
    <row r="610" spans="2:19" x14ac:dyDescent="0.2">
      <c r="B610" s="213"/>
      <c r="C610" s="213"/>
      <c r="D610" s="213"/>
      <c r="E610" s="213"/>
      <c r="F610" s="213"/>
      <c r="G610" s="525"/>
      <c r="H610" s="213"/>
      <c r="I610" s="213"/>
      <c r="J610" s="213"/>
      <c r="K610" s="213"/>
      <c r="L610" s="213"/>
      <c r="N610" s="525"/>
      <c r="O610" s="525"/>
      <c r="P610" s="525"/>
      <c r="Q610" s="58"/>
      <c r="R610" s="58"/>
      <c r="S610" s="58"/>
    </row>
    <row r="611" spans="2:19" x14ac:dyDescent="0.2">
      <c r="B611" s="213"/>
      <c r="C611" s="213"/>
      <c r="D611" s="213"/>
      <c r="E611" s="213"/>
      <c r="F611" s="213"/>
      <c r="G611" s="525"/>
      <c r="H611" s="213"/>
      <c r="I611" s="213"/>
      <c r="J611" s="213"/>
      <c r="K611" s="213"/>
      <c r="L611" s="213"/>
      <c r="N611" s="525"/>
      <c r="O611" s="525"/>
      <c r="P611" s="525"/>
      <c r="Q611" s="58"/>
      <c r="R611" s="58"/>
      <c r="S611" s="58"/>
    </row>
    <row r="612" spans="2:19" x14ac:dyDescent="0.2">
      <c r="B612" s="213"/>
      <c r="C612" s="213"/>
      <c r="D612" s="213"/>
      <c r="E612" s="213"/>
      <c r="F612" s="213"/>
      <c r="G612" s="525"/>
      <c r="H612" s="213"/>
      <c r="I612" s="213"/>
      <c r="J612" s="213"/>
      <c r="K612" s="213"/>
      <c r="L612" s="213"/>
      <c r="N612" s="525"/>
      <c r="O612" s="525"/>
      <c r="P612" s="525"/>
      <c r="Q612" s="58"/>
      <c r="R612" s="58"/>
      <c r="S612" s="58"/>
    </row>
    <row r="613" spans="2:19" x14ac:dyDescent="0.2">
      <c r="B613" s="213"/>
      <c r="C613" s="213"/>
      <c r="D613" s="213"/>
      <c r="E613" s="213"/>
      <c r="F613" s="213"/>
      <c r="G613" s="525"/>
      <c r="H613" s="213"/>
      <c r="I613" s="213"/>
      <c r="J613" s="213"/>
      <c r="K613" s="213"/>
      <c r="L613" s="213"/>
      <c r="N613" s="525"/>
      <c r="O613" s="525"/>
      <c r="P613" s="525"/>
      <c r="Q613" s="58"/>
      <c r="R613" s="58"/>
      <c r="S613" s="58"/>
    </row>
    <row r="614" spans="2:19" x14ac:dyDescent="0.2">
      <c r="B614" s="213"/>
      <c r="C614" s="213"/>
      <c r="D614" s="213"/>
      <c r="E614" s="213"/>
      <c r="F614" s="213"/>
      <c r="G614" s="525"/>
      <c r="H614" s="213"/>
      <c r="I614" s="213"/>
      <c r="J614" s="213"/>
      <c r="K614" s="213"/>
      <c r="L614" s="213"/>
      <c r="N614" s="525"/>
      <c r="O614" s="525"/>
      <c r="P614" s="525"/>
      <c r="Q614" s="58"/>
      <c r="R614" s="58"/>
      <c r="S614" s="58"/>
    </row>
    <row r="615" spans="2:19" x14ac:dyDescent="0.2">
      <c r="B615" s="213"/>
      <c r="C615" s="213"/>
      <c r="D615" s="213"/>
      <c r="E615" s="213"/>
      <c r="F615" s="213"/>
      <c r="G615" s="525"/>
      <c r="H615" s="213"/>
      <c r="I615" s="213"/>
      <c r="J615" s="213"/>
      <c r="K615" s="213"/>
      <c r="L615" s="213"/>
      <c r="N615" s="525"/>
      <c r="O615" s="525"/>
      <c r="P615" s="525"/>
      <c r="Q615" s="58"/>
      <c r="R615" s="58"/>
      <c r="S615" s="58"/>
    </row>
    <row r="616" spans="2:19" x14ac:dyDescent="0.2">
      <c r="B616" s="213"/>
      <c r="C616" s="213"/>
      <c r="D616" s="213"/>
      <c r="E616" s="213"/>
      <c r="F616" s="213"/>
      <c r="G616" s="525"/>
      <c r="H616" s="213"/>
      <c r="I616" s="213"/>
      <c r="J616" s="213"/>
      <c r="K616" s="213"/>
      <c r="L616" s="213"/>
      <c r="N616" s="525"/>
      <c r="O616" s="525"/>
      <c r="P616" s="525"/>
      <c r="Q616" s="58"/>
      <c r="R616" s="58"/>
      <c r="S616" s="58"/>
    </row>
    <row r="617" spans="2:19" x14ac:dyDescent="0.2">
      <c r="B617" s="213"/>
      <c r="C617" s="213"/>
      <c r="D617" s="213"/>
      <c r="E617" s="213"/>
      <c r="F617" s="213"/>
      <c r="G617" s="525"/>
      <c r="H617" s="213"/>
      <c r="I617" s="213"/>
      <c r="J617" s="213"/>
      <c r="K617" s="213"/>
      <c r="L617" s="213"/>
      <c r="N617" s="525"/>
      <c r="O617" s="525"/>
      <c r="P617" s="525"/>
      <c r="Q617" s="58"/>
      <c r="R617" s="58"/>
      <c r="S617" s="58"/>
    </row>
    <row r="618" spans="2:19" x14ac:dyDescent="0.2">
      <c r="B618" s="213"/>
      <c r="C618" s="213"/>
      <c r="D618" s="213"/>
      <c r="E618" s="213"/>
      <c r="F618" s="213"/>
      <c r="G618" s="525"/>
      <c r="H618" s="213"/>
      <c r="I618" s="213"/>
      <c r="J618" s="213"/>
      <c r="K618" s="213"/>
      <c r="L618" s="213"/>
      <c r="N618" s="525"/>
      <c r="O618" s="525"/>
      <c r="P618" s="525"/>
      <c r="Q618" s="58"/>
      <c r="R618" s="58"/>
      <c r="S618" s="58"/>
    </row>
    <row r="619" spans="2:19" x14ac:dyDescent="0.2">
      <c r="B619" s="213"/>
      <c r="C619" s="213"/>
      <c r="D619" s="213"/>
      <c r="E619" s="213"/>
      <c r="F619" s="213"/>
      <c r="G619" s="525"/>
      <c r="H619" s="213"/>
      <c r="I619" s="213"/>
      <c r="J619" s="213"/>
      <c r="K619" s="213"/>
      <c r="L619" s="213"/>
      <c r="N619" s="525"/>
      <c r="O619" s="525"/>
      <c r="P619" s="525"/>
      <c r="Q619" s="58"/>
      <c r="R619" s="58"/>
      <c r="S619" s="58"/>
    </row>
    <row r="620" spans="2:19" x14ac:dyDescent="0.2">
      <c r="B620" s="213"/>
      <c r="C620" s="213"/>
      <c r="D620" s="213"/>
      <c r="E620" s="213"/>
      <c r="F620" s="213"/>
      <c r="G620" s="525"/>
      <c r="H620" s="213"/>
      <c r="I620" s="213"/>
      <c r="J620" s="213"/>
      <c r="K620" s="213"/>
      <c r="L620" s="213"/>
      <c r="N620" s="525"/>
      <c r="O620" s="525"/>
      <c r="P620" s="525"/>
      <c r="Q620" s="58"/>
      <c r="R620" s="58"/>
      <c r="S620" s="58"/>
    </row>
    <row r="621" spans="2:19" x14ac:dyDescent="0.2">
      <c r="B621" s="213"/>
      <c r="C621" s="213"/>
      <c r="D621" s="213"/>
      <c r="E621" s="213"/>
      <c r="F621" s="213"/>
      <c r="G621" s="525"/>
      <c r="H621" s="213"/>
      <c r="I621" s="213"/>
      <c r="J621" s="213"/>
      <c r="K621" s="213"/>
      <c r="L621" s="213"/>
      <c r="N621" s="525"/>
      <c r="O621" s="525"/>
      <c r="P621" s="525"/>
      <c r="Q621" s="58"/>
      <c r="R621" s="58"/>
      <c r="S621" s="58"/>
    </row>
    <row r="622" spans="2:19" x14ac:dyDescent="0.2">
      <c r="B622" s="213"/>
      <c r="C622" s="213"/>
      <c r="D622" s="213"/>
      <c r="E622" s="213"/>
      <c r="F622" s="213"/>
      <c r="G622" s="525"/>
      <c r="H622" s="213"/>
      <c r="I622" s="213"/>
      <c r="J622" s="213"/>
      <c r="K622" s="213"/>
      <c r="L622" s="213"/>
      <c r="N622" s="525"/>
      <c r="O622" s="525"/>
      <c r="P622" s="525"/>
      <c r="Q622" s="58"/>
      <c r="R622" s="58"/>
      <c r="S622" s="58"/>
    </row>
    <row r="623" spans="2:19" x14ac:dyDescent="0.2">
      <c r="B623" s="213"/>
      <c r="C623" s="213"/>
      <c r="D623" s="213"/>
      <c r="E623" s="213"/>
      <c r="F623" s="213"/>
      <c r="G623" s="525"/>
      <c r="H623" s="213"/>
      <c r="I623" s="213"/>
      <c r="J623" s="213"/>
      <c r="K623" s="213"/>
      <c r="L623" s="213"/>
      <c r="N623" s="525"/>
      <c r="O623" s="525"/>
      <c r="P623" s="525"/>
      <c r="Q623" s="58"/>
      <c r="R623" s="58"/>
      <c r="S623" s="58"/>
    </row>
    <row r="624" spans="2:19" x14ac:dyDescent="0.2">
      <c r="B624" s="213"/>
      <c r="C624" s="213"/>
      <c r="D624" s="213"/>
      <c r="E624" s="213"/>
      <c r="F624" s="213"/>
      <c r="G624" s="525"/>
      <c r="H624" s="213"/>
      <c r="I624" s="213"/>
      <c r="J624" s="213"/>
      <c r="K624" s="213"/>
      <c r="L624" s="213"/>
      <c r="N624" s="525"/>
      <c r="O624" s="525"/>
      <c r="P624" s="525"/>
      <c r="Q624" s="58"/>
      <c r="R624" s="58"/>
      <c r="S624" s="58"/>
    </row>
    <row r="625" spans="2:19" x14ac:dyDescent="0.2">
      <c r="B625" s="213"/>
      <c r="C625" s="213"/>
      <c r="D625" s="213"/>
      <c r="E625" s="213"/>
      <c r="F625" s="213"/>
      <c r="G625" s="525"/>
      <c r="H625" s="213"/>
      <c r="I625" s="213"/>
      <c r="J625" s="213"/>
      <c r="K625" s="213"/>
      <c r="L625" s="213"/>
      <c r="N625" s="525"/>
      <c r="O625" s="525"/>
      <c r="P625" s="525"/>
      <c r="Q625" s="58"/>
      <c r="R625" s="58"/>
      <c r="S625" s="58"/>
    </row>
    <row r="626" spans="2:19" x14ac:dyDescent="0.2">
      <c r="B626" s="213"/>
      <c r="C626" s="213"/>
      <c r="D626" s="213"/>
      <c r="E626" s="213"/>
      <c r="F626" s="213"/>
      <c r="G626" s="525"/>
      <c r="H626" s="213"/>
      <c r="I626" s="213"/>
      <c r="J626" s="213"/>
      <c r="K626" s="213"/>
      <c r="L626" s="213"/>
      <c r="N626" s="525"/>
      <c r="O626" s="525"/>
      <c r="P626" s="525"/>
      <c r="Q626" s="58"/>
      <c r="R626" s="58"/>
      <c r="S626" s="58"/>
    </row>
    <row r="627" spans="2:19" x14ac:dyDescent="0.2">
      <c r="B627" s="213"/>
      <c r="C627" s="213"/>
      <c r="D627" s="213"/>
      <c r="E627" s="213"/>
      <c r="F627" s="213"/>
      <c r="G627" s="525"/>
      <c r="H627" s="213"/>
      <c r="I627" s="213"/>
      <c r="J627" s="213"/>
      <c r="K627" s="213"/>
      <c r="L627" s="213"/>
      <c r="N627" s="525"/>
      <c r="O627" s="525"/>
      <c r="P627" s="525"/>
      <c r="Q627" s="58"/>
      <c r="R627" s="58"/>
      <c r="S627" s="58"/>
    </row>
    <row r="628" spans="2:19" x14ac:dyDescent="0.2">
      <c r="B628" s="213"/>
      <c r="C628" s="213"/>
      <c r="D628" s="213"/>
      <c r="E628" s="213"/>
      <c r="F628" s="213"/>
      <c r="G628" s="525"/>
      <c r="H628" s="213"/>
      <c r="I628" s="213"/>
      <c r="J628" s="213"/>
      <c r="K628" s="213"/>
      <c r="L628" s="213"/>
      <c r="N628" s="525"/>
      <c r="O628" s="525"/>
      <c r="P628" s="525"/>
      <c r="Q628" s="58"/>
      <c r="R628" s="58"/>
      <c r="S628" s="58"/>
    </row>
    <row r="629" spans="2:19" x14ac:dyDescent="0.2">
      <c r="B629" s="213"/>
      <c r="C629" s="213"/>
      <c r="D629" s="213"/>
      <c r="E629" s="213"/>
      <c r="F629" s="213"/>
      <c r="G629" s="525"/>
      <c r="H629" s="213"/>
      <c r="I629" s="213"/>
      <c r="J629" s="213"/>
      <c r="K629" s="213"/>
      <c r="L629" s="213"/>
      <c r="N629" s="525"/>
      <c r="O629" s="525"/>
      <c r="P629" s="525"/>
      <c r="Q629" s="58"/>
      <c r="R629" s="58"/>
      <c r="S629" s="58"/>
    </row>
    <row r="630" spans="2:19" x14ac:dyDescent="0.2">
      <c r="B630" s="213"/>
      <c r="C630" s="213"/>
      <c r="D630" s="213"/>
      <c r="E630" s="213"/>
      <c r="F630" s="213"/>
      <c r="G630" s="525"/>
      <c r="H630" s="213"/>
      <c r="I630" s="213"/>
      <c r="J630" s="213"/>
      <c r="K630" s="213"/>
      <c r="L630" s="213"/>
      <c r="N630" s="525"/>
      <c r="O630" s="525"/>
      <c r="P630" s="525"/>
      <c r="Q630" s="58"/>
      <c r="R630" s="58"/>
      <c r="S630" s="58"/>
    </row>
    <row r="631" spans="2:19" x14ac:dyDescent="0.2">
      <c r="B631" s="213"/>
      <c r="C631" s="213"/>
      <c r="D631" s="213"/>
      <c r="E631" s="213"/>
      <c r="F631" s="213"/>
      <c r="G631" s="525"/>
      <c r="H631" s="213"/>
      <c r="I631" s="213"/>
      <c r="J631" s="213"/>
      <c r="K631" s="213"/>
      <c r="L631" s="213"/>
      <c r="N631" s="525"/>
      <c r="O631" s="525"/>
      <c r="P631" s="525"/>
      <c r="Q631" s="58"/>
      <c r="R631" s="58"/>
      <c r="S631" s="58"/>
    </row>
    <row r="632" spans="2:19" x14ac:dyDescent="0.2">
      <c r="B632" s="213"/>
      <c r="C632" s="213"/>
      <c r="D632" s="213"/>
      <c r="E632" s="213"/>
      <c r="F632" s="213"/>
      <c r="G632" s="525"/>
      <c r="H632" s="213"/>
      <c r="I632" s="213"/>
      <c r="J632" s="213"/>
      <c r="K632" s="213"/>
      <c r="L632" s="213"/>
      <c r="N632" s="525"/>
      <c r="O632" s="525"/>
      <c r="P632" s="525"/>
      <c r="Q632" s="58"/>
      <c r="R632" s="58"/>
      <c r="S632" s="58"/>
    </row>
    <row r="633" spans="2:19" x14ac:dyDescent="0.2">
      <c r="B633" s="213"/>
      <c r="C633" s="213"/>
      <c r="D633" s="213"/>
      <c r="E633" s="213"/>
      <c r="F633" s="213"/>
      <c r="G633" s="525"/>
      <c r="H633" s="213"/>
      <c r="I633" s="213"/>
      <c r="J633" s="213"/>
      <c r="K633" s="213"/>
      <c r="L633" s="213"/>
      <c r="N633" s="525"/>
      <c r="O633" s="525"/>
      <c r="P633" s="525"/>
      <c r="Q633" s="58"/>
      <c r="R633" s="58"/>
      <c r="S633" s="58"/>
    </row>
    <row r="634" spans="2:19" x14ac:dyDescent="0.2">
      <c r="B634" s="213"/>
      <c r="C634" s="213"/>
      <c r="D634" s="213"/>
      <c r="E634" s="213"/>
      <c r="F634" s="213"/>
      <c r="G634" s="525"/>
      <c r="H634" s="213"/>
      <c r="I634" s="213"/>
      <c r="J634" s="213"/>
      <c r="K634" s="213"/>
      <c r="L634" s="213"/>
      <c r="N634" s="525"/>
      <c r="O634" s="525"/>
      <c r="P634" s="525"/>
      <c r="Q634" s="58"/>
      <c r="R634" s="58"/>
      <c r="S634" s="58"/>
    </row>
    <row r="635" spans="2:19" x14ac:dyDescent="0.2">
      <c r="B635" s="213"/>
      <c r="C635" s="213"/>
      <c r="D635" s="213"/>
      <c r="E635" s="213"/>
      <c r="F635" s="213"/>
      <c r="G635" s="525"/>
      <c r="H635" s="213"/>
      <c r="I635" s="213"/>
      <c r="J635" s="213"/>
      <c r="K635" s="213"/>
      <c r="L635" s="213"/>
      <c r="N635" s="525"/>
      <c r="O635" s="525"/>
      <c r="P635" s="525"/>
      <c r="Q635" s="58"/>
      <c r="R635" s="58"/>
      <c r="S635" s="58"/>
    </row>
    <row r="636" spans="2:19" x14ac:dyDescent="0.2">
      <c r="B636" s="213"/>
      <c r="C636" s="213"/>
      <c r="D636" s="213"/>
      <c r="E636" s="213"/>
      <c r="F636" s="213"/>
      <c r="G636" s="525"/>
      <c r="H636" s="213"/>
      <c r="I636" s="213"/>
      <c r="J636" s="213"/>
      <c r="K636" s="213"/>
      <c r="L636" s="213"/>
      <c r="N636" s="525"/>
      <c r="O636" s="525"/>
      <c r="P636" s="525"/>
      <c r="Q636" s="58"/>
      <c r="R636" s="58"/>
      <c r="S636" s="58"/>
    </row>
    <row r="637" spans="2:19" x14ac:dyDescent="0.2">
      <c r="B637" s="213"/>
      <c r="C637" s="213"/>
      <c r="D637" s="213"/>
      <c r="E637" s="213"/>
      <c r="F637" s="213"/>
      <c r="G637" s="525"/>
      <c r="H637" s="213"/>
      <c r="I637" s="213"/>
      <c r="J637" s="213"/>
      <c r="K637" s="213"/>
      <c r="L637" s="213"/>
      <c r="N637" s="525"/>
      <c r="O637" s="525"/>
      <c r="P637" s="525"/>
      <c r="Q637" s="58"/>
      <c r="R637" s="58"/>
      <c r="S637" s="58"/>
    </row>
    <row r="638" spans="2:19" x14ac:dyDescent="0.2">
      <c r="B638" s="213"/>
      <c r="C638" s="213"/>
      <c r="D638" s="213"/>
      <c r="E638" s="213"/>
      <c r="F638" s="213"/>
      <c r="G638" s="525"/>
      <c r="H638" s="213"/>
      <c r="I638" s="213"/>
      <c r="J638" s="213"/>
      <c r="K638" s="213"/>
      <c r="L638" s="213"/>
      <c r="N638" s="525"/>
      <c r="O638" s="525"/>
      <c r="P638" s="525"/>
      <c r="Q638" s="58"/>
      <c r="R638" s="58"/>
      <c r="S638" s="58"/>
    </row>
    <row r="639" spans="2:19" x14ac:dyDescent="0.2">
      <c r="B639" s="213"/>
      <c r="C639" s="213"/>
      <c r="D639" s="213"/>
      <c r="E639" s="213"/>
      <c r="F639" s="213"/>
      <c r="G639" s="525"/>
      <c r="H639" s="213"/>
      <c r="I639" s="213"/>
      <c r="J639" s="213"/>
      <c r="K639" s="213"/>
      <c r="L639" s="213"/>
      <c r="N639" s="525"/>
      <c r="O639" s="525"/>
      <c r="P639" s="525"/>
      <c r="Q639" s="58"/>
      <c r="R639" s="58"/>
      <c r="S639" s="58"/>
    </row>
    <row r="640" spans="2:19" x14ac:dyDescent="0.2">
      <c r="B640" s="213"/>
      <c r="C640" s="213"/>
      <c r="D640" s="213"/>
      <c r="E640" s="213"/>
      <c r="F640" s="213"/>
      <c r="G640" s="525"/>
      <c r="H640" s="213"/>
      <c r="I640" s="213"/>
      <c r="J640" s="213"/>
      <c r="K640" s="213"/>
      <c r="L640" s="213"/>
      <c r="N640" s="525"/>
      <c r="O640" s="525"/>
      <c r="P640" s="525"/>
      <c r="Q640" s="58"/>
      <c r="R640" s="58"/>
      <c r="S640" s="58"/>
    </row>
    <row r="641" spans="2:19" x14ac:dyDescent="0.2">
      <c r="B641" s="213"/>
      <c r="C641" s="213"/>
      <c r="D641" s="213"/>
      <c r="E641" s="213"/>
      <c r="F641" s="213"/>
      <c r="G641" s="525"/>
      <c r="H641" s="213"/>
      <c r="I641" s="213"/>
      <c r="J641" s="213"/>
      <c r="K641" s="213"/>
      <c r="L641" s="213"/>
      <c r="N641" s="525"/>
      <c r="O641" s="525"/>
      <c r="P641" s="525"/>
      <c r="Q641" s="58"/>
      <c r="R641" s="58"/>
      <c r="S641" s="58"/>
    </row>
    <row r="642" spans="2:19" x14ac:dyDescent="0.2">
      <c r="B642" s="213"/>
      <c r="C642" s="213"/>
      <c r="D642" s="213"/>
      <c r="E642" s="213"/>
      <c r="F642" s="213"/>
      <c r="G642" s="525"/>
      <c r="H642" s="213"/>
      <c r="I642" s="213"/>
      <c r="J642" s="213"/>
      <c r="K642" s="213"/>
      <c r="L642" s="213"/>
      <c r="N642" s="525"/>
      <c r="O642" s="525"/>
      <c r="P642" s="525"/>
      <c r="Q642" s="58"/>
      <c r="R642" s="58"/>
      <c r="S642" s="58"/>
    </row>
    <row r="643" spans="2:19" x14ac:dyDescent="0.2">
      <c r="B643" s="213"/>
      <c r="C643" s="213"/>
      <c r="D643" s="213"/>
      <c r="E643" s="213"/>
      <c r="F643" s="213"/>
      <c r="G643" s="525"/>
      <c r="H643" s="213"/>
      <c r="I643" s="213"/>
      <c r="J643" s="213"/>
      <c r="K643" s="213"/>
      <c r="L643" s="213"/>
      <c r="N643" s="525"/>
      <c r="O643" s="525"/>
      <c r="P643" s="525"/>
      <c r="Q643" s="58"/>
      <c r="R643" s="58"/>
      <c r="S643" s="58"/>
    </row>
    <row r="644" spans="2:19" x14ac:dyDescent="0.2">
      <c r="B644" s="213"/>
      <c r="C644" s="213"/>
      <c r="D644" s="213"/>
      <c r="E644" s="213"/>
      <c r="F644" s="213"/>
      <c r="G644" s="525"/>
      <c r="H644" s="213"/>
      <c r="I644" s="213"/>
      <c r="J644" s="213"/>
      <c r="K644" s="213"/>
      <c r="L644" s="213"/>
      <c r="N644" s="525"/>
      <c r="O644" s="525"/>
      <c r="P644" s="525"/>
      <c r="Q644" s="58"/>
      <c r="R644" s="58"/>
      <c r="S644" s="58"/>
    </row>
    <row r="645" spans="2:19" x14ac:dyDescent="0.2">
      <c r="B645" s="213"/>
      <c r="C645" s="213"/>
      <c r="D645" s="213"/>
      <c r="E645" s="213"/>
      <c r="F645" s="213"/>
      <c r="G645" s="525"/>
      <c r="H645" s="213"/>
      <c r="I645" s="213"/>
      <c r="J645" s="213"/>
      <c r="K645" s="213"/>
      <c r="L645" s="213"/>
      <c r="N645" s="525"/>
      <c r="O645" s="525"/>
      <c r="P645" s="525"/>
      <c r="Q645" s="58"/>
      <c r="R645" s="58"/>
      <c r="S645" s="58"/>
    </row>
    <row r="646" spans="2:19" x14ac:dyDescent="0.2">
      <c r="B646" s="213"/>
      <c r="C646" s="213"/>
      <c r="D646" s="213"/>
      <c r="E646" s="213"/>
      <c r="F646" s="213"/>
      <c r="G646" s="525"/>
      <c r="H646" s="213"/>
      <c r="I646" s="213"/>
      <c r="J646" s="213"/>
      <c r="K646" s="213"/>
      <c r="L646" s="213"/>
      <c r="N646" s="525"/>
      <c r="O646" s="525"/>
      <c r="P646" s="525"/>
      <c r="Q646" s="58"/>
      <c r="R646" s="58"/>
      <c r="S646" s="58"/>
    </row>
    <row r="647" spans="2:19" x14ac:dyDescent="0.2">
      <c r="B647" s="213"/>
      <c r="C647" s="213"/>
      <c r="D647" s="213"/>
      <c r="E647" s="213"/>
      <c r="F647" s="213"/>
      <c r="G647" s="525"/>
      <c r="H647" s="213"/>
      <c r="I647" s="213"/>
      <c r="J647" s="213"/>
      <c r="K647" s="213"/>
      <c r="L647" s="213"/>
      <c r="N647" s="525"/>
      <c r="O647" s="525"/>
      <c r="P647" s="525"/>
      <c r="Q647" s="58"/>
      <c r="R647" s="58"/>
      <c r="S647" s="58"/>
    </row>
    <row r="648" spans="2:19" x14ac:dyDescent="0.2">
      <c r="B648" s="213"/>
      <c r="C648" s="213"/>
      <c r="D648" s="213"/>
      <c r="E648" s="213"/>
      <c r="F648" s="213"/>
      <c r="G648" s="525"/>
      <c r="H648" s="213"/>
      <c r="I648" s="213"/>
      <c r="J648" s="213"/>
      <c r="K648" s="213"/>
      <c r="L648" s="213"/>
      <c r="N648" s="525"/>
      <c r="O648" s="525"/>
      <c r="P648" s="525"/>
      <c r="Q648" s="58"/>
      <c r="R648" s="58"/>
      <c r="S648" s="58"/>
    </row>
    <row r="649" spans="2:19" x14ac:dyDescent="0.2">
      <c r="B649" s="213"/>
      <c r="C649" s="213"/>
      <c r="D649" s="213"/>
      <c r="E649" s="213"/>
      <c r="F649" s="213"/>
      <c r="G649" s="525"/>
      <c r="H649" s="213"/>
      <c r="I649" s="213"/>
      <c r="J649" s="213"/>
      <c r="K649" s="213"/>
      <c r="L649" s="213"/>
      <c r="N649" s="525"/>
      <c r="O649" s="525"/>
      <c r="P649" s="525"/>
      <c r="Q649" s="58"/>
      <c r="R649" s="58"/>
      <c r="S649" s="58"/>
    </row>
    <row r="650" spans="2:19" x14ac:dyDescent="0.2">
      <c r="B650" s="213"/>
      <c r="C650" s="213"/>
      <c r="D650" s="213"/>
      <c r="E650" s="213"/>
      <c r="F650" s="213"/>
      <c r="G650" s="525"/>
      <c r="H650" s="213"/>
      <c r="I650" s="213"/>
      <c r="J650" s="213"/>
      <c r="K650" s="213"/>
      <c r="L650" s="213"/>
      <c r="N650" s="525"/>
      <c r="O650" s="525"/>
      <c r="P650" s="525"/>
      <c r="Q650" s="58"/>
      <c r="R650" s="58"/>
      <c r="S650" s="58"/>
    </row>
    <row r="651" spans="2:19" x14ac:dyDescent="0.2">
      <c r="B651" s="213"/>
      <c r="C651" s="213"/>
      <c r="D651" s="213"/>
      <c r="E651" s="213"/>
      <c r="F651" s="213"/>
      <c r="G651" s="525"/>
      <c r="H651" s="213"/>
      <c r="I651" s="213"/>
      <c r="J651" s="213"/>
      <c r="K651" s="213"/>
      <c r="L651" s="213"/>
      <c r="N651" s="525"/>
      <c r="O651" s="525"/>
      <c r="P651" s="525"/>
      <c r="Q651" s="58"/>
      <c r="R651" s="58"/>
      <c r="S651" s="58"/>
    </row>
    <row r="652" spans="2:19" x14ac:dyDescent="0.2">
      <c r="B652" s="213"/>
      <c r="C652" s="213"/>
      <c r="D652" s="213"/>
      <c r="E652" s="213"/>
      <c r="F652" s="213"/>
      <c r="G652" s="525"/>
      <c r="H652" s="213"/>
      <c r="I652" s="213"/>
      <c r="J652" s="213"/>
      <c r="K652" s="213"/>
      <c r="L652" s="213"/>
      <c r="N652" s="525"/>
      <c r="O652" s="525"/>
      <c r="P652" s="525"/>
      <c r="Q652" s="58"/>
      <c r="R652" s="58"/>
      <c r="S652" s="58"/>
    </row>
    <row r="653" spans="2:19" x14ac:dyDescent="0.2">
      <c r="B653" s="213"/>
      <c r="C653" s="213"/>
      <c r="D653" s="213"/>
      <c r="E653" s="213"/>
      <c r="F653" s="213"/>
      <c r="G653" s="525"/>
      <c r="H653" s="213"/>
      <c r="I653" s="213"/>
      <c r="J653" s="213"/>
      <c r="K653" s="213"/>
      <c r="L653" s="213"/>
      <c r="N653" s="525"/>
      <c r="O653" s="525"/>
      <c r="P653" s="525"/>
      <c r="Q653" s="58"/>
      <c r="R653" s="58"/>
      <c r="S653" s="58"/>
    </row>
    <row r="654" spans="2:19" x14ac:dyDescent="0.2">
      <c r="B654" s="213"/>
      <c r="C654" s="213"/>
      <c r="D654" s="213"/>
      <c r="E654" s="213"/>
      <c r="F654" s="213"/>
      <c r="G654" s="525"/>
      <c r="H654" s="213"/>
      <c r="I654" s="213"/>
      <c r="J654" s="213"/>
      <c r="K654" s="213"/>
      <c r="L654" s="213"/>
      <c r="N654" s="525"/>
      <c r="O654" s="525"/>
      <c r="P654" s="525"/>
      <c r="Q654" s="58"/>
      <c r="R654" s="58"/>
      <c r="S654" s="58"/>
    </row>
    <row r="655" spans="2:19" x14ac:dyDescent="0.2">
      <c r="B655" s="213"/>
      <c r="C655" s="213"/>
      <c r="D655" s="213"/>
      <c r="E655" s="213"/>
      <c r="F655" s="213"/>
      <c r="G655" s="525"/>
      <c r="H655" s="213"/>
      <c r="I655" s="213"/>
      <c r="J655" s="213"/>
      <c r="K655" s="213"/>
      <c r="L655" s="213"/>
      <c r="N655" s="525"/>
      <c r="O655" s="525"/>
      <c r="P655" s="525"/>
      <c r="Q655" s="58"/>
      <c r="R655" s="58"/>
      <c r="S655" s="58"/>
    </row>
    <row r="656" spans="2:19" x14ac:dyDescent="0.2">
      <c r="B656" s="213"/>
      <c r="C656" s="213"/>
      <c r="D656" s="213"/>
      <c r="E656" s="213"/>
      <c r="F656" s="213"/>
      <c r="G656" s="525"/>
      <c r="H656" s="213"/>
      <c r="I656" s="213"/>
      <c r="J656" s="213"/>
      <c r="K656" s="213"/>
      <c r="L656" s="213"/>
      <c r="N656" s="525"/>
      <c r="O656" s="525"/>
      <c r="P656" s="525"/>
      <c r="Q656" s="58"/>
      <c r="R656" s="58"/>
      <c r="S656" s="58"/>
    </row>
    <row r="657" spans="2:19" x14ac:dyDescent="0.2">
      <c r="B657" s="213"/>
      <c r="C657" s="213"/>
      <c r="D657" s="213"/>
      <c r="E657" s="213"/>
      <c r="F657" s="213"/>
      <c r="G657" s="525"/>
      <c r="H657" s="213"/>
      <c r="I657" s="213"/>
      <c r="J657" s="213"/>
      <c r="K657" s="213"/>
      <c r="L657" s="213"/>
      <c r="N657" s="525"/>
      <c r="O657" s="525"/>
      <c r="P657" s="525"/>
      <c r="Q657" s="58"/>
      <c r="R657" s="58"/>
      <c r="S657" s="58"/>
    </row>
    <row r="658" spans="2:19" x14ac:dyDescent="0.2">
      <c r="B658" s="213"/>
      <c r="C658" s="213"/>
      <c r="D658" s="213"/>
      <c r="E658" s="213"/>
      <c r="F658" s="213"/>
      <c r="G658" s="525"/>
      <c r="H658" s="213"/>
      <c r="I658" s="213"/>
      <c r="J658" s="213"/>
      <c r="K658" s="213"/>
      <c r="L658" s="213"/>
      <c r="N658" s="525"/>
      <c r="O658" s="525"/>
      <c r="P658" s="525"/>
      <c r="Q658" s="58"/>
      <c r="R658" s="58"/>
      <c r="S658" s="58"/>
    </row>
    <row r="659" spans="2:19" x14ac:dyDescent="0.2">
      <c r="B659" s="213"/>
      <c r="C659" s="213"/>
      <c r="D659" s="213"/>
      <c r="E659" s="213"/>
      <c r="F659" s="213"/>
      <c r="G659" s="525"/>
      <c r="H659" s="213"/>
      <c r="I659" s="213"/>
      <c r="J659" s="213"/>
      <c r="K659" s="213"/>
      <c r="L659" s="213"/>
      <c r="N659" s="525"/>
      <c r="O659" s="525"/>
      <c r="P659" s="525"/>
      <c r="Q659" s="58"/>
      <c r="R659" s="58"/>
      <c r="S659" s="58"/>
    </row>
    <row r="660" spans="2:19" x14ac:dyDescent="0.2">
      <c r="B660" s="213"/>
      <c r="C660" s="213"/>
      <c r="D660" s="213"/>
      <c r="E660" s="213"/>
      <c r="F660" s="213"/>
      <c r="G660" s="525"/>
      <c r="H660" s="213"/>
      <c r="I660" s="213"/>
      <c r="J660" s="213"/>
      <c r="K660" s="213"/>
      <c r="L660" s="213"/>
      <c r="N660" s="525"/>
      <c r="O660" s="525"/>
      <c r="P660" s="525"/>
      <c r="Q660" s="58"/>
      <c r="R660" s="58"/>
      <c r="S660" s="58"/>
    </row>
    <row r="661" spans="2:19" x14ac:dyDescent="0.2">
      <c r="B661" s="213"/>
      <c r="C661" s="213"/>
      <c r="D661" s="213"/>
      <c r="E661" s="213"/>
      <c r="F661" s="213"/>
      <c r="G661" s="525"/>
      <c r="H661" s="213"/>
      <c r="I661" s="213"/>
      <c r="J661" s="213"/>
      <c r="K661" s="213"/>
      <c r="L661" s="213"/>
      <c r="N661" s="525"/>
      <c r="O661" s="525"/>
      <c r="P661" s="525"/>
      <c r="Q661" s="58"/>
      <c r="R661" s="58"/>
      <c r="S661" s="58"/>
    </row>
    <row r="662" spans="2:19" x14ac:dyDescent="0.2">
      <c r="B662" s="213"/>
      <c r="C662" s="213"/>
      <c r="D662" s="213"/>
      <c r="E662" s="213"/>
      <c r="F662" s="213"/>
      <c r="G662" s="525"/>
      <c r="H662" s="213"/>
      <c r="I662" s="213"/>
      <c r="J662" s="213"/>
      <c r="K662" s="213"/>
      <c r="L662" s="213"/>
      <c r="N662" s="525"/>
      <c r="O662" s="525"/>
      <c r="P662" s="525"/>
      <c r="Q662" s="58"/>
      <c r="R662" s="58"/>
      <c r="S662" s="58"/>
    </row>
    <row r="663" spans="2:19" x14ac:dyDescent="0.2">
      <c r="B663" s="213"/>
      <c r="C663" s="213"/>
      <c r="D663" s="213"/>
      <c r="E663" s="213"/>
      <c r="F663" s="213"/>
      <c r="G663" s="525"/>
      <c r="H663" s="213"/>
      <c r="I663" s="213"/>
      <c r="J663" s="213"/>
      <c r="K663" s="213"/>
      <c r="L663" s="213"/>
      <c r="N663" s="525"/>
      <c r="O663" s="525"/>
      <c r="P663" s="525"/>
      <c r="Q663" s="58"/>
      <c r="R663" s="58"/>
      <c r="S663" s="58"/>
    </row>
    <row r="664" spans="2:19" x14ac:dyDescent="0.2">
      <c r="B664" s="213"/>
      <c r="C664" s="213"/>
      <c r="D664" s="213"/>
      <c r="E664" s="213"/>
      <c r="F664" s="213"/>
      <c r="G664" s="525"/>
      <c r="H664" s="213"/>
      <c r="I664" s="213"/>
      <c r="J664" s="213"/>
      <c r="K664" s="213"/>
      <c r="L664" s="213"/>
      <c r="N664" s="525"/>
      <c r="O664" s="525"/>
      <c r="P664" s="525"/>
      <c r="Q664" s="58"/>
      <c r="R664" s="58"/>
      <c r="S664" s="58"/>
    </row>
    <row r="665" spans="2:19" x14ac:dyDescent="0.2">
      <c r="B665" s="213"/>
      <c r="C665" s="213"/>
      <c r="D665" s="213"/>
      <c r="E665" s="213"/>
      <c r="F665" s="213"/>
      <c r="G665" s="525"/>
      <c r="H665" s="213"/>
      <c r="I665" s="213"/>
      <c r="J665" s="213"/>
      <c r="K665" s="213"/>
      <c r="L665" s="213"/>
      <c r="N665" s="525"/>
      <c r="O665" s="525"/>
      <c r="P665" s="525"/>
      <c r="Q665" s="58"/>
      <c r="R665" s="58"/>
      <c r="S665" s="58"/>
    </row>
    <row r="666" spans="2:19" x14ac:dyDescent="0.2">
      <c r="B666" s="213"/>
      <c r="C666" s="213"/>
      <c r="D666" s="213"/>
      <c r="E666" s="213"/>
      <c r="F666" s="213"/>
      <c r="G666" s="525"/>
      <c r="H666" s="213"/>
      <c r="I666" s="213"/>
      <c r="J666" s="213"/>
      <c r="K666" s="213"/>
      <c r="L666" s="213"/>
      <c r="N666" s="525"/>
      <c r="O666" s="525"/>
      <c r="P666" s="525"/>
      <c r="Q666" s="58"/>
      <c r="R666" s="58"/>
      <c r="S666" s="58"/>
    </row>
    <row r="667" spans="2:19" x14ac:dyDescent="0.2">
      <c r="B667" s="213"/>
      <c r="C667" s="213"/>
      <c r="D667" s="213"/>
      <c r="E667" s="213"/>
      <c r="F667" s="213"/>
      <c r="G667" s="525"/>
      <c r="H667" s="213"/>
      <c r="I667" s="213"/>
      <c r="J667" s="213"/>
      <c r="K667" s="213"/>
      <c r="L667" s="213"/>
      <c r="N667" s="525"/>
      <c r="O667" s="525"/>
      <c r="P667" s="525"/>
      <c r="Q667" s="58"/>
      <c r="R667" s="58"/>
      <c r="S667" s="58"/>
    </row>
    <row r="668" spans="2:19" x14ac:dyDescent="0.2">
      <c r="B668" s="213"/>
      <c r="C668" s="213"/>
      <c r="D668" s="213"/>
      <c r="E668" s="213"/>
      <c r="F668" s="213"/>
      <c r="G668" s="525"/>
      <c r="H668" s="213"/>
      <c r="I668" s="213"/>
      <c r="J668" s="213"/>
      <c r="K668" s="213"/>
      <c r="L668" s="213"/>
      <c r="N668" s="525"/>
      <c r="O668" s="525"/>
      <c r="P668" s="525"/>
      <c r="Q668" s="58"/>
      <c r="R668" s="58"/>
      <c r="S668" s="58"/>
    </row>
    <row r="669" spans="2:19" x14ac:dyDescent="0.2">
      <c r="B669" s="213"/>
      <c r="C669" s="213"/>
      <c r="D669" s="213"/>
      <c r="E669" s="213"/>
      <c r="F669" s="213"/>
      <c r="G669" s="525"/>
      <c r="H669" s="213"/>
      <c r="I669" s="213"/>
      <c r="J669" s="213"/>
      <c r="K669" s="213"/>
      <c r="L669" s="213"/>
      <c r="N669" s="525"/>
      <c r="O669" s="525"/>
      <c r="P669" s="525"/>
      <c r="Q669" s="58"/>
      <c r="R669" s="58"/>
      <c r="S669" s="58"/>
    </row>
    <row r="670" spans="2:19" x14ac:dyDescent="0.2">
      <c r="B670" s="213"/>
      <c r="C670" s="213"/>
      <c r="D670" s="213"/>
      <c r="E670" s="213"/>
      <c r="F670" s="213"/>
      <c r="G670" s="525"/>
      <c r="H670" s="213"/>
      <c r="I670" s="213"/>
      <c r="J670" s="213"/>
      <c r="K670" s="213"/>
      <c r="L670" s="213"/>
      <c r="N670" s="525"/>
      <c r="O670" s="525"/>
      <c r="P670" s="525"/>
      <c r="Q670" s="58"/>
      <c r="R670" s="58"/>
      <c r="S670" s="58"/>
    </row>
    <row r="671" spans="2:19" x14ac:dyDescent="0.2">
      <c r="B671" s="213"/>
      <c r="C671" s="213"/>
      <c r="D671" s="213"/>
      <c r="E671" s="213"/>
      <c r="F671" s="213"/>
      <c r="G671" s="525"/>
      <c r="H671" s="213"/>
      <c r="I671" s="213"/>
      <c r="J671" s="213"/>
      <c r="K671" s="213"/>
      <c r="L671" s="213"/>
      <c r="N671" s="525"/>
      <c r="O671" s="525"/>
      <c r="P671" s="525"/>
      <c r="Q671" s="58"/>
      <c r="R671" s="58"/>
      <c r="S671" s="58"/>
    </row>
    <row r="672" spans="2:19" x14ac:dyDescent="0.2">
      <c r="B672" s="213"/>
      <c r="C672" s="213"/>
      <c r="D672" s="213"/>
      <c r="E672" s="213"/>
      <c r="F672" s="213"/>
      <c r="G672" s="525"/>
      <c r="H672" s="213"/>
      <c r="I672" s="213"/>
      <c r="J672" s="213"/>
      <c r="K672" s="213"/>
      <c r="L672" s="213"/>
      <c r="N672" s="525"/>
      <c r="O672" s="525"/>
      <c r="P672" s="525"/>
      <c r="Q672" s="58"/>
      <c r="R672" s="58"/>
      <c r="S672" s="58"/>
    </row>
    <row r="673" spans="2:19" x14ac:dyDescent="0.2">
      <c r="B673" s="213"/>
      <c r="C673" s="213"/>
      <c r="D673" s="213"/>
      <c r="E673" s="213"/>
      <c r="F673" s="213"/>
      <c r="G673" s="525"/>
      <c r="H673" s="213"/>
      <c r="I673" s="213"/>
      <c r="J673" s="213"/>
      <c r="K673" s="213"/>
      <c r="L673" s="213"/>
      <c r="N673" s="525"/>
      <c r="O673" s="525"/>
      <c r="P673" s="525"/>
      <c r="Q673" s="58"/>
      <c r="R673" s="58"/>
      <c r="S673" s="58"/>
    </row>
    <row r="674" spans="2:19" x14ac:dyDescent="0.2">
      <c r="B674" s="213"/>
      <c r="C674" s="213"/>
      <c r="D674" s="213"/>
      <c r="E674" s="213"/>
      <c r="F674" s="213"/>
      <c r="G674" s="525"/>
      <c r="H674" s="213"/>
      <c r="I674" s="213"/>
      <c r="J674" s="213"/>
      <c r="K674" s="213"/>
      <c r="L674" s="213"/>
      <c r="N674" s="525"/>
      <c r="O674" s="525"/>
      <c r="P674" s="525"/>
      <c r="Q674" s="58"/>
      <c r="R674" s="58"/>
      <c r="S674" s="58"/>
    </row>
    <row r="675" spans="2:19" x14ac:dyDescent="0.2">
      <c r="B675" s="213"/>
      <c r="C675" s="213"/>
      <c r="D675" s="213"/>
      <c r="E675" s="213"/>
      <c r="F675" s="213"/>
      <c r="G675" s="525"/>
      <c r="H675" s="213"/>
      <c r="I675" s="213"/>
      <c r="J675" s="213"/>
      <c r="K675" s="213"/>
      <c r="L675" s="213"/>
      <c r="N675" s="525"/>
      <c r="O675" s="525"/>
      <c r="P675" s="525"/>
      <c r="Q675" s="58"/>
      <c r="R675" s="58"/>
      <c r="S675" s="58"/>
    </row>
    <row r="676" spans="2:19" x14ac:dyDescent="0.2">
      <c r="B676" s="213"/>
      <c r="C676" s="213"/>
      <c r="D676" s="213"/>
      <c r="E676" s="213"/>
      <c r="F676" s="213"/>
      <c r="G676" s="525"/>
      <c r="H676" s="213"/>
      <c r="I676" s="213"/>
      <c r="J676" s="213"/>
      <c r="K676" s="213"/>
      <c r="L676" s="213"/>
      <c r="N676" s="525"/>
      <c r="O676" s="525"/>
      <c r="P676" s="525"/>
      <c r="Q676" s="58"/>
      <c r="R676" s="58"/>
      <c r="S676" s="58"/>
    </row>
    <row r="677" spans="2:19" x14ac:dyDescent="0.2">
      <c r="B677" s="213"/>
      <c r="C677" s="213"/>
      <c r="D677" s="213"/>
      <c r="E677" s="213"/>
      <c r="F677" s="213"/>
      <c r="G677" s="525"/>
      <c r="H677" s="213"/>
      <c r="I677" s="213"/>
      <c r="J677" s="213"/>
      <c r="K677" s="213"/>
      <c r="L677" s="213"/>
      <c r="N677" s="525"/>
      <c r="O677" s="525"/>
      <c r="P677" s="525"/>
      <c r="Q677" s="58"/>
      <c r="R677" s="58"/>
      <c r="S677" s="58"/>
    </row>
    <row r="678" spans="2:19" x14ac:dyDescent="0.2">
      <c r="B678" s="213"/>
      <c r="C678" s="213"/>
      <c r="D678" s="213"/>
      <c r="E678" s="213"/>
      <c r="F678" s="213"/>
      <c r="G678" s="525"/>
      <c r="H678" s="213"/>
      <c r="I678" s="213"/>
      <c r="J678" s="213"/>
      <c r="K678" s="213"/>
      <c r="L678" s="213"/>
      <c r="N678" s="525"/>
      <c r="O678" s="525"/>
      <c r="P678" s="525"/>
      <c r="Q678" s="58"/>
      <c r="R678" s="58"/>
      <c r="S678" s="58"/>
    </row>
    <row r="679" spans="2:19" x14ac:dyDescent="0.2">
      <c r="B679" s="213"/>
      <c r="C679" s="213"/>
      <c r="D679" s="213"/>
      <c r="E679" s="213"/>
      <c r="F679" s="213"/>
      <c r="G679" s="525"/>
      <c r="H679" s="213"/>
      <c r="I679" s="213"/>
      <c r="J679" s="213"/>
      <c r="K679" s="213"/>
      <c r="L679" s="213"/>
      <c r="N679" s="525"/>
      <c r="O679" s="525"/>
      <c r="P679" s="525"/>
      <c r="Q679" s="58"/>
      <c r="R679" s="58"/>
      <c r="S679" s="58"/>
    </row>
    <row r="680" spans="2:19" x14ac:dyDescent="0.2">
      <c r="B680" s="213"/>
      <c r="C680" s="213"/>
      <c r="D680" s="213"/>
      <c r="E680" s="213"/>
      <c r="F680" s="213"/>
      <c r="G680" s="525"/>
      <c r="H680" s="213"/>
      <c r="I680" s="213"/>
      <c r="J680" s="213"/>
      <c r="K680" s="213"/>
      <c r="L680" s="213"/>
      <c r="N680" s="525"/>
      <c r="O680" s="525"/>
      <c r="P680" s="525"/>
      <c r="Q680" s="58"/>
      <c r="R680" s="58"/>
      <c r="S680" s="58"/>
    </row>
    <row r="681" spans="2:19" x14ac:dyDescent="0.2">
      <c r="B681" s="213"/>
      <c r="C681" s="213"/>
      <c r="D681" s="213"/>
      <c r="E681" s="213"/>
      <c r="F681" s="213"/>
      <c r="G681" s="525"/>
      <c r="H681" s="213"/>
      <c r="I681" s="213"/>
      <c r="J681" s="213"/>
      <c r="K681" s="213"/>
      <c r="L681" s="213"/>
      <c r="N681" s="525"/>
      <c r="O681" s="525"/>
      <c r="P681" s="525"/>
      <c r="Q681" s="58"/>
      <c r="R681" s="58"/>
      <c r="S681" s="58"/>
    </row>
    <row r="682" spans="2:19" x14ac:dyDescent="0.2">
      <c r="B682" s="213"/>
      <c r="C682" s="213"/>
      <c r="D682" s="213"/>
      <c r="E682" s="213"/>
      <c r="F682" s="213"/>
      <c r="G682" s="525"/>
      <c r="H682" s="213"/>
      <c r="I682" s="213"/>
      <c r="J682" s="213"/>
      <c r="K682" s="213"/>
      <c r="L682" s="213"/>
      <c r="N682" s="525"/>
      <c r="O682" s="525"/>
      <c r="P682" s="525"/>
      <c r="Q682" s="58"/>
      <c r="R682" s="58"/>
      <c r="S682" s="58"/>
    </row>
    <row r="683" spans="2:19" x14ac:dyDescent="0.2">
      <c r="B683" s="213"/>
      <c r="C683" s="213"/>
      <c r="D683" s="213"/>
      <c r="E683" s="213"/>
      <c r="F683" s="213"/>
      <c r="G683" s="525"/>
      <c r="H683" s="213"/>
      <c r="I683" s="213"/>
      <c r="J683" s="213"/>
      <c r="K683" s="213"/>
      <c r="L683" s="213"/>
      <c r="N683" s="525"/>
      <c r="O683" s="525"/>
      <c r="P683" s="525"/>
      <c r="Q683" s="58"/>
      <c r="R683" s="58"/>
      <c r="S683" s="58"/>
    </row>
    <row r="684" spans="2:19" x14ac:dyDescent="0.2">
      <c r="B684" s="213"/>
      <c r="C684" s="213"/>
      <c r="D684" s="213"/>
      <c r="E684" s="213"/>
      <c r="F684" s="213"/>
      <c r="G684" s="525"/>
      <c r="H684" s="213"/>
      <c r="I684" s="213"/>
      <c r="J684" s="213"/>
      <c r="K684" s="213"/>
      <c r="L684" s="213"/>
      <c r="N684" s="525"/>
      <c r="O684" s="525"/>
      <c r="P684" s="525"/>
      <c r="Q684" s="58"/>
      <c r="R684" s="58"/>
      <c r="S684" s="58"/>
    </row>
    <row r="685" spans="2:19" x14ac:dyDescent="0.2">
      <c r="B685" s="213"/>
      <c r="C685" s="213"/>
      <c r="D685" s="213"/>
      <c r="E685" s="213"/>
      <c r="F685" s="213"/>
      <c r="G685" s="525"/>
      <c r="H685" s="213"/>
      <c r="I685" s="213"/>
      <c r="J685" s="213"/>
      <c r="K685" s="213"/>
      <c r="L685" s="213"/>
      <c r="N685" s="525"/>
      <c r="O685" s="525"/>
      <c r="P685" s="525"/>
      <c r="Q685" s="58"/>
      <c r="R685" s="58"/>
      <c r="S685" s="58"/>
    </row>
    <row r="686" spans="2:19" x14ac:dyDescent="0.2">
      <c r="B686" s="213"/>
      <c r="C686" s="213"/>
      <c r="D686" s="213"/>
      <c r="E686" s="213"/>
      <c r="F686" s="213"/>
      <c r="G686" s="525"/>
      <c r="H686" s="213"/>
      <c r="I686" s="213"/>
      <c r="J686" s="213"/>
      <c r="K686" s="213"/>
      <c r="L686" s="213"/>
      <c r="N686" s="525"/>
      <c r="O686" s="525"/>
      <c r="P686" s="525"/>
      <c r="Q686" s="58"/>
      <c r="R686" s="58"/>
      <c r="S686" s="58"/>
    </row>
    <row r="687" spans="2:19" x14ac:dyDescent="0.2">
      <c r="B687" s="213"/>
      <c r="C687" s="213"/>
      <c r="D687" s="213"/>
      <c r="E687" s="213"/>
      <c r="F687" s="213"/>
      <c r="G687" s="525"/>
      <c r="H687" s="213"/>
      <c r="I687" s="213"/>
      <c r="J687" s="213"/>
      <c r="K687" s="213"/>
      <c r="L687" s="213"/>
      <c r="N687" s="525"/>
      <c r="O687" s="525"/>
      <c r="P687" s="525"/>
      <c r="Q687" s="58"/>
      <c r="R687" s="58"/>
      <c r="S687" s="58"/>
    </row>
    <row r="688" spans="2:19" x14ac:dyDescent="0.2">
      <c r="B688" s="213"/>
      <c r="C688" s="213"/>
      <c r="D688" s="213"/>
      <c r="E688" s="213"/>
      <c r="F688" s="213"/>
      <c r="G688" s="525"/>
      <c r="H688" s="213"/>
      <c r="I688" s="213"/>
      <c r="J688" s="213"/>
      <c r="K688" s="213"/>
      <c r="L688" s="213"/>
      <c r="N688" s="525"/>
      <c r="O688" s="525"/>
      <c r="P688" s="525"/>
      <c r="Q688" s="58"/>
      <c r="R688" s="58"/>
      <c r="S688" s="58"/>
    </row>
    <row r="689" spans="2:19" x14ac:dyDescent="0.2">
      <c r="B689" s="213"/>
      <c r="C689" s="213"/>
      <c r="D689" s="213"/>
      <c r="E689" s="213"/>
      <c r="F689" s="213"/>
      <c r="G689" s="525"/>
      <c r="H689" s="213"/>
      <c r="I689" s="213"/>
      <c r="J689" s="213"/>
      <c r="K689" s="213"/>
      <c r="L689" s="213"/>
      <c r="N689" s="525"/>
      <c r="O689" s="525"/>
      <c r="P689" s="525"/>
      <c r="Q689" s="58"/>
      <c r="R689" s="58"/>
      <c r="S689" s="58"/>
    </row>
    <row r="690" spans="2:19" x14ac:dyDescent="0.2">
      <c r="B690" s="213"/>
      <c r="C690" s="213"/>
      <c r="D690" s="213"/>
      <c r="E690" s="213"/>
      <c r="F690" s="213"/>
      <c r="G690" s="525"/>
      <c r="H690" s="213"/>
      <c r="I690" s="213"/>
      <c r="J690" s="213"/>
      <c r="K690" s="213"/>
      <c r="L690" s="213"/>
      <c r="N690" s="525"/>
      <c r="O690" s="525"/>
      <c r="P690" s="525"/>
      <c r="Q690" s="58"/>
      <c r="R690" s="58"/>
      <c r="S690" s="58"/>
    </row>
    <row r="691" spans="2:19" x14ac:dyDescent="0.2">
      <c r="B691" s="213"/>
      <c r="C691" s="213"/>
      <c r="D691" s="213"/>
      <c r="E691" s="213"/>
      <c r="F691" s="213"/>
      <c r="G691" s="525"/>
      <c r="H691" s="213"/>
      <c r="I691" s="213"/>
      <c r="J691" s="213"/>
      <c r="K691" s="213"/>
      <c r="L691" s="213"/>
      <c r="N691" s="525"/>
      <c r="O691" s="525"/>
      <c r="P691" s="525"/>
      <c r="Q691" s="58"/>
      <c r="R691" s="58"/>
      <c r="S691" s="58"/>
    </row>
    <row r="692" spans="2:19" x14ac:dyDescent="0.2">
      <c r="B692" s="213"/>
      <c r="C692" s="213"/>
      <c r="D692" s="213"/>
      <c r="E692" s="213"/>
      <c r="F692" s="213"/>
      <c r="G692" s="525"/>
      <c r="H692" s="213"/>
      <c r="I692" s="213"/>
      <c r="J692" s="213"/>
      <c r="K692" s="213"/>
      <c r="L692" s="213"/>
      <c r="N692" s="525"/>
      <c r="O692" s="525"/>
      <c r="P692" s="525"/>
      <c r="Q692" s="58"/>
      <c r="R692" s="58"/>
      <c r="S692" s="58"/>
    </row>
    <row r="693" spans="2:19" x14ac:dyDescent="0.2">
      <c r="B693" s="213"/>
      <c r="C693" s="213"/>
      <c r="D693" s="213"/>
      <c r="E693" s="213"/>
      <c r="F693" s="213"/>
      <c r="G693" s="525"/>
      <c r="H693" s="213"/>
      <c r="I693" s="213"/>
      <c r="J693" s="213"/>
      <c r="K693" s="213"/>
      <c r="L693" s="213"/>
      <c r="N693" s="525"/>
      <c r="O693" s="525"/>
      <c r="P693" s="525"/>
      <c r="Q693" s="58"/>
      <c r="R693" s="58"/>
      <c r="S693" s="58"/>
    </row>
    <row r="694" spans="2:19" x14ac:dyDescent="0.2">
      <c r="B694" s="213"/>
      <c r="C694" s="213"/>
      <c r="D694" s="213"/>
      <c r="E694" s="213"/>
      <c r="F694" s="213"/>
      <c r="G694" s="525"/>
      <c r="H694" s="213"/>
      <c r="I694" s="213"/>
      <c r="J694" s="213"/>
      <c r="K694" s="213"/>
      <c r="L694" s="213"/>
      <c r="N694" s="525"/>
      <c r="O694" s="525"/>
      <c r="P694" s="525"/>
      <c r="Q694" s="58"/>
      <c r="R694" s="58"/>
      <c r="S694" s="58"/>
    </row>
    <row r="695" spans="2:19" x14ac:dyDescent="0.2">
      <c r="B695" s="213"/>
      <c r="C695" s="213"/>
      <c r="D695" s="213"/>
      <c r="E695" s="213"/>
      <c r="F695" s="213"/>
      <c r="G695" s="525"/>
      <c r="H695" s="213"/>
      <c r="I695" s="213"/>
      <c r="J695" s="213"/>
      <c r="K695" s="213"/>
      <c r="L695" s="213"/>
      <c r="N695" s="525"/>
      <c r="O695" s="525"/>
      <c r="P695" s="525"/>
      <c r="Q695" s="58"/>
      <c r="R695" s="58"/>
      <c r="S695" s="58"/>
    </row>
    <row r="696" spans="2:19" x14ac:dyDescent="0.2">
      <c r="B696" s="213"/>
      <c r="C696" s="213"/>
      <c r="D696" s="213"/>
      <c r="E696" s="213"/>
      <c r="F696" s="213"/>
      <c r="G696" s="525"/>
      <c r="H696" s="213"/>
      <c r="I696" s="213"/>
      <c r="J696" s="213"/>
      <c r="K696" s="213"/>
      <c r="L696" s="213"/>
      <c r="N696" s="525"/>
      <c r="O696" s="525"/>
      <c r="P696" s="525"/>
      <c r="Q696" s="58"/>
      <c r="R696" s="58"/>
      <c r="S696" s="58"/>
    </row>
    <row r="697" spans="2:19" x14ac:dyDescent="0.2">
      <c r="B697" s="213"/>
      <c r="C697" s="213"/>
      <c r="D697" s="213"/>
      <c r="E697" s="213"/>
      <c r="F697" s="213"/>
      <c r="G697" s="525"/>
      <c r="H697" s="213"/>
      <c r="I697" s="213"/>
      <c r="J697" s="213"/>
      <c r="K697" s="213"/>
      <c r="L697" s="213"/>
      <c r="N697" s="525"/>
      <c r="O697" s="525"/>
      <c r="P697" s="525"/>
      <c r="Q697" s="58"/>
      <c r="R697" s="58"/>
      <c r="S697" s="58"/>
    </row>
    <row r="698" spans="2:19" x14ac:dyDescent="0.2">
      <c r="B698" s="213"/>
      <c r="C698" s="213"/>
      <c r="D698" s="213"/>
      <c r="E698" s="213"/>
      <c r="F698" s="213"/>
      <c r="G698" s="525"/>
      <c r="H698" s="213"/>
      <c r="I698" s="213"/>
      <c r="J698" s="213"/>
      <c r="K698" s="213"/>
      <c r="L698" s="213"/>
      <c r="N698" s="525"/>
      <c r="O698" s="525"/>
      <c r="P698" s="525"/>
      <c r="Q698" s="58"/>
      <c r="R698" s="58"/>
      <c r="S698" s="58"/>
    </row>
    <row r="699" spans="2:19" x14ac:dyDescent="0.2">
      <c r="B699" s="213"/>
      <c r="C699" s="213"/>
      <c r="D699" s="213"/>
      <c r="E699" s="213"/>
      <c r="F699" s="213"/>
      <c r="G699" s="525"/>
      <c r="H699" s="213"/>
      <c r="I699" s="213"/>
      <c r="J699" s="213"/>
      <c r="K699" s="213"/>
      <c r="L699" s="213"/>
      <c r="N699" s="525"/>
      <c r="O699" s="525"/>
      <c r="P699" s="525"/>
      <c r="Q699" s="58"/>
      <c r="R699" s="58"/>
      <c r="S699" s="58"/>
    </row>
    <row r="700" spans="2:19" x14ac:dyDescent="0.2">
      <c r="B700" s="213"/>
      <c r="C700" s="213"/>
      <c r="D700" s="213"/>
      <c r="E700" s="213"/>
      <c r="F700" s="213"/>
      <c r="G700" s="525"/>
      <c r="H700" s="213"/>
      <c r="I700" s="213"/>
      <c r="J700" s="213"/>
      <c r="K700" s="213"/>
      <c r="L700" s="213"/>
      <c r="N700" s="525"/>
      <c r="O700" s="525"/>
      <c r="P700" s="525"/>
      <c r="Q700" s="58"/>
      <c r="R700" s="58"/>
      <c r="S700" s="58"/>
    </row>
    <row r="701" spans="2:19" x14ac:dyDescent="0.2">
      <c r="B701" s="213"/>
      <c r="C701" s="213"/>
      <c r="D701" s="213"/>
      <c r="E701" s="213"/>
      <c r="F701" s="213"/>
      <c r="G701" s="525"/>
      <c r="H701" s="213"/>
      <c r="I701" s="213"/>
      <c r="J701" s="213"/>
      <c r="K701" s="213"/>
      <c r="L701" s="213"/>
      <c r="N701" s="525"/>
      <c r="O701" s="525"/>
      <c r="P701" s="525"/>
      <c r="Q701" s="58"/>
      <c r="R701" s="58"/>
      <c r="S701" s="58"/>
    </row>
    <row r="702" spans="2:19" x14ac:dyDescent="0.2">
      <c r="B702" s="213"/>
      <c r="C702" s="213"/>
      <c r="D702" s="213"/>
      <c r="E702" s="213"/>
      <c r="F702" s="213"/>
      <c r="G702" s="525"/>
      <c r="H702" s="213"/>
      <c r="I702" s="213"/>
      <c r="J702" s="213"/>
      <c r="K702" s="213"/>
      <c r="L702" s="213"/>
      <c r="N702" s="525"/>
      <c r="O702" s="525"/>
      <c r="P702" s="525"/>
      <c r="Q702" s="58"/>
      <c r="R702" s="58"/>
      <c r="S702" s="58"/>
    </row>
    <row r="703" spans="2:19" x14ac:dyDescent="0.2">
      <c r="B703" s="213"/>
      <c r="C703" s="213"/>
      <c r="D703" s="213"/>
      <c r="E703" s="213"/>
      <c r="F703" s="213"/>
      <c r="G703" s="525"/>
      <c r="H703" s="213"/>
      <c r="I703" s="213"/>
      <c r="J703" s="213"/>
      <c r="K703" s="213"/>
      <c r="L703" s="213"/>
      <c r="N703" s="525"/>
      <c r="O703" s="525"/>
      <c r="P703" s="525"/>
      <c r="Q703" s="58"/>
      <c r="R703" s="58"/>
      <c r="S703" s="58"/>
    </row>
    <row r="704" spans="2:19" x14ac:dyDescent="0.2">
      <c r="B704" s="213"/>
      <c r="C704" s="213"/>
      <c r="D704" s="213"/>
      <c r="E704" s="213"/>
      <c r="F704" s="213"/>
      <c r="G704" s="525"/>
      <c r="H704" s="213"/>
      <c r="I704" s="213"/>
      <c r="J704" s="213"/>
      <c r="K704" s="213"/>
      <c r="L704" s="213"/>
      <c r="N704" s="525"/>
      <c r="O704" s="525"/>
      <c r="P704" s="525"/>
      <c r="Q704" s="58"/>
      <c r="R704" s="58"/>
      <c r="S704" s="58"/>
    </row>
    <row r="705" spans="2:19" x14ac:dyDescent="0.2">
      <c r="B705" s="213"/>
      <c r="C705" s="213"/>
      <c r="D705" s="213"/>
      <c r="E705" s="213"/>
      <c r="F705" s="213"/>
      <c r="G705" s="525"/>
      <c r="H705" s="213"/>
      <c r="I705" s="213"/>
      <c r="J705" s="213"/>
      <c r="K705" s="213"/>
      <c r="L705" s="213"/>
      <c r="N705" s="525"/>
      <c r="O705" s="525"/>
      <c r="P705" s="525"/>
      <c r="Q705" s="58"/>
      <c r="R705" s="58"/>
      <c r="S705" s="58"/>
    </row>
    <row r="706" spans="2:19" x14ac:dyDescent="0.2">
      <c r="B706" s="213"/>
      <c r="C706" s="213"/>
      <c r="D706" s="213"/>
      <c r="E706" s="213"/>
      <c r="F706" s="213"/>
      <c r="G706" s="525"/>
      <c r="H706" s="213"/>
      <c r="I706" s="213"/>
      <c r="J706" s="213"/>
      <c r="K706" s="213"/>
      <c r="L706" s="213"/>
      <c r="N706" s="525"/>
      <c r="O706" s="525"/>
      <c r="P706" s="525"/>
      <c r="Q706" s="58"/>
      <c r="R706" s="58"/>
      <c r="S706" s="58"/>
    </row>
    <row r="707" spans="2:19" x14ac:dyDescent="0.2">
      <c r="B707" s="213"/>
      <c r="C707" s="213"/>
      <c r="D707" s="213"/>
      <c r="E707" s="213"/>
      <c r="F707" s="213"/>
      <c r="G707" s="525"/>
      <c r="H707" s="213"/>
      <c r="I707" s="213"/>
      <c r="J707" s="213"/>
      <c r="K707" s="213"/>
      <c r="L707" s="213"/>
      <c r="N707" s="525"/>
      <c r="O707" s="525"/>
      <c r="P707" s="525"/>
      <c r="Q707" s="58"/>
      <c r="R707" s="58"/>
      <c r="S707" s="58"/>
    </row>
    <row r="708" spans="2:19" x14ac:dyDescent="0.2">
      <c r="B708" s="213"/>
      <c r="C708" s="213"/>
      <c r="D708" s="213"/>
      <c r="E708" s="213"/>
      <c r="F708" s="213"/>
      <c r="G708" s="525"/>
      <c r="H708" s="213"/>
      <c r="I708" s="213"/>
      <c r="J708" s="213"/>
      <c r="K708" s="213"/>
      <c r="L708" s="213"/>
      <c r="N708" s="525"/>
      <c r="O708" s="525"/>
      <c r="P708" s="525"/>
      <c r="Q708" s="58"/>
      <c r="R708" s="58"/>
      <c r="S708" s="58"/>
    </row>
    <row r="709" spans="2:19" x14ac:dyDescent="0.2">
      <c r="B709" s="213"/>
      <c r="C709" s="213"/>
      <c r="D709" s="213"/>
      <c r="E709" s="213"/>
      <c r="F709" s="213"/>
      <c r="G709" s="525"/>
      <c r="H709" s="213"/>
      <c r="I709" s="213"/>
      <c r="J709" s="213"/>
      <c r="K709" s="213"/>
      <c r="L709" s="213"/>
      <c r="N709" s="525"/>
      <c r="O709" s="525"/>
      <c r="P709" s="525"/>
      <c r="Q709" s="58"/>
      <c r="R709" s="58"/>
      <c r="S709" s="58"/>
    </row>
    <row r="710" spans="2:19" x14ac:dyDescent="0.2">
      <c r="B710" s="213"/>
      <c r="C710" s="213"/>
      <c r="D710" s="213"/>
      <c r="E710" s="213"/>
      <c r="F710" s="213"/>
      <c r="G710" s="525"/>
      <c r="H710" s="213"/>
      <c r="I710" s="213"/>
      <c r="J710" s="213"/>
      <c r="K710" s="213"/>
      <c r="L710" s="213"/>
      <c r="N710" s="525"/>
      <c r="O710" s="525"/>
      <c r="P710" s="525"/>
      <c r="Q710" s="58"/>
      <c r="R710" s="58"/>
      <c r="S710" s="58"/>
    </row>
    <row r="711" spans="2:19" x14ac:dyDescent="0.2">
      <c r="B711" s="213"/>
      <c r="C711" s="213"/>
      <c r="D711" s="213"/>
      <c r="E711" s="213"/>
      <c r="F711" s="213"/>
      <c r="G711" s="525"/>
      <c r="H711" s="213"/>
      <c r="I711" s="213"/>
      <c r="J711" s="213"/>
      <c r="K711" s="213"/>
      <c r="L711" s="213"/>
      <c r="N711" s="525"/>
      <c r="O711" s="525"/>
      <c r="P711" s="525"/>
      <c r="Q711" s="58"/>
      <c r="R711" s="58"/>
      <c r="S711" s="58"/>
    </row>
    <row r="712" spans="2:19" x14ac:dyDescent="0.2">
      <c r="B712" s="213"/>
      <c r="C712" s="213"/>
      <c r="D712" s="213"/>
      <c r="E712" s="213"/>
      <c r="F712" s="213"/>
      <c r="G712" s="525"/>
      <c r="H712" s="213"/>
      <c r="I712" s="213"/>
      <c r="J712" s="213"/>
      <c r="K712" s="213"/>
      <c r="L712" s="213"/>
      <c r="N712" s="525"/>
      <c r="O712" s="525"/>
      <c r="P712" s="525"/>
      <c r="Q712" s="58"/>
      <c r="R712" s="58"/>
      <c r="S712" s="58"/>
    </row>
    <row r="713" spans="2:19" x14ac:dyDescent="0.2">
      <c r="B713" s="213"/>
      <c r="C713" s="213"/>
      <c r="D713" s="213"/>
      <c r="E713" s="213"/>
      <c r="F713" s="213"/>
      <c r="G713" s="525"/>
      <c r="H713" s="213"/>
      <c r="I713" s="213"/>
      <c r="J713" s="213"/>
      <c r="K713" s="213"/>
      <c r="L713" s="213"/>
      <c r="N713" s="525"/>
      <c r="O713" s="525"/>
      <c r="P713" s="525"/>
      <c r="Q713" s="58"/>
      <c r="R713" s="58"/>
      <c r="S713" s="58"/>
    </row>
    <row r="714" spans="2:19" x14ac:dyDescent="0.2">
      <c r="B714" s="213"/>
      <c r="C714" s="213"/>
      <c r="D714" s="213"/>
      <c r="E714" s="213"/>
      <c r="F714" s="213"/>
      <c r="G714" s="525"/>
      <c r="H714" s="213"/>
      <c r="I714" s="213"/>
      <c r="J714" s="213"/>
      <c r="K714" s="213"/>
      <c r="L714" s="213"/>
      <c r="N714" s="525"/>
      <c r="O714" s="525"/>
      <c r="P714" s="525"/>
      <c r="Q714" s="58"/>
      <c r="R714" s="58"/>
      <c r="S714" s="58"/>
    </row>
    <row r="715" spans="2:19" x14ac:dyDescent="0.2">
      <c r="B715" s="213"/>
      <c r="C715" s="213"/>
      <c r="D715" s="213"/>
      <c r="E715" s="213"/>
      <c r="F715" s="213"/>
      <c r="G715" s="525"/>
      <c r="H715" s="213"/>
      <c r="I715" s="213"/>
      <c r="J715" s="213"/>
      <c r="K715" s="213"/>
      <c r="L715" s="213"/>
      <c r="N715" s="525"/>
      <c r="O715" s="525"/>
      <c r="P715" s="525"/>
      <c r="Q715" s="58"/>
      <c r="R715" s="58"/>
      <c r="S715" s="58"/>
    </row>
    <row r="716" spans="2:19" x14ac:dyDescent="0.2">
      <c r="B716" s="213"/>
      <c r="C716" s="213"/>
      <c r="D716" s="213"/>
      <c r="E716" s="213"/>
      <c r="F716" s="213"/>
      <c r="G716" s="525"/>
      <c r="H716" s="213"/>
      <c r="I716" s="213"/>
      <c r="J716" s="213"/>
      <c r="K716" s="213"/>
      <c r="L716" s="213"/>
      <c r="N716" s="525"/>
      <c r="O716" s="525"/>
      <c r="P716" s="525"/>
      <c r="Q716" s="58"/>
      <c r="R716" s="58"/>
      <c r="S716" s="58"/>
    </row>
    <row r="717" spans="2:19" x14ac:dyDescent="0.2">
      <c r="B717" s="213"/>
      <c r="C717" s="213"/>
      <c r="D717" s="213"/>
      <c r="E717" s="213"/>
      <c r="F717" s="213"/>
      <c r="G717" s="525"/>
      <c r="H717" s="213"/>
      <c r="I717" s="213"/>
      <c r="J717" s="213"/>
      <c r="K717" s="213"/>
      <c r="L717" s="213"/>
      <c r="N717" s="525"/>
      <c r="O717" s="525"/>
      <c r="P717" s="525"/>
      <c r="Q717" s="58"/>
      <c r="R717" s="58"/>
      <c r="S717" s="58"/>
    </row>
    <row r="718" spans="2:19" x14ac:dyDescent="0.2">
      <c r="B718" s="213"/>
      <c r="C718" s="213"/>
      <c r="D718" s="213"/>
      <c r="E718" s="213"/>
      <c r="F718" s="213"/>
      <c r="G718" s="525"/>
      <c r="H718" s="213"/>
      <c r="I718" s="213"/>
      <c r="J718" s="213"/>
      <c r="K718" s="213"/>
      <c r="L718" s="213"/>
      <c r="N718" s="525"/>
      <c r="O718" s="525"/>
      <c r="P718" s="525"/>
      <c r="Q718" s="58"/>
      <c r="R718" s="58"/>
      <c r="S718" s="58"/>
    </row>
    <row r="719" spans="2:19" x14ac:dyDescent="0.2">
      <c r="B719" s="213"/>
      <c r="C719" s="213"/>
      <c r="D719" s="213"/>
      <c r="E719" s="213"/>
      <c r="F719" s="213"/>
      <c r="G719" s="525"/>
      <c r="H719" s="213"/>
      <c r="I719" s="213"/>
      <c r="J719" s="213"/>
      <c r="K719" s="213"/>
      <c r="L719" s="213"/>
      <c r="N719" s="525"/>
      <c r="O719" s="525"/>
      <c r="P719" s="525"/>
      <c r="Q719" s="58"/>
      <c r="R719" s="58"/>
      <c r="S719" s="58"/>
    </row>
    <row r="720" spans="2:19" x14ac:dyDescent="0.2">
      <c r="B720" s="213"/>
      <c r="C720" s="213"/>
      <c r="D720" s="213"/>
      <c r="E720" s="213"/>
      <c r="F720" s="213"/>
      <c r="G720" s="525"/>
      <c r="H720" s="213"/>
      <c r="I720" s="213"/>
      <c r="J720" s="213"/>
      <c r="K720" s="213"/>
      <c r="L720" s="213"/>
      <c r="N720" s="525"/>
      <c r="O720" s="525"/>
      <c r="P720" s="525"/>
      <c r="Q720" s="58"/>
      <c r="R720" s="58"/>
      <c r="S720" s="58"/>
    </row>
    <row r="721" spans="2:19" x14ac:dyDescent="0.2">
      <c r="B721" s="213"/>
      <c r="C721" s="213"/>
      <c r="D721" s="213"/>
      <c r="E721" s="213"/>
      <c r="F721" s="213"/>
      <c r="G721" s="525"/>
      <c r="H721" s="213"/>
      <c r="I721" s="213"/>
      <c r="J721" s="213"/>
      <c r="K721" s="213"/>
      <c r="L721" s="213"/>
      <c r="N721" s="525"/>
      <c r="O721" s="525"/>
      <c r="P721" s="525"/>
      <c r="Q721" s="58"/>
      <c r="R721" s="58"/>
      <c r="S721" s="58"/>
    </row>
    <row r="722" spans="2:19" x14ac:dyDescent="0.2">
      <c r="B722" s="213"/>
      <c r="C722" s="213"/>
      <c r="D722" s="213"/>
      <c r="E722" s="213"/>
      <c r="F722" s="213"/>
      <c r="G722" s="525"/>
      <c r="H722" s="213"/>
      <c r="I722" s="213"/>
      <c r="J722" s="213"/>
      <c r="K722" s="213"/>
      <c r="L722" s="213"/>
      <c r="N722" s="525"/>
      <c r="O722" s="525"/>
      <c r="P722" s="525"/>
      <c r="Q722" s="58"/>
      <c r="R722" s="58"/>
      <c r="S722" s="58"/>
    </row>
    <row r="723" spans="2:19" x14ac:dyDescent="0.2">
      <c r="B723" s="213"/>
      <c r="C723" s="213"/>
      <c r="D723" s="213"/>
      <c r="E723" s="213"/>
      <c r="F723" s="213"/>
      <c r="G723" s="525"/>
      <c r="H723" s="213"/>
      <c r="I723" s="213"/>
      <c r="J723" s="213"/>
      <c r="K723" s="213"/>
      <c r="L723" s="213"/>
      <c r="N723" s="525"/>
      <c r="O723" s="525"/>
      <c r="P723" s="525"/>
      <c r="Q723" s="58"/>
      <c r="R723" s="58"/>
      <c r="S723" s="58"/>
    </row>
    <row r="724" spans="2:19" x14ac:dyDescent="0.2">
      <c r="B724" s="213"/>
      <c r="C724" s="213"/>
      <c r="D724" s="213"/>
      <c r="E724" s="213"/>
      <c r="F724" s="213"/>
      <c r="G724" s="525"/>
      <c r="H724" s="213"/>
      <c r="I724" s="213"/>
      <c r="J724" s="213"/>
      <c r="K724" s="213"/>
      <c r="L724" s="213"/>
      <c r="N724" s="525"/>
      <c r="O724" s="525"/>
      <c r="P724" s="525"/>
      <c r="Q724" s="58"/>
      <c r="R724" s="58"/>
      <c r="S724" s="58"/>
    </row>
    <row r="725" spans="2:19" x14ac:dyDescent="0.2">
      <c r="B725" s="213"/>
      <c r="C725" s="213"/>
      <c r="D725" s="213"/>
      <c r="E725" s="213"/>
      <c r="F725" s="213"/>
      <c r="G725" s="525"/>
      <c r="H725" s="213"/>
      <c r="I725" s="213"/>
      <c r="J725" s="213"/>
      <c r="K725" s="213"/>
      <c r="L725" s="213"/>
      <c r="N725" s="525"/>
      <c r="O725" s="525"/>
      <c r="P725" s="525"/>
      <c r="Q725" s="58"/>
      <c r="R725" s="58"/>
      <c r="S725" s="58"/>
    </row>
    <row r="726" spans="2:19" x14ac:dyDescent="0.2">
      <c r="B726" s="213"/>
      <c r="C726" s="213"/>
      <c r="D726" s="213"/>
      <c r="E726" s="213"/>
      <c r="F726" s="213"/>
      <c r="G726" s="525"/>
      <c r="H726" s="213"/>
      <c r="I726" s="213"/>
      <c r="J726" s="213"/>
      <c r="K726" s="213"/>
      <c r="L726" s="213"/>
      <c r="N726" s="525"/>
      <c r="O726" s="525"/>
      <c r="P726" s="525"/>
      <c r="Q726" s="58"/>
      <c r="R726" s="58"/>
      <c r="S726" s="58"/>
    </row>
    <row r="727" spans="2:19" x14ac:dyDescent="0.2">
      <c r="B727" s="213"/>
      <c r="C727" s="213"/>
      <c r="D727" s="213"/>
      <c r="E727" s="213"/>
      <c r="F727" s="213"/>
      <c r="G727" s="525"/>
      <c r="H727" s="213"/>
      <c r="I727" s="213"/>
      <c r="J727" s="213"/>
      <c r="K727" s="213"/>
      <c r="L727" s="213"/>
      <c r="N727" s="525"/>
      <c r="O727" s="525"/>
      <c r="P727" s="525"/>
      <c r="Q727" s="58"/>
      <c r="R727" s="58"/>
      <c r="S727" s="58"/>
    </row>
    <row r="728" spans="2:19" x14ac:dyDescent="0.2">
      <c r="B728" s="213"/>
      <c r="C728" s="213"/>
      <c r="D728" s="213"/>
      <c r="E728" s="213"/>
      <c r="F728" s="213"/>
      <c r="G728" s="525"/>
      <c r="H728" s="213"/>
      <c r="I728" s="213"/>
      <c r="J728" s="213"/>
      <c r="K728" s="213"/>
      <c r="L728" s="213"/>
      <c r="N728" s="525"/>
      <c r="O728" s="525"/>
      <c r="P728" s="525"/>
      <c r="Q728" s="58"/>
      <c r="R728" s="58"/>
      <c r="S728" s="58"/>
    </row>
    <row r="729" spans="2:19" x14ac:dyDescent="0.2">
      <c r="B729" s="213"/>
      <c r="C729" s="213"/>
      <c r="D729" s="213"/>
      <c r="E729" s="213"/>
      <c r="F729" s="213"/>
      <c r="G729" s="525"/>
      <c r="H729" s="213"/>
      <c r="I729" s="213"/>
      <c r="J729" s="213"/>
      <c r="K729" s="213"/>
      <c r="L729" s="213"/>
      <c r="N729" s="525"/>
      <c r="O729" s="525"/>
      <c r="P729" s="525"/>
      <c r="Q729" s="58"/>
      <c r="R729" s="58"/>
      <c r="S729" s="58"/>
    </row>
    <row r="730" spans="2:19" x14ac:dyDescent="0.2">
      <c r="B730" s="213"/>
      <c r="C730" s="213"/>
      <c r="D730" s="213"/>
      <c r="E730" s="213"/>
      <c r="F730" s="213"/>
      <c r="G730" s="525"/>
      <c r="H730" s="213"/>
      <c r="I730" s="213"/>
      <c r="J730" s="213"/>
      <c r="K730" s="213"/>
      <c r="L730" s="213"/>
      <c r="N730" s="525"/>
      <c r="O730" s="525"/>
      <c r="P730" s="525"/>
      <c r="Q730" s="58"/>
      <c r="R730" s="58"/>
      <c r="S730" s="58"/>
    </row>
    <row r="731" spans="2:19" x14ac:dyDescent="0.2">
      <c r="B731" s="213"/>
      <c r="C731" s="213"/>
      <c r="D731" s="213"/>
      <c r="E731" s="213"/>
      <c r="F731" s="213"/>
      <c r="G731" s="525"/>
      <c r="H731" s="213"/>
      <c r="I731" s="213"/>
      <c r="J731" s="213"/>
      <c r="K731" s="213"/>
      <c r="L731" s="213"/>
      <c r="N731" s="525"/>
      <c r="O731" s="525"/>
      <c r="P731" s="525"/>
      <c r="Q731" s="58"/>
      <c r="R731" s="58"/>
      <c r="S731" s="58"/>
    </row>
    <row r="732" spans="2:19" x14ac:dyDescent="0.2">
      <c r="B732" s="213"/>
      <c r="C732" s="213"/>
      <c r="D732" s="213"/>
      <c r="E732" s="213"/>
      <c r="F732" s="213"/>
      <c r="G732" s="525"/>
      <c r="H732" s="213"/>
      <c r="I732" s="213"/>
      <c r="J732" s="213"/>
      <c r="K732" s="213"/>
      <c r="L732" s="213"/>
      <c r="N732" s="525"/>
      <c r="O732" s="525"/>
      <c r="P732" s="525"/>
      <c r="Q732" s="58"/>
      <c r="R732" s="58"/>
      <c r="S732" s="58"/>
    </row>
    <row r="733" spans="2:19" x14ac:dyDescent="0.2">
      <c r="B733" s="213"/>
      <c r="C733" s="213"/>
      <c r="D733" s="213"/>
      <c r="E733" s="213"/>
      <c r="F733" s="213"/>
      <c r="G733" s="525"/>
      <c r="H733" s="213"/>
      <c r="I733" s="213"/>
      <c r="J733" s="213"/>
      <c r="K733" s="213"/>
      <c r="L733" s="213"/>
      <c r="N733" s="525"/>
      <c r="O733" s="525"/>
      <c r="P733" s="525"/>
      <c r="Q733" s="58"/>
      <c r="R733" s="58"/>
      <c r="S733" s="58"/>
    </row>
    <row r="734" spans="2:19" x14ac:dyDescent="0.2">
      <c r="B734" s="213"/>
      <c r="C734" s="213"/>
      <c r="D734" s="213"/>
      <c r="E734" s="213"/>
      <c r="F734" s="213"/>
      <c r="G734" s="525"/>
      <c r="H734" s="213"/>
      <c r="I734" s="213"/>
      <c r="J734" s="213"/>
      <c r="K734" s="213"/>
      <c r="L734" s="213"/>
      <c r="N734" s="525"/>
      <c r="O734" s="525"/>
      <c r="P734" s="525"/>
      <c r="Q734" s="58"/>
      <c r="R734" s="58"/>
      <c r="S734" s="58"/>
    </row>
    <row r="735" spans="2:19" x14ac:dyDescent="0.2">
      <c r="B735" s="213"/>
      <c r="C735" s="213"/>
      <c r="D735" s="213"/>
      <c r="E735" s="213"/>
      <c r="F735" s="213"/>
      <c r="G735" s="525"/>
      <c r="H735" s="213"/>
      <c r="I735" s="213"/>
      <c r="J735" s="213"/>
      <c r="K735" s="213"/>
      <c r="L735" s="213"/>
      <c r="N735" s="525"/>
      <c r="O735" s="525"/>
      <c r="P735" s="525"/>
      <c r="Q735" s="58"/>
      <c r="R735" s="58"/>
      <c r="S735" s="58"/>
    </row>
    <row r="736" spans="2:19" x14ac:dyDescent="0.2">
      <c r="B736" s="213"/>
      <c r="C736" s="213"/>
      <c r="D736" s="213"/>
      <c r="E736" s="213"/>
      <c r="F736" s="213"/>
      <c r="G736" s="525"/>
      <c r="H736" s="213"/>
      <c r="I736" s="213"/>
      <c r="J736" s="213"/>
      <c r="K736" s="213"/>
      <c r="L736" s="213"/>
      <c r="N736" s="525"/>
      <c r="O736" s="525"/>
      <c r="P736" s="525"/>
      <c r="Q736" s="58"/>
      <c r="R736" s="58"/>
      <c r="S736" s="58"/>
    </row>
    <row r="737" spans="2:19" x14ac:dyDescent="0.2">
      <c r="B737" s="213"/>
      <c r="C737" s="213"/>
      <c r="D737" s="213"/>
      <c r="E737" s="213"/>
      <c r="F737" s="213"/>
      <c r="G737" s="525"/>
      <c r="H737" s="213"/>
      <c r="I737" s="213"/>
      <c r="J737" s="213"/>
      <c r="K737" s="213"/>
      <c r="L737" s="213"/>
      <c r="N737" s="525"/>
      <c r="O737" s="525"/>
      <c r="P737" s="525"/>
      <c r="Q737" s="58"/>
      <c r="R737" s="58"/>
      <c r="S737" s="58"/>
    </row>
    <row r="738" spans="2:19" x14ac:dyDescent="0.2">
      <c r="B738" s="213"/>
      <c r="C738" s="213"/>
      <c r="D738" s="213"/>
      <c r="E738" s="213"/>
      <c r="F738" s="213"/>
      <c r="G738" s="525"/>
      <c r="H738" s="213"/>
      <c r="I738" s="213"/>
      <c r="J738" s="213"/>
      <c r="K738" s="213"/>
      <c r="L738" s="213"/>
      <c r="N738" s="525"/>
      <c r="O738" s="525"/>
      <c r="P738" s="525"/>
      <c r="Q738" s="58"/>
      <c r="R738" s="58"/>
      <c r="S738" s="58"/>
    </row>
    <row r="739" spans="2:19" x14ac:dyDescent="0.2">
      <c r="B739" s="213"/>
      <c r="C739" s="213"/>
      <c r="D739" s="213"/>
      <c r="E739" s="213"/>
      <c r="F739" s="213"/>
      <c r="G739" s="525"/>
      <c r="H739" s="213"/>
      <c r="I739" s="213"/>
      <c r="J739" s="213"/>
      <c r="K739" s="213"/>
      <c r="L739" s="213"/>
      <c r="N739" s="525"/>
      <c r="O739" s="525"/>
      <c r="P739" s="525"/>
      <c r="Q739" s="58"/>
      <c r="R739" s="58"/>
      <c r="S739" s="58"/>
    </row>
    <row r="740" spans="2:19" x14ac:dyDescent="0.2">
      <c r="B740" s="213"/>
      <c r="C740" s="213"/>
      <c r="D740" s="213"/>
      <c r="E740" s="213"/>
      <c r="F740" s="213"/>
      <c r="G740" s="525"/>
      <c r="H740" s="213"/>
      <c r="I740" s="213"/>
      <c r="J740" s="213"/>
      <c r="K740" s="213"/>
      <c r="L740" s="213"/>
      <c r="N740" s="525"/>
      <c r="O740" s="525"/>
      <c r="P740" s="525"/>
      <c r="Q740" s="58"/>
      <c r="R740" s="58"/>
      <c r="S740" s="58"/>
    </row>
    <row r="741" spans="2:19" x14ac:dyDescent="0.2">
      <c r="B741" s="213"/>
      <c r="C741" s="213"/>
      <c r="D741" s="213"/>
      <c r="E741" s="213"/>
      <c r="F741" s="213"/>
      <c r="G741" s="525"/>
      <c r="H741" s="213"/>
      <c r="I741" s="213"/>
      <c r="J741" s="213"/>
      <c r="K741" s="213"/>
      <c r="L741" s="213"/>
      <c r="N741" s="525"/>
      <c r="O741" s="525"/>
      <c r="P741" s="525"/>
      <c r="Q741" s="58"/>
      <c r="R741" s="58"/>
      <c r="S741" s="58"/>
    </row>
    <row r="742" spans="2:19" x14ac:dyDescent="0.2">
      <c r="B742" s="213"/>
      <c r="C742" s="213"/>
      <c r="D742" s="213"/>
      <c r="E742" s="213"/>
      <c r="F742" s="213"/>
      <c r="G742" s="525"/>
      <c r="H742" s="213"/>
      <c r="I742" s="213"/>
      <c r="J742" s="213"/>
      <c r="K742" s="213"/>
      <c r="L742" s="213"/>
      <c r="N742" s="525"/>
      <c r="O742" s="525"/>
      <c r="P742" s="525"/>
      <c r="Q742" s="58"/>
      <c r="R742" s="58"/>
      <c r="S742" s="58"/>
    </row>
    <row r="743" spans="2:19" x14ac:dyDescent="0.2">
      <c r="B743" s="213"/>
      <c r="C743" s="213"/>
      <c r="D743" s="213"/>
      <c r="E743" s="213"/>
      <c r="F743" s="213"/>
      <c r="G743" s="525"/>
      <c r="H743" s="213"/>
      <c r="I743" s="213"/>
      <c r="J743" s="213"/>
      <c r="K743" s="213"/>
      <c r="L743" s="213"/>
      <c r="N743" s="525"/>
      <c r="O743" s="525"/>
      <c r="P743" s="525"/>
      <c r="Q743" s="58"/>
      <c r="R743" s="58"/>
      <c r="S743" s="58"/>
    </row>
    <row r="744" spans="2:19" x14ac:dyDescent="0.2">
      <c r="B744" s="213"/>
      <c r="C744" s="213"/>
      <c r="D744" s="213"/>
      <c r="E744" s="213"/>
      <c r="F744" s="213"/>
      <c r="G744" s="525"/>
      <c r="H744" s="213"/>
      <c r="I744" s="213"/>
      <c r="J744" s="213"/>
      <c r="K744" s="213"/>
      <c r="L744" s="213"/>
      <c r="N744" s="525"/>
      <c r="O744" s="525"/>
      <c r="P744" s="525"/>
      <c r="Q744" s="58"/>
      <c r="R744" s="58"/>
      <c r="S744" s="58"/>
    </row>
    <row r="745" spans="2:19" x14ac:dyDescent="0.2">
      <c r="B745" s="213"/>
      <c r="C745" s="213"/>
      <c r="D745" s="213"/>
      <c r="E745" s="213"/>
      <c r="F745" s="213"/>
      <c r="G745" s="525"/>
      <c r="H745" s="213"/>
      <c r="I745" s="213"/>
      <c r="J745" s="213"/>
      <c r="K745" s="213"/>
      <c r="L745" s="213"/>
      <c r="N745" s="525"/>
      <c r="O745" s="525"/>
      <c r="P745" s="525"/>
      <c r="Q745" s="58"/>
      <c r="R745" s="58"/>
      <c r="S745" s="58"/>
    </row>
    <row r="746" spans="2:19" x14ac:dyDescent="0.2">
      <c r="B746" s="213"/>
      <c r="C746" s="213"/>
      <c r="D746" s="213"/>
      <c r="E746" s="213"/>
      <c r="F746" s="213"/>
      <c r="G746" s="525"/>
      <c r="H746" s="213"/>
      <c r="I746" s="213"/>
      <c r="J746" s="213"/>
      <c r="K746" s="213"/>
      <c r="L746" s="213"/>
      <c r="N746" s="525"/>
      <c r="O746" s="525"/>
      <c r="P746" s="525"/>
      <c r="Q746" s="58"/>
      <c r="R746" s="58"/>
      <c r="S746" s="58"/>
    </row>
    <row r="747" spans="2:19" x14ac:dyDescent="0.2">
      <c r="B747" s="213"/>
      <c r="C747" s="213"/>
      <c r="D747" s="213"/>
      <c r="E747" s="213"/>
      <c r="F747" s="213"/>
      <c r="G747" s="525"/>
      <c r="H747" s="213"/>
      <c r="I747" s="213"/>
      <c r="J747" s="213"/>
      <c r="K747" s="213"/>
      <c r="L747" s="213"/>
      <c r="N747" s="525"/>
      <c r="O747" s="525"/>
      <c r="P747" s="525"/>
      <c r="Q747" s="58"/>
      <c r="R747" s="58"/>
      <c r="S747" s="58"/>
    </row>
    <row r="748" spans="2:19" x14ac:dyDescent="0.2">
      <c r="B748" s="213"/>
      <c r="C748" s="213"/>
      <c r="D748" s="213"/>
      <c r="E748" s="213"/>
      <c r="F748" s="213"/>
      <c r="G748" s="525"/>
      <c r="H748" s="213"/>
      <c r="I748" s="213"/>
      <c r="J748" s="213"/>
      <c r="K748" s="213"/>
      <c r="L748" s="213"/>
      <c r="N748" s="525"/>
      <c r="O748" s="525"/>
      <c r="P748" s="525"/>
      <c r="Q748" s="58"/>
      <c r="R748" s="58"/>
      <c r="S748" s="58"/>
    </row>
    <row r="749" spans="2:19" x14ac:dyDescent="0.2">
      <c r="B749" s="213"/>
      <c r="C749" s="213"/>
      <c r="D749" s="213"/>
      <c r="E749" s="213"/>
      <c r="F749" s="213"/>
      <c r="G749" s="525"/>
      <c r="H749" s="213"/>
      <c r="I749" s="213"/>
      <c r="J749" s="213"/>
      <c r="K749" s="213"/>
      <c r="L749" s="213"/>
      <c r="N749" s="525"/>
      <c r="O749" s="525"/>
      <c r="P749" s="525"/>
      <c r="Q749" s="58"/>
      <c r="R749" s="58"/>
      <c r="S749" s="58"/>
    </row>
    <row r="750" spans="2:19" x14ac:dyDescent="0.2">
      <c r="B750" s="213"/>
      <c r="C750" s="213"/>
      <c r="D750" s="213"/>
      <c r="E750" s="213"/>
      <c r="F750" s="213"/>
      <c r="G750" s="525"/>
      <c r="H750" s="213"/>
      <c r="I750" s="213"/>
      <c r="J750" s="213"/>
      <c r="K750" s="213"/>
      <c r="L750" s="213"/>
      <c r="N750" s="525"/>
      <c r="O750" s="525"/>
      <c r="P750" s="525"/>
      <c r="Q750" s="58"/>
      <c r="R750" s="58"/>
      <c r="S750" s="58"/>
    </row>
    <row r="751" spans="2:19" x14ac:dyDescent="0.2">
      <c r="B751" s="213"/>
      <c r="C751" s="213"/>
      <c r="D751" s="213"/>
      <c r="E751" s="213"/>
      <c r="F751" s="213"/>
      <c r="G751" s="525"/>
      <c r="H751" s="213"/>
      <c r="I751" s="213"/>
      <c r="J751" s="213"/>
      <c r="K751" s="213"/>
      <c r="L751" s="213"/>
      <c r="N751" s="525"/>
      <c r="O751" s="525"/>
      <c r="P751" s="525"/>
      <c r="Q751" s="58"/>
      <c r="R751" s="58"/>
      <c r="S751" s="58"/>
    </row>
    <row r="752" spans="2:19" x14ac:dyDescent="0.2">
      <c r="B752" s="213"/>
      <c r="C752" s="213"/>
      <c r="D752" s="213"/>
      <c r="E752" s="213"/>
      <c r="F752" s="213"/>
      <c r="G752" s="525"/>
      <c r="H752" s="213"/>
      <c r="I752" s="213"/>
      <c r="J752" s="213"/>
      <c r="K752" s="213"/>
      <c r="L752" s="213"/>
      <c r="N752" s="525"/>
      <c r="O752" s="525"/>
      <c r="P752" s="525"/>
      <c r="Q752" s="58"/>
      <c r="R752" s="58"/>
      <c r="S752" s="58"/>
    </row>
    <row r="753" spans="2:19" x14ac:dyDescent="0.2">
      <c r="B753" s="213"/>
      <c r="C753" s="213"/>
      <c r="D753" s="213"/>
      <c r="E753" s="213"/>
      <c r="F753" s="213"/>
      <c r="G753" s="525"/>
      <c r="H753" s="213"/>
      <c r="I753" s="213"/>
      <c r="J753" s="213"/>
      <c r="K753" s="213"/>
      <c r="L753" s="213"/>
      <c r="N753" s="525"/>
      <c r="O753" s="525"/>
      <c r="P753" s="525"/>
      <c r="Q753" s="58"/>
      <c r="R753" s="58"/>
      <c r="S753" s="58"/>
    </row>
    <row r="754" spans="2:19" x14ac:dyDescent="0.2">
      <c r="B754" s="213"/>
      <c r="C754" s="213"/>
      <c r="D754" s="213"/>
      <c r="E754" s="213"/>
      <c r="F754" s="213"/>
      <c r="G754" s="525"/>
      <c r="H754" s="213"/>
      <c r="I754" s="213"/>
      <c r="J754" s="213"/>
      <c r="K754" s="213"/>
      <c r="L754" s="213"/>
      <c r="N754" s="525"/>
      <c r="O754" s="525"/>
      <c r="P754" s="525"/>
      <c r="Q754" s="58"/>
      <c r="R754" s="58"/>
      <c r="S754" s="58"/>
    </row>
    <row r="755" spans="2:19" x14ac:dyDescent="0.2">
      <c r="B755" s="213"/>
      <c r="C755" s="213"/>
      <c r="D755" s="213"/>
      <c r="E755" s="213"/>
      <c r="F755" s="213"/>
      <c r="G755" s="525"/>
      <c r="H755" s="213"/>
      <c r="I755" s="213"/>
      <c r="J755" s="213"/>
      <c r="K755" s="213"/>
      <c r="L755" s="213"/>
      <c r="N755" s="525"/>
      <c r="O755" s="525"/>
      <c r="P755" s="525"/>
      <c r="Q755" s="58"/>
      <c r="R755" s="58"/>
      <c r="S755" s="58"/>
    </row>
    <row r="756" spans="2:19" x14ac:dyDescent="0.2">
      <c r="B756" s="213"/>
      <c r="C756" s="213"/>
      <c r="D756" s="213"/>
      <c r="E756" s="213"/>
      <c r="F756" s="213"/>
      <c r="G756" s="525"/>
      <c r="H756" s="213"/>
      <c r="I756" s="213"/>
      <c r="J756" s="213"/>
      <c r="K756" s="213"/>
      <c r="L756" s="213"/>
      <c r="N756" s="525"/>
      <c r="O756" s="525"/>
      <c r="P756" s="525"/>
      <c r="Q756" s="58"/>
      <c r="R756" s="58"/>
      <c r="S756" s="58"/>
    </row>
    <row r="757" spans="2:19" x14ac:dyDescent="0.2">
      <c r="B757" s="213"/>
      <c r="C757" s="213"/>
      <c r="D757" s="213"/>
      <c r="E757" s="213"/>
      <c r="F757" s="213"/>
      <c r="G757" s="525"/>
      <c r="H757" s="213"/>
      <c r="I757" s="213"/>
      <c r="J757" s="213"/>
      <c r="K757" s="213"/>
      <c r="L757" s="213"/>
      <c r="N757" s="525"/>
      <c r="O757" s="525"/>
      <c r="P757" s="525"/>
      <c r="Q757" s="58"/>
      <c r="R757" s="58"/>
      <c r="S757" s="58"/>
    </row>
    <row r="758" spans="2:19" x14ac:dyDescent="0.2">
      <c r="B758" s="213"/>
      <c r="C758" s="213"/>
      <c r="D758" s="213"/>
      <c r="E758" s="213"/>
      <c r="F758" s="213"/>
      <c r="G758" s="525"/>
      <c r="H758" s="213"/>
      <c r="I758" s="213"/>
      <c r="J758" s="213"/>
      <c r="K758" s="213"/>
      <c r="L758" s="213"/>
      <c r="N758" s="525"/>
      <c r="O758" s="525"/>
      <c r="P758" s="525"/>
      <c r="Q758" s="58"/>
      <c r="R758" s="58"/>
      <c r="S758" s="58"/>
    </row>
    <row r="759" spans="2:19" x14ac:dyDescent="0.2">
      <c r="B759" s="213"/>
      <c r="C759" s="213"/>
      <c r="D759" s="213"/>
      <c r="E759" s="213"/>
      <c r="F759" s="213"/>
      <c r="G759" s="525"/>
      <c r="H759" s="213"/>
      <c r="I759" s="213"/>
      <c r="J759" s="213"/>
      <c r="K759" s="213"/>
      <c r="L759" s="213"/>
      <c r="N759" s="525"/>
      <c r="O759" s="525"/>
      <c r="P759" s="525"/>
      <c r="Q759" s="58"/>
      <c r="R759" s="58"/>
      <c r="S759" s="58"/>
    </row>
    <row r="760" spans="2:19" x14ac:dyDescent="0.2">
      <c r="B760" s="213"/>
      <c r="C760" s="213"/>
      <c r="D760" s="213"/>
      <c r="E760" s="213"/>
      <c r="F760" s="213"/>
      <c r="G760" s="525"/>
      <c r="H760" s="213"/>
      <c r="I760" s="213"/>
      <c r="J760" s="213"/>
      <c r="K760" s="213"/>
      <c r="L760" s="213"/>
      <c r="N760" s="525"/>
      <c r="O760" s="525"/>
      <c r="P760" s="525"/>
      <c r="Q760" s="58"/>
      <c r="R760" s="58"/>
      <c r="S760" s="58"/>
    </row>
    <row r="761" spans="2:19" x14ac:dyDescent="0.2">
      <c r="B761" s="213"/>
      <c r="C761" s="213"/>
      <c r="D761" s="213"/>
      <c r="E761" s="213"/>
      <c r="F761" s="213"/>
      <c r="G761" s="525"/>
      <c r="H761" s="213"/>
      <c r="I761" s="213"/>
      <c r="J761" s="213"/>
      <c r="K761" s="213"/>
      <c r="L761" s="213"/>
      <c r="N761" s="525"/>
      <c r="O761" s="525"/>
      <c r="P761" s="525"/>
      <c r="Q761" s="58"/>
      <c r="R761" s="58"/>
      <c r="S761" s="58"/>
    </row>
    <row r="762" spans="2:19" x14ac:dyDescent="0.2">
      <c r="B762" s="213"/>
      <c r="C762" s="213"/>
      <c r="D762" s="213"/>
      <c r="E762" s="213"/>
      <c r="F762" s="213"/>
      <c r="G762" s="525"/>
      <c r="H762" s="213"/>
      <c r="I762" s="213"/>
      <c r="J762" s="213"/>
      <c r="K762" s="213"/>
      <c r="L762" s="213"/>
      <c r="N762" s="525"/>
      <c r="O762" s="525"/>
      <c r="P762" s="525"/>
      <c r="Q762" s="58"/>
      <c r="R762" s="58"/>
      <c r="S762" s="58"/>
    </row>
    <row r="763" spans="2:19" x14ac:dyDescent="0.2">
      <c r="B763" s="213"/>
      <c r="C763" s="213"/>
      <c r="D763" s="213"/>
      <c r="E763" s="213"/>
      <c r="F763" s="213"/>
      <c r="G763" s="525"/>
      <c r="H763" s="213"/>
      <c r="I763" s="213"/>
      <c r="J763" s="213"/>
      <c r="K763" s="213"/>
      <c r="L763" s="213"/>
      <c r="N763" s="525"/>
      <c r="O763" s="525"/>
      <c r="P763" s="525"/>
      <c r="Q763" s="58"/>
      <c r="R763" s="58"/>
      <c r="S763" s="58"/>
    </row>
    <row r="764" spans="2:19" x14ac:dyDescent="0.2">
      <c r="B764" s="213"/>
      <c r="C764" s="213"/>
      <c r="D764" s="213"/>
      <c r="E764" s="213"/>
      <c r="F764" s="213"/>
      <c r="G764" s="525"/>
      <c r="H764" s="213"/>
      <c r="I764" s="213"/>
      <c r="J764" s="213"/>
      <c r="K764" s="213"/>
      <c r="L764" s="213"/>
      <c r="N764" s="525"/>
      <c r="O764" s="525"/>
      <c r="P764" s="525"/>
      <c r="Q764" s="58"/>
      <c r="R764" s="58"/>
      <c r="S764" s="58"/>
    </row>
    <row r="765" spans="2:19" x14ac:dyDescent="0.2">
      <c r="B765" s="213"/>
      <c r="C765" s="213"/>
      <c r="D765" s="213"/>
      <c r="E765" s="213"/>
      <c r="F765" s="213"/>
      <c r="G765" s="525"/>
      <c r="H765" s="213"/>
      <c r="I765" s="213"/>
      <c r="J765" s="213"/>
      <c r="K765" s="213"/>
      <c r="L765" s="213"/>
      <c r="N765" s="525"/>
      <c r="O765" s="525"/>
      <c r="P765" s="525"/>
      <c r="Q765" s="58"/>
      <c r="R765" s="58"/>
      <c r="S765" s="58"/>
    </row>
    <row r="766" spans="2:19" x14ac:dyDescent="0.2">
      <c r="B766" s="213"/>
      <c r="C766" s="213"/>
      <c r="D766" s="213"/>
      <c r="E766" s="213"/>
      <c r="F766" s="213"/>
      <c r="G766" s="525"/>
      <c r="H766" s="213"/>
      <c r="I766" s="213"/>
      <c r="J766" s="213"/>
      <c r="K766" s="213"/>
      <c r="L766" s="213"/>
      <c r="N766" s="525"/>
      <c r="O766" s="525"/>
      <c r="P766" s="525"/>
      <c r="Q766" s="58"/>
      <c r="R766" s="58"/>
      <c r="S766" s="58"/>
    </row>
    <row r="767" spans="2:19" x14ac:dyDescent="0.2">
      <c r="B767" s="213"/>
      <c r="C767" s="213"/>
      <c r="D767" s="213"/>
      <c r="E767" s="213"/>
      <c r="F767" s="213"/>
      <c r="G767" s="525"/>
      <c r="H767" s="213"/>
      <c r="I767" s="213"/>
      <c r="J767" s="213"/>
      <c r="K767" s="213"/>
      <c r="L767" s="213"/>
      <c r="N767" s="525"/>
      <c r="O767" s="525"/>
      <c r="P767" s="525"/>
      <c r="Q767" s="58"/>
      <c r="R767" s="58"/>
      <c r="S767" s="58"/>
    </row>
    <row r="768" spans="2:19" x14ac:dyDescent="0.2">
      <c r="B768" s="213"/>
      <c r="C768" s="213"/>
      <c r="D768" s="213"/>
      <c r="E768" s="213"/>
      <c r="F768" s="213"/>
      <c r="G768" s="525"/>
      <c r="H768" s="213"/>
      <c r="I768" s="213"/>
      <c r="J768" s="213"/>
      <c r="K768" s="213"/>
      <c r="L768" s="213"/>
      <c r="N768" s="525"/>
      <c r="O768" s="525"/>
      <c r="P768" s="525"/>
      <c r="Q768" s="58"/>
      <c r="R768" s="58"/>
      <c r="S768" s="58"/>
    </row>
    <row r="769" spans="2:19" x14ac:dyDescent="0.2">
      <c r="B769" s="213"/>
      <c r="C769" s="213"/>
      <c r="D769" s="213"/>
      <c r="E769" s="213"/>
      <c r="F769" s="213"/>
      <c r="G769" s="525"/>
      <c r="H769" s="213"/>
      <c r="I769" s="213"/>
      <c r="J769" s="213"/>
      <c r="K769" s="213"/>
      <c r="L769" s="213"/>
      <c r="N769" s="525"/>
      <c r="O769" s="525"/>
      <c r="P769" s="525"/>
      <c r="Q769" s="58"/>
      <c r="R769" s="58"/>
      <c r="S769" s="58"/>
    </row>
    <row r="770" spans="2:19" x14ac:dyDescent="0.2">
      <c r="B770" s="213"/>
      <c r="C770" s="213"/>
      <c r="D770" s="213"/>
      <c r="E770" s="213"/>
      <c r="F770" s="213"/>
      <c r="G770" s="525"/>
      <c r="H770" s="213"/>
      <c r="I770" s="213"/>
      <c r="J770" s="213"/>
      <c r="K770" s="213"/>
      <c r="L770" s="213"/>
      <c r="N770" s="525"/>
      <c r="O770" s="525"/>
      <c r="P770" s="525"/>
      <c r="Q770" s="58"/>
      <c r="R770" s="58"/>
      <c r="S770" s="58"/>
    </row>
    <row r="771" spans="2:19" x14ac:dyDescent="0.2">
      <c r="B771" s="213"/>
      <c r="C771" s="213"/>
      <c r="D771" s="213"/>
      <c r="E771" s="213"/>
      <c r="F771" s="213"/>
      <c r="G771" s="525"/>
      <c r="H771" s="213"/>
      <c r="I771" s="213"/>
      <c r="J771" s="213"/>
      <c r="K771" s="213"/>
      <c r="L771" s="213"/>
      <c r="N771" s="525"/>
      <c r="O771" s="525"/>
      <c r="P771" s="525"/>
      <c r="Q771" s="58"/>
      <c r="R771" s="58"/>
      <c r="S771" s="58"/>
    </row>
    <row r="772" spans="2:19" x14ac:dyDescent="0.2">
      <c r="B772" s="213"/>
      <c r="C772" s="213"/>
      <c r="D772" s="213"/>
      <c r="E772" s="213"/>
      <c r="F772" s="213"/>
      <c r="G772" s="525"/>
      <c r="H772" s="213"/>
      <c r="I772" s="213"/>
      <c r="J772" s="213"/>
      <c r="K772" s="213"/>
      <c r="L772" s="213"/>
      <c r="N772" s="525"/>
      <c r="O772" s="525"/>
      <c r="P772" s="525"/>
      <c r="Q772" s="58"/>
      <c r="R772" s="58"/>
      <c r="S772" s="58"/>
    </row>
    <row r="773" spans="2:19" x14ac:dyDescent="0.2">
      <c r="B773" s="213"/>
      <c r="C773" s="213"/>
      <c r="D773" s="213"/>
      <c r="E773" s="213"/>
      <c r="F773" s="213"/>
      <c r="G773" s="525"/>
      <c r="H773" s="213"/>
      <c r="I773" s="213"/>
      <c r="J773" s="213"/>
      <c r="K773" s="213"/>
      <c r="L773" s="213"/>
      <c r="N773" s="525"/>
      <c r="O773" s="525"/>
      <c r="P773" s="525"/>
      <c r="Q773" s="58"/>
      <c r="R773" s="58"/>
      <c r="S773" s="58"/>
    </row>
    <row r="774" spans="2:19" x14ac:dyDescent="0.2">
      <c r="B774" s="213"/>
      <c r="C774" s="213"/>
      <c r="D774" s="213"/>
      <c r="E774" s="213"/>
      <c r="F774" s="213"/>
      <c r="G774" s="525"/>
      <c r="H774" s="213"/>
      <c r="I774" s="213"/>
      <c r="J774" s="213"/>
      <c r="K774" s="213"/>
      <c r="L774" s="213"/>
      <c r="N774" s="525"/>
      <c r="O774" s="525"/>
      <c r="P774" s="525"/>
      <c r="Q774" s="58"/>
      <c r="R774" s="58"/>
      <c r="S774" s="58"/>
    </row>
    <row r="775" spans="2:19" x14ac:dyDescent="0.2">
      <c r="B775" s="213"/>
      <c r="C775" s="213"/>
      <c r="D775" s="213"/>
      <c r="E775" s="213"/>
      <c r="F775" s="213"/>
      <c r="G775" s="525"/>
      <c r="H775" s="213"/>
      <c r="I775" s="213"/>
      <c r="J775" s="213"/>
      <c r="K775" s="213"/>
      <c r="L775" s="213"/>
      <c r="N775" s="525"/>
      <c r="O775" s="525"/>
      <c r="P775" s="525"/>
      <c r="Q775" s="58"/>
      <c r="R775" s="58"/>
      <c r="S775" s="58"/>
    </row>
    <row r="776" spans="2:19" x14ac:dyDescent="0.2">
      <c r="B776" s="213"/>
      <c r="C776" s="213"/>
      <c r="D776" s="213"/>
      <c r="E776" s="213"/>
      <c r="F776" s="213"/>
      <c r="G776" s="525"/>
      <c r="H776" s="213"/>
      <c r="I776" s="213"/>
      <c r="J776" s="213"/>
      <c r="K776" s="213"/>
      <c r="L776" s="213"/>
      <c r="N776" s="525"/>
      <c r="O776" s="525"/>
      <c r="P776" s="525"/>
      <c r="Q776" s="58"/>
      <c r="R776" s="58"/>
      <c r="S776" s="58"/>
    </row>
    <row r="777" spans="2:19" x14ac:dyDescent="0.2">
      <c r="B777" s="213"/>
      <c r="C777" s="213"/>
      <c r="D777" s="213"/>
      <c r="E777" s="213"/>
      <c r="F777" s="213"/>
      <c r="G777" s="525"/>
      <c r="H777" s="213"/>
      <c r="I777" s="213"/>
      <c r="J777" s="213"/>
      <c r="K777" s="213"/>
      <c r="L777" s="213"/>
      <c r="N777" s="525"/>
      <c r="O777" s="525"/>
      <c r="P777" s="525"/>
      <c r="Q777" s="58"/>
      <c r="R777" s="58"/>
      <c r="S777" s="58"/>
    </row>
    <row r="778" spans="2:19" x14ac:dyDescent="0.2">
      <c r="B778" s="213"/>
      <c r="C778" s="213"/>
      <c r="D778" s="213"/>
      <c r="E778" s="213"/>
      <c r="F778" s="213"/>
      <c r="G778" s="525"/>
      <c r="H778" s="213"/>
      <c r="I778" s="213"/>
      <c r="J778" s="213"/>
      <c r="K778" s="213"/>
      <c r="L778" s="213"/>
      <c r="N778" s="525"/>
      <c r="O778" s="525"/>
      <c r="P778" s="525"/>
      <c r="Q778" s="58"/>
      <c r="R778" s="58"/>
      <c r="S778" s="58"/>
    </row>
    <row r="779" spans="2:19" x14ac:dyDescent="0.2">
      <c r="B779" s="213"/>
      <c r="C779" s="213"/>
      <c r="D779" s="213"/>
      <c r="E779" s="213"/>
      <c r="F779" s="213"/>
      <c r="G779" s="525"/>
      <c r="H779" s="213"/>
      <c r="I779" s="213"/>
      <c r="J779" s="213"/>
      <c r="K779" s="213"/>
      <c r="L779" s="213"/>
      <c r="N779" s="525"/>
      <c r="O779" s="525"/>
      <c r="P779" s="525"/>
      <c r="Q779" s="58"/>
      <c r="R779" s="58"/>
      <c r="S779" s="58"/>
    </row>
    <row r="780" spans="2:19" x14ac:dyDescent="0.2">
      <c r="B780" s="213"/>
      <c r="C780" s="213"/>
      <c r="D780" s="213"/>
      <c r="E780" s="213"/>
      <c r="F780" s="213"/>
      <c r="G780" s="525"/>
      <c r="H780" s="213"/>
      <c r="I780" s="213"/>
      <c r="J780" s="213"/>
      <c r="K780" s="213"/>
      <c r="L780" s="213"/>
      <c r="N780" s="525"/>
      <c r="O780" s="525"/>
      <c r="P780" s="525"/>
      <c r="Q780" s="58"/>
      <c r="R780" s="58"/>
      <c r="S780" s="58"/>
    </row>
    <row r="781" spans="2:19" x14ac:dyDescent="0.2">
      <c r="B781" s="213"/>
      <c r="C781" s="213"/>
      <c r="D781" s="213"/>
      <c r="E781" s="213"/>
      <c r="F781" s="213"/>
      <c r="G781" s="525"/>
      <c r="H781" s="213"/>
      <c r="I781" s="213"/>
      <c r="J781" s="213"/>
      <c r="K781" s="213"/>
      <c r="L781" s="213"/>
      <c r="N781" s="525"/>
      <c r="O781" s="525"/>
      <c r="P781" s="525"/>
      <c r="Q781" s="58"/>
      <c r="R781" s="58"/>
      <c r="S781" s="58"/>
    </row>
    <row r="782" spans="2:19" x14ac:dyDescent="0.2">
      <c r="B782" s="213"/>
      <c r="C782" s="213"/>
      <c r="D782" s="213"/>
      <c r="E782" s="213"/>
      <c r="F782" s="213"/>
      <c r="G782" s="525"/>
      <c r="H782" s="213"/>
      <c r="I782" s="213"/>
      <c r="J782" s="213"/>
      <c r="K782" s="213"/>
      <c r="L782" s="213"/>
      <c r="N782" s="525"/>
      <c r="O782" s="525"/>
      <c r="P782" s="525"/>
      <c r="Q782" s="58"/>
      <c r="R782" s="58"/>
      <c r="S782" s="58"/>
    </row>
    <row r="783" spans="2:19" x14ac:dyDescent="0.2">
      <c r="B783" s="213"/>
      <c r="C783" s="213"/>
      <c r="D783" s="213"/>
      <c r="E783" s="213"/>
      <c r="F783" s="213"/>
      <c r="G783" s="525"/>
      <c r="H783" s="213"/>
      <c r="I783" s="213"/>
      <c r="J783" s="213"/>
      <c r="K783" s="213"/>
      <c r="L783" s="213"/>
      <c r="N783" s="525"/>
      <c r="O783" s="525"/>
      <c r="P783" s="525"/>
      <c r="Q783" s="58"/>
      <c r="R783" s="58"/>
      <c r="S783" s="58"/>
    </row>
    <row r="784" spans="2:19" x14ac:dyDescent="0.2">
      <c r="B784" s="213"/>
      <c r="C784" s="213"/>
      <c r="D784" s="213"/>
      <c r="E784" s="213"/>
      <c r="F784" s="213"/>
      <c r="G784" s="525"/>
      <c r="H784" s="213"/>
      <c r="I784" s="213"/>
      <c r="J784" s="213"/>
      <c r="K784" s="213"/>
      <c r="L784" s="213"/>
      <c r="N784" s="525"/>
      <c r="O784" s="525"/>
      <c r="P784" s="525"/>
      <c r="Q784" s="58"/>
      <c r="R784" s="58"/>
      <c r="S784" s="58"/>
    </row>
    <row r="785" spans="2:19" x14ac:dyDescent="0.2">
      <c r="B785" s="213"/>
      <c r="C785" s="213"/>
      <c r="D785" s="213"/>
      <c r="E785" s="213"/>
      <c r="F785" s="213"/>
      <c r="G785" s="525"/>
      <c r="H785" s="213"/>
      <c r="I785" s="213"/>
      <c r="J785" s="213"/>
      <c r="K785" s="213"/>
      <c r="L785" s="213"/>
      <c r="N785" s="525"/>
      <c r="O785" s="525"/>
      <c r="P785" s="525"/>
      <c r="Q785" s="58"/>
      <c r="R785" s="58"/>
      <c r="S785" s="58"/>
    </row>
    <row r="786" spans="2:19" x14ac:dyDescent="0.2">
      <c r="B786" s="213"/>
      <c r="C786" s="213"/>
      <c r="D786" s="213"/>
      <c r="E786" s="213"/>
      <c r="F786" s="213"/>
      <c r="G786" s="525"/>
      <c r="H786" s="213"/>
      <c r="I786" s="213"/>
      <c r="J786" s="213"/>
      <c r="K786" s="213"/>
      <c r="L786" s="213"/>
      <c r="N786" s="525"/>
      <c r="O786" s="525"/>
      <c r="P786" s="525"/>
      <c r="Q786" s="58"/>
      <c r="R786" s="58"/>
      <c r="S786" s="58"/>
    </row>
    <row r="787" spans="2:19" x14ac:dyDescent="0.2">
      <c r="B787" s="213"/>
      <c r="C787" s="213"/>
      <c r="D787" s="213"/>
      <c r="E787" s="213"/>
      <c r="F787" s="213"/>
      <c r="G787" s="525"/>
      <c r="H787" s="213"/>
      <c r="I787" s="213"/>
      <c r="J787" s="213"/>
      <c r="K787" s="213"/>
      <c r="L787" s="213"/>
      <c r="N787" s="525"/>
      <c r="O787" s="525"/>
      <c r="P787" s="525"/>
      <c r="Q787" s="58"/>
      <c r="R787" s="58"/>
      <c r="S787" s="58"/>
    </row>
    <row r="788" spans="2:19" x14ac:dyDescent="0.2">
      <c r="B788" s="213"/>
      <c r="C788" s="213"/>
      <c r="D788" s="213"/>
      <c r="E788" s="213"/>
      <c r="F788" s="213"/>
      <c r="G788" s="525"/>
      <c r="H788" s="213"/>
      <c r="I788" s="213"/>
      <c r="J788" s="213"/>
      <c r="K788" s="213"/>
      <c r="L788" s="213"/>
      <c r="N788" s="525"/>
      <c r="O788" s="525"/>
      <c r="P788" s="525"/>
      <c r="Q788" s="58"/>
      <c r="R788" s="58"/>
      <c r="S788" s="58"/>
    </row>
    <row r="789" spans="2:19" x14ac:dyDescent="0.2">
      <c r="B789" s="213"/>
      <c r="C789" s="213"/>
      <c r="D789" s="213"/>
      <c r="E789" s="213"/>
      <c r="F789" s="213"/>
      <c r="G789" s="525"/>
      <c r="H789" s="213"/>
      <c r="I789" s="213"/>
      <c r="J789" s="213"/>
      <c r="K789" s="213"/>
      <c r="L789" s="213"/>
      <c r="N789" s="525"/>
      <c r="O789" s="525"/>
      <c r="P789" s="525"/>
      <c r="Q789" s="58"/>
      <c r="R789" s="58"/>
      <c r="S789" s="58"/>
    </row>
    <row r="790" spans="2:19" x14ac:dyDescent="0.2">
      <c r="B790" s="213"/>
      <c r="C790" s="213"/>
      <c r="D790" s="213"/>
      <c r="E790" s="213"/>
      <c r="F790" s="213"/>
      <c r="G790" s="525"/>
      <c r="H790" s="213"/>
      <c r="I790" s="213"/>
      <c r="J790" s="213"/>
      <c r="K790" s="213"/>
      <c r="L790" s="213"/>
      <c r="N790" s="525"/>
      <c r="O790" s="525"/>
      <c r="P790" s="525"/>
      <c r="Q790" s="58"/>
      <c r="R790" s="58"/>
      <c r="S790" s="58"/>
    </row>
    <row r="791" spans="2:19" x14ac:dyDescent="0.2">
      <c r="B791" s="213"/>
      <c r="C791" s="213"/>
      <c r="D791" s="213"/>
      <c r="E791" s="213"/>
      <c r="F791" s="213"/>
      <c r="G791" s="525"/>
      <c r="H791" s="213"/>
      <c r="I791" s="213"/>
      <c r="J791" s="213"/>
      <c r="K791" s="213"/>
      <c r="L791" s="213"/>
      <c r="N791" s="525"/>
      <c r="O791" s="525"/>
      <c r="P791" s="525"/>
      <c r="Q791" s="58"/>
      <c r="R791" s="58"/>
      <c r="S791" s="58"/>
    </row>
    <row r="792" spans="2:19" x14ac:dyDescent="0.2">
      <c r="B792" s="213"/>
      <c r="C792" s="213"/>
      <c r="D792" s="213"/>
      <c r="E792" s="213"/>
      <c r="F792" s="213"/>
      <c r="G792" s="525"/>
      <c r="H792" s="213"/>
      <c r="I792" s="213"/>
      <c r="J792" s="213"/>
      <c r="K792" s="213"/>
      <c r="L792" s="213"/>
      <c r="N792" s="525"/>
      <c r="O792" s="525"/>
      <c r="P792" s="525"/>
      <c r="Q792" s="58"/>
      <c r="R792" s="58"/>
      <c r="S792" s="58"/>
    </row>
    <row r="793" spans="2:19" x14ac:dyDescent="0.2">
      <c r="B793" s="213"/>
      <c r="C793" s="213"/>
      <c r="D793" s="213"/>
      <c r="E793" s="213"/>
      <c r="F793" s="213"/>
      <c r="G793" s="525"/>
      <c r="H793" s="213"/>
      <c r="I793" s="213"/>
      <c r="J793" s="213"/>
      <c r="K793" s="213"/>
      <c r="L793" s="213"/>
      <c r="N793" s="525"/>
      <c r="O793" s="525"/>
      <c r="P793" s="525"/>
      <c r="Q793" s="58"/>
      <c r="R793" s="58"/>
      <c r="S793" s="58"/>
    </row>
    <row r="794" spans="2:19" x14ac:dyDescent="0.2">
      <c r="B794" s="213"/>
      <c r="C794" s="213"/>
      <c r="D794" s="213"/>
      <c r="E794" s="213"/>
      <c r="F794" s="213"/>
      <c r="G794" s="525"/>
      <c r="H794" s="213"/>
      <c r="I794" s="213"/>
      <c r="J794" s="213"/>
      <c r="K794" s="213"/>
      <c r="L794" s="213"/>
      <c r="N794" s="525"/>
      <c r="O794" s="525"/>
      <c r="P794" s="525"/>
      <c r="Q794" s="58"/>
      <c r="R794" s="58"/>
      <c r="S794" s="58"/>
    </row>
    <row r="795" spans="2:19" x14ac:dyDescent="0.2">
      <c r="B795" s="213"/>
      <c r="C795" s="213"/>
      <c r="D795" s="213"/>
      <c r="E795" s="213"/>
      <c r="F795" s="213"/>
      <c r="G795" s="525"/>
      <c r="H795" s="213"/>
      <c r="I795" s="213"/>
      <c r="J795" s="213"/>
      <c r="K795" s="213"/>
      <c r="L795" s="213"/>
      <c r="N795" s="525"/>
      <c r="O795" s="525"/>
      <c r="P795" s="525"/>
      <c r="Q795" s="58"/>
      <c r="R795" s="58"/>
      <c r="S795" s="58"/>
    </row>
    <row r="796" spans="2:19" x14ac:dyDescent="0.2">
      <c r="B796" s="213"/>
      <c r="C796" s="213"/>
      <c r="D796" s="213"/>
      <c r="E796" s="213"/>
      <c r="F796" s="213"/>
      <c r="G796" s="525"/>
      <c r="H796" s="213"/>
      <c r="I796" s="213"/>
      <c r="J796" s="213"/>
      <c r="K796" s="213"/>
      <c r="L796" s="213"/>
      <c r="N796" s="525"/>
      <c r="O796" s="525"/>
      <c r="P796" s="525"/>
      <c r="Q796" s="58"/>
      <c r="R796" s="58"/>
      <c r="S796" s="58"/>
    </row>
    <row r="797" spans="2:19" x14ac:dyDescent="0.2">
      <c r="B797" s="213"/>
      <c r="C797" s="213"/>
      <c r="D797" s="213"/>
      <c r="E797" s="213"/>
      <c r="F797" s="213"/>
      <c r="G797" s="525"/>
      <c r="H797" s="213"/>
      <c r="I797" s="213"/>
      <c r="J797" s="213"/>
      <c r="K797" s="213"/>
      <c r="L797" s="213"/>
      <c r="N797" s="525"/>
      <c r="O797" s="525"/>
      <c r="P797" s="525"/>
      <c r="Q797" s="58"/>
      <c r="R797" s="58"/>
      <c r="S797" s="58"/>
    </row>
    <row r="798" spans="2:19" x14ac:dyDescent="0.2">
      <c r="B798" s="213"/>
      <c r="C798" s="213"/>
      <c r="D798" s="213"/>
      <c r="E798" s="213"/>
      <c r="F798" s="213"/>
      <c r="G798" s="525"/>
      <c r="H798" s="213"/>
      <c r="I798" s="213"/>
      <c r="J798" s="213"/>
      <c r="K798" s="213"/>
      <c r="L798" s="213"/>
      <c r="N798" s="525"/>
      <c r="O798" s="525"/>
      <c r="P798" s="525"/>
      <c r="Q798" s="58"/>
      <c r="R798" s="58"/>
      <c r="S798" s="58"/>
    </row>
    <row r="799" spans="2:19" x14ac:dyDescent="0.2">
      <c r="B799" s="213"/>
      <c r="C799" s="213"/>
      <c r="D799" s="213"/>
      <c r="E799" s="213"/>
      <c r="F799" s="213"/>
      <c r="G799" s="525"/>
      <c r="H799" s="213"/>
      <c r="I799" s="213"/>
      <c r="J799" s="213"/>
      <c r="K799" s="213"/>
      <c r="L799" s="213"/>
      <c r="N799" s="525"/>
      <c r="O799" s="525"/>
      <c r="P799" s="525"/>
      <c r="Q799" s="58"/>
      <c r="R799" s="58"/>
      <c r="S799" s="58"/>
    </row>
    <row r="800" spans="2:19" x14ac:dyDescent="0.2">
      <c r="B800" s="213"/>
      <c r="C800" s="213"/>
      <c r="D800" s="213"/>
      <c r="E800" s="213"/>
      <c r="F800" s="213"/>
      <c r="G800" s="525"/>
      <c r="H800" s="213"/>
      <c r="I800" s="213"/>
      <c r="J800" s="213"/>
      <c r="K800" s="213"/>
      <c r="L800" s="213"/>
      <c r="N800" s="525"/>
      <c r="O800" s="525"/>
      <c r="P800" s="525"/>
      <c r="Q800" s="58"/>
      <c r="R800" s="58"/>
      <c r="S800" s="58"/>
    </row>
    <row r="801" spans="2:19" x14ac:dyDescent="0.2">
      <c r="B801" s="213"/>
      <c r="C801" s="213"/>
      <c r="D801" s="213"/>
      <c r="E801" s="213"/>
      <c r="F801" s="213"/>
      <c r="G801" s="525"/>
      <c r="H801" s="213"/>
      <c r="I801" s="213"/>
      <c r="J801" s="213"/>
      <c r="K801" s="213"/>
      <c r="L801" s="213"/>
      <c r="N801" s="525"/>
      <c r="O801" s="525"/>
      <c r="P801" s="525"/>
      <c r="Q801" s="58"/>
      <c r="R801" s="58"/>
      <c r="S801" s="58"/>
    </row>
    <row r="802" spans="2:19" x14ac:dyDescent="0.2">
      <c r="B802" s="213"/>
      <c r="C802" s="213"/>
      <c r="D802" s="213"/>
      <c r="E802" s="213"/>
      <c r="F802" s="213"/>
      <c r="G802" s="525"/>
      <c r="H802" s="213"/>
      <c r="I802" s="213"/>
      <c r="J802" s="213"/>
      <c r="K802" s="213"/>
      <c r="L802" s="213"/>
      <c r="N802" s="525"/>
      <c r="O802" s="525"/>
      <c r="P802" s="525"/>
      <c r="Q802" s="58"/>
      <c r="R802" s="58"/>
      <c r="S802" s="58"/>
    </row>
    <row r="803" spans="2:19" x14ac:dyDescent="0.2">
      <c r="B803" s="213"/>
      <c r="C803" s="213"/>
      <c r="D803" s="213"/>
      <c r="E803" s="213"/>
      <c r="F803" s="213"/>
      <c r="G803" s="525"/>
      <c r="H803" s="213"/>
      <c r="I803" s="213"/>
      <c r="J803" s="213"/>
      <c r="K803" s="213"/>
      <c r="L803" s="213"/>
      <c r="N803" s="525"/>
      <c r="O803" s="525"/>
      <c r="P803" s="525"/>
      <c r="Q803" s="58"/>
      <c r="R803" s="58"/>
      <c r="S803" s="58"/>
    </row>
    <row r="804" spans="2:19" x14ac:dyDescent="0.2">
      <c r="B804" s="213"/>
      <c r="C804" s="213"/>
      <c r="D804" s="213"/>
      <c r="E804" s="213"/>
      <c r="F804" s="213"/>
      <c r="G804" s="525"/>
      <c r="H804" s="213"/>
      <c r="I804" s="213"/>
      <c r="J804" s="213"/>
      <c r="K804" s="213"/>
      <c r="L804" s="213"/>
      <c r="N804" s="525"/>
      <c r="O804" s="525"/>
      <c r="P804" s="525"/>
      <c r="Q804" s="58"/>
      <c r="R804" s="58"/>
      <c r="S804" s="58"/>
    </row>
    <row r="805" spans="2:19" x14ac:dyDescent="0.2">
      <c r="B805" s="213"/>
      <c r="C805" s="213"/>
      <c r="D805" s="213"/>
      <c r="E805" s="213"/>
      <c r="F805" s="213"/>
      <c r="G805" s="525"/>
      <c r="H805" s="213"/>
      <c r="I805" s="213"/>
      <c r="J805" s="213"/>
      <c r="K805" s="213"/>
      <c r="L805" s="213"/>
      <c r="N805" s="525"/>
      <c r="O805" s="525"/>
      <c r="P805" s="525"/>
      <c r="Q805" s="58"/>
      <c r="R805" s="58"/>
      <c r="S805" s="58"/>
    </row>
    <row r="806" spans="2:19" x14ac:dyDescent="0.2">
      <c r="B806" s="213"/>
      <c r="C806" s="213"/>
      <c r="D806" s="213"/>
      <c r="E806" s="213"/>
      <c r="F806" s="213"/>
      <c r="G806" s="525"/>
      <c r="H806" s="213"/>
      <c r="I806" s="213"/>
      <c r="J806" s="213"/>
      <c r="K806" s="213"/>
      <c r="L806" s="213"/>
      <c r="N806" s="525"/>
      <c r="O806" s="525"/>
      <c r="P806" s="525"/>
      <c r="Q806" s="58"/>
      <c r="R806" s="58"/>
      <c r="S806" s="58"/>
    </row>
    <row r="807" spans="2:19" x14ac:dyDescent="0.2">
      <c r="B807" s="213"/>
      <c r="C807" s="213"/>
      <c r="D807" s="213"/>
      <c r="E807" s="213"/>
      <c r="F807" s="213"/>
      <c r="G807" s="525"/>
      <c r="H807" s="213"/>
      <c r="I807" s="213"/>
      <c r="J807" s="213"/>
      <c r="K807" s="213"/>
      <c r="L807" s="213"/>
      <c r="N807" s="525"/>
      <c r="O807" s="525"/>
      <c r="P807" s="525"/>
      <c r="Q807" s="58"/>
      <c r="R807" s="58"/>
      <c r="S807" s="58"/>
    </row>
    <row r="808" spans="2:19" x14ac:dyDescent="0.2">
      <c r="B808" s="213"/>
      <c r="C808" s="213"/>
      <c r="D808" s="213"/>
      <c r="E808" s="213"/>
      <c r="F808" s="213"/>
      <c r="G808" s="525"/>
      <c r="H808" s="213"/>
      <c r="I808" s="213"/>
      <c r="J808" s="213"/>
      <c r="K808" s="213"/>
      <c r="L808" s="213"/>
      <c r="N808" s="525"/>
      <c r="O808" s="525"/>
      <c r="P808" s="525"/>
      <c r="Q808" s="58"/>
      <c r="R808" s="58"/>
      <c r="S808" s="58"/>
    </row>
    <row r="809" spans="2:19" x14ac:dyDescent="0.2">
      <c r="B809" s="213"/>
      <c r="C809" s="213"/>
      <c r="D809" s="213"/>
      <c r="E809" s="213"/>
      <c r="F809" s="213"/>
      <c r="G809" s="525"/>
      <c r="H809" s="213"/>
      <c r="I809" s="213"/>
      <c r="J809" s="213"/>
      <c r="K809" s="213"/>
      <c r="L809" s="213"/>
      <c r="N809" s="525"/>
      <c r="O809" s="525"/>
      <c r="P809" s="525"/>
      <c r="Q809" s="58"/>
      <c r="R809" s="58"/>
      <c r="S809" s="58"/>
    </row>
    <row r="810" spans="2:19" x14ac:dyDescent="0.2">
      <c r="B810" s="213"/>
      <c r="C810" s="213"/>
      <c r="D810" s="213"/>
      <c r="E810" s="213"/>
      <c r="F810" s="213"/>
      <c r="G810" s="525"/>
      <c r="H810" s="213"/>
      <c r="I810" s="213"/>
      <c r="J810" s="213"/>
      <c r="K810" s="213"/>
      <c r="L810" s="213"/>
      <c r="N810" s="525"/>
      <c r="O810" s="525"/>
      <c r="P810" s="525"/>
      <c r="Q810" s="58"/>
      <c r="R810" s="58"/>
      <c r="S810" s="58"/>
    </row>
    <row r="811" spans="2:19" x14ac:dyDescent="0.2">
      <c r="B811" s="213"/>
      <c r="C811" s="213"/>
      <c r="D811" s="213"/>
      <c r="E811" s="213"/>
      <c r="F811" s="213"/>
      <c r="G811" s="525"/>
      <c r="H811" s="213"/>
      <c r="I811" s="213"/>
      <c r="J811" s="213"/>
      <c r="K811" s="213"/>
      <c r="L811" s="213"/>
      <c r="N811" s="525"/>
      <c r="O811" s="525"/>
      <c r="P811" s="525"/>
      <c r="Q811" s="58"/>
      <c r="R811" s="58"/>
      <c r="S811" s="58"/>
    </row>
    <row r="812" spans="2:19" x14ac:dyDescent="0.2">
      <c r="B812" s="213"/>
      <c r="C812" s="213"/>
      <c r="D812" s="213"/>
      <c r="E812" s="213"/>
      <c r="F812" s="213"/>
      <c r="G812" s="525"/>
      <c r="H812" s="213"/>
      <c r="I812" s="213"/>
      <c r="J812" s="213"/>
      <c r="K812" s="213"/>
      <c r="L812" s="213"/>
      <c r="N812" s="525"/>
      <c r="O812" s="525"/>
      <c r="P812" s="525"/>
      <c r="Q812" s="58"/>
      <c r="R812" s="58"/>
      <c r="S812" s="58"/>
    </row>
    <row r="813" spans="2:19" x14ac:dyDescent="0.2">
      <c r="B813" s="213"/>
      <c r="C813" s="213"/>
      <c r="D813" s="213"/>
      <c r="E813" s="213"/>
      <c r="F813" s="213"/>
      <c r="G813" s="525"/>
      <c r="H813" s="213"/>
      <c r="I813" s="213"/>
      <c r="J813" s="213"/>
      <c r="K813" s="213"/>
      <c r="L813" s="213"/>
      <c r="N813" s="525"/>
      <c r="O813" s="525"/>
      <c r="P813" s="525"/>
      <c r="Q813" s="58"/>
      <c r="R813" s="58"/>
      <c r="S813" s="58"/>
    </row>
    <row r="814" spans="2:19" x14ac:dyDescent="0.2">
      <c r="B814" s="213"/>
      <c r="C814" s="213"/>
      <c r="D814" s="213"/>
      <c r="E814" s="213"/>
      <c r="F814" s="213"/>
      <c r="G814" s="525"/>
      <c r="H814" s="213"/>
      <c r="I814" s="213"/>
      <c r="J814" s="213"/>
      <c r="K814" s="213"/>
      <c r="L814" s="213"/>
      <c r="N814" s="525"/>
      <c r="O814" s="525"/>
      <c r="P814" s="525"/>
      <c r="Q814" s="58"/>
      <c r="R814" s="58"/>
      <c r="S814" s="58"/>
    </row>
    <row r="815" spans="2:19" x14ac:dyDescent="0.2">
      <c r="B815" s="213"/>
      <c r="C815" s="213"/>
      <c r="D815" s="213"/>
      <c r="E815" s="213"/>
      <c r="F815" s="213"/>
      <c r="G815" s="525"/>
      <c r="H815" s="213"/>
      <c r="I815" s="213"/>
      <c r="J815" s="213"/>
      <c r="K815" s="213"/>
      <c r="L815" s="213"/>
      <c r="N815" s="525"/>
      <c r="O815" s="525"/>
      <c r="P815" s="525"/>
      <c r="Q815" s="58"/>
      <c r="R815" s="58"/>
      <c r="S815" s="58"/>
    </row>
    <row r="816" spans="2:19" x14ac:dyDescent="0.2">
      <c r="B816" s="213"/>
      <c r="C816" s="213"/>
      <c r="D816" s="213"/>
      <c r="E816" s="213"/>
      <c r="F816" s="213"/>
      <c r="G816" s="525"/>
      <c r="H816" s="213"/>
      <c r="I816" s="213"/>
      <c r="J816" s="213"/>
      <c r="K816" s="213"/>
      <c r="L816" s="213"/>
      <c r="N816" s="525"/>
      <c r="O816" s="525"/>
      <c r="P816" s="525"/>
      <c r="Q816" s="58"/>
      <c r="R816" s="58"/>
      <c r="S816" s="58"/>
    </row>
    <row r="817" spans="2:19" x14ac:dyDescent="0.2">
      <c r="B817" s="213"/>
      <c r="C817" s="213"/>
      <c r="D817" s="213"/>
      <c r="E817" s="213"/>
      <c r="F817" s="213"/>
      <c r="G817" s="525"/>
      <c r="H817" s="213"/>
      <c r="I817" s="213"/>
      <c r="J817" s="213"/>
      <c r="K817" s="213"/>
      <c r="L817" s="213"/>
      <c r="N817" s="525"/>
      <c r="O817" s="525"/>
      <c r="P817" s="525"/>
      <c r="Q817" s="58"/>
      <c r="R817" s="58"/>
      <c r="S817" s="58"/>
    </row>
    <row r="818" spans="2:19" x14ac:dyDescent="0.2">
      <c r="B818" s="213"/>
      <c r="C818" s="213"/>
      <c r="D818" s="213"/>
      <c r="E818" s="213"/>
      <c r="F818" s="213"/>
      <c r="G818" s="525"/>
      <c r="H818" s="213"/>
      <c r="I818" s="213"/>
      <c r="J818" s="213"/>
      <c r="K818" s="213"/>
      <c r="L818" s="213"/>
      <c r="N818" s="525"/>
      <c r="O818" s="525"/>
      <c r="P818" s="525"/>
      <c r="Q818" s="58"/>
      <c r="R818" s="58"/>
      <c r="S818" s="58"/>
    </row>
    <row r="819" spans="2:19" x14ac:dyDescent="0.2">
      <c r="B819" s="213"/>
      <c r="C819" s="213"/>
      <c r="D819" s="213"/>
      <c r="E819" s="213"/>
      <c r="F819" s="213"/>
      <c r="G819" s="525"/>
      <c r="H819" s="213"/>
      <c r="I819" s="213"/>
      <c r="J819" s="213"/>
      <c r="K819" s="213"/>
      <c r="L819" s="213"/>
      <c r="N819" s="525"/>
      <c r="O819" s="525"/>
      <c r="P819" s="525"/>
      <c r="Q819" s="58"/>
      <c r="R819" s="58"/>
      <c r="S819" s="58"/>
    </row>
    <row r="820" spans="2:19" x14ac:dyDescent="0.2">
      <c r="B820" s="213"/>
      <c r="C820" s="213"/>
      <c r="D820" s="213"/>
      <c r="E820" s="213"/>
      <c r="F820" s="213"/>
      <c r="G820" s="525"/>
      <c r="H820" s="213"/>
      <c r="I820" s="213"/>
      <c r="J820" s="213"/>
      <c r="K820" s="213"/>
      <c r="L820" s="213"/>
      <c r="N820" s="525"/>
      <c r="O820" s="525"/>
      <c r="P820" s="525"/>
      <c r="Q820" s="58"/>
      <c r="R820" s="58"/>
      <c r="S820" s="58"/>
    </row>
    <row r="821" spans="2:19" x14ac:dyDescent="0.2">
      <c r="B821" s="213"/>
      <c r="C821" s="213"/>
      <c r="D821" s="213"/>
      <c r="E821" s="213"/>
      <c r="F821" s="213"/>
      <c r="G821" s="525"/>
      <c r="H821" s="213"/>
      <c r="I821" s="213"/>
      <c r="J821" s="213"/>
      <c r="K821" s="213"/>
      <c r="L821" s="213"/>
      <c r="N821" s="525"/>
      <c r="O821" s="525"/>
      <c r="P821" s="525"/>
      <c r="Q821" s="58"/>
      <c r="R821" s="58"/>
      <c r="S821" s="58"/>
    </row>
    <row r="822" spans="2:19" x14ac:dyDescent="0.2">
      <c r="B822" s="213"/>
      <c r="C822" s="213"/>
      <c r="D822" s="213"/>
      <c r="E822" s="213"/>
      <c r="F822" s="213"/>
      <c r="G822" s="525"/>
      <c r="H822" s="213"/>
      <c r="I822" s="213"/>
      <c r="J822" s="213"/>
      <c r="K822" s="213"/>
      <c r="L822" s="213"/>
      <c r="N822" s="525"/>
      <c r="O822" s="525"/>
      <c r="P822" s="525"/>
      <c r="Q822" s="58"/>
      <c r="R822" s="58"/>
      <c r="S822" s="58"/>
    </row>
    <row r="823" spans="2:19" x14ac:dyDescent="0.2">
      <c r="B823" s="213"/>
      <c r="C823" s="213"/>
      <c r="D823" s="213"/>
      <c r="E823" s="213"/>
      <c r="F823" s="213"/>
      <c r="G823" s="525"/>
      <c r="H823" s="213"/>
      <c r="I823" s="213"/>
      <c r="J823" s="213"/>
      <c r="K823" s="213"/>
      <c r="L823" s="213"/>
      <c r="N823" s="525"/>
      <c r="O823" s="525"/>
      <c r="P823" s="525"/>
      <c r="Q823" s="58"/>
      <c r="R823" s="58"/>
      <c r="S823" s="58"/>
    </row>
    <row r="824" spans="2:19" x14ac:dyDescent="0.2">
      <c r="B824" s="213"/>
      <c r="C824" s="213"/>
      <c r="D824" s="213"/>
      <c r="E824" s="213"/>
      <c r="F824" s="213"/>
      <c r="G824" s="525"/>
      <c r="H824" s="213"/>
      <c r="I824" s="213"/>
      <c r="J824" s="213"/>
      <c r="K824" s="213"/>
      <c r="L824" s="213"/>
      <c r="N824" s="525"/>
      <c r="O824" s="525"/>
      <c r="P824" s="525"/>
      <c r="Q824" s="58"/>
      <c r="R824" s="58"/>
      <c r="S824" s="58"/>
    </row>
    <row r="825" spans="2:19" x14ac:dyDescent="0.2">
      <c r="B825" s="213"/>
      <c r="C825" s="213"/>
      <c r="D825" s="213"/>
      <c r="E825" s="213"/>
      <c r="F825" s="213"/>
      <c r="G825" s="525"/>
      <c r="H825" s="213"/>
      <c r="I825" s="213"/>
      <c r="J825" s="213"/>
      <c r="K825" s="213"/>
      <c r="L825" s="213"/>
      <c r="N825" s="525"/>
      <c r="O825" s="525"/>
      <c r="P825" s="525"/>
      <c r="Q825" s="58"/>
      <c r="R825" s="58"/>
      <c r="S825" s="58"/>
    </row>
    <row r="826" spans="2:19" x14ac:dyDescent="0.2">
      <c r="B826" s="213"/>
      <c r="C826" s="213"/>
      <c r="D826" s="213"/>
      <c r="E826" s="213"/>
      <c r="F826" s="213"/>
      <c r="G826" s="525"/>
      <c r="H826" s="213"/>
      <c r="I826" s="213"/>
      <c r="J826" s="213"/>
      <c r="K826" s="213"/>
      <c r="L826" s="213"/>
      <c r="N826" s="525"/>
      <c r="O826" s="525"/>
      <c r="P826" s="525"/>
      <c r="Q826" s="58"/>
      <c r="R826" s="58"/>
      <c r="S826" s="58"/>
    </row>
    <row r="827" spans="2:19" x14ac:dyDescent="0.2">
      <c r="B827" s="213"/>
      <c r="C827" s="213"/>
      <c r="D827" s="213"/>
      <c r="E827" s="213"/>
      <c r="F827" s="213"/>
      <c r="G827" s="525"/>
      <c r="H827" s="213"/>
      <c r="I827" s="213"/>
      <c r="J827" s="213"/>
      <c r="K827" s="213"/>
      <c r="L827" s="213"/>
      <c r="N827" s="525"/>
      <c r="O827" s="525"/>
      <c r="P827" s="525"/>
      <c r="Q827" s="58"/>
      <c r="R827" s="58"/>
      <c r="S827" s="58"/>
    </row>
    <row r="828" spans="2:19" x14ac:dyDescent="0.2">
      <c r="B828" s="213"/>
      <c r="C828" s="213"/>
      <c r="D828" s="213"/>
      <c r="E828" s="213"/>
      <c r="F828" s="213"/>
      <c r="G828" s="525"/>
      <c r="H828" s="213"/>
      <c r="I828" s="213"/>
      <c r="J828" s="213"/>
      <c r="K828" s="213"/>
      <c r="L828" s="213"/>
      <c r="N828" s="525"/>
      <c r="O828" s="525"/>
      <c r="P828" s="525"/>
      <c r="Q828" s="58"/>
      <c r="R828" s="58"/>
      <c r="S828" s="58"/>
    </row>
    <row r="829" spans="2:19" x14ac:dyDescent="0.2">
      <c r="B829" s="213"/>
      <c r="C829" s="213"/>
      <c r="D829" s="213"/>
      <c r="E829" s="213"/>
      <c r="F829" s="213"/>
      <c r="G829" s="525"/>
      <c r="H829" s="213"/>
      <c r="I829" s="213"/>
      <c r="J829" s="213"/>
      <c r="K829" s="213"/>
      <c r="L829" s="213"/>
      <c r="N829" s="525"/>
      <c r="O829" s="525"/>
      <c r="P829" s="525"/>
      <c r="Q829" s="58"/>
      <c r="R829" s="58"/>
      <c r="S829" s="58"/>
    </row>
    <row r="830" spans="2:19" x14ac:dyDescent="0.2">
      <c r="B830" s="213"/>
      <c r="C830" s="213"/>
      <c r="D830" s="213"/>
      <c r="E830" s="213"/>
      <c r="F830" s="213"/>
      <c r="G830" s="525"/>
      <c r="H830" s="213"/>
      <c r="I830" s="213"/>
      <c r="J830" s="213"/>
      <c r="K830" s="213"/>
      <c r="L830" s="213"/>
      <c r="N830" s="525"/>
      <c r="O830" s="525"/>
      <c r="P830" s="525"/>
      <c r="Q830" s="58"/>
      <c r="R830" s="58"/>
      <c r="S830" s="58"/>
    </row>
    <row r="831" spans="2:19" x14ac:dyDescent="0.2">
      <c r="B831" s="213"/>
      <c r="C831" s="213"/>
      <c r="D831" s="213"/>
      <c r="E831" s="213"/>
      <c r="F831" s="213"/>
      <c r="G831" s="525"/>
      <c r="H831" s="213"/>
      <c r="I831" s="213"/>
      <c r="J831" s="213"/>
      <c r="K831" s="213"/>
      <c r="L831" s="213"/>
      <c r="N831" s="525"/>
      <c r="O831" s="525"/>
      <c r="P831" s="525"/>
      <c r="Q831" s="58"/>
      <c r="R831" s="58"/>
      <c r="S831" s="58"/>
    </row>
    <row r="832" spans="2:19" x14ac:dyDescent="0.2">
      <c r="B832" s="213"/>
      <c r="C832" s="213"/>
      <c r="D832" s="213"/>
      <c r="E832" s="213"/>
      <c r="F832" s="213"/>
      <c r="G832" s="525"/>
      <c r="H832" s="213"/>
      <c r="I832" s="213"/>
      <c r="J832" s="213"/>
      <c r="K832" s="213"/>
      <c r="L832" s="213"/>
      <c r="N832" s="525"/>
      <c r="O832" s="525"/>
      <c r="P832" s="525"/>
      <c r="Q832" s="58"/>
      <c r="R832" s="58"/>
      <c r="S832" s="58"/>
    </row>
    <row r="833" spans="2:19" x14ac:dyDescent="0.2">
      <c r="B833" s="213"/>
      <c r="C833" s="213"/>
      <c r="D833" s="213"/>
      <c r="E833" s="213"/>
      <c r="F833" s="213"/>
      <c r="G833" s="525"/>
      <c r="H833" s="213"/>
      <c r="I833" s="213"/>
      <c r="J833" s="213"/>
      <c r="K833" s="213"/>
      <c r="L833" s="213"/>
      <c r="N833" s="525"/>
      <c r="O833" s="525"/>
      <c r="P833" s="525"/>
      <c r="Q833" s="58"/>
      <c r="R833" s="58"/>
      <c r="S833" s="58"/>
    </row>
    <row r="834" spans="2:19" x14ac:dyDescent="0.2">
      <c r="B834" s="213"/>
      <c r="C834" s="213"/>
      <c r="D834" s="213"/>
      <c r="E834" s="213"/>
      <c r="F834" s="213"/>
      <c r="G834" s="525"/>
      <c r="H834" s="213"/>
      <c r="I834" s="213"/>
      <c r="J834" s="213"/>
      <c r="K834" s="213"/>
      <c r="L834" s="213"/>
      <c r="N834" s="525"/>
      <c r="O834" s="525"/>
      <c r="P834" s="525"/>
      <c r="Q834" s="58"/>
      <c r="R834" s="58"/>
      <c r="S834" s="58"/>
    </row>
    <row r="835" spans="2:19" x14ac:dyDescent="0.2">
      <c r="B835" s="213"/>
      <c r="C835" s="213"/>
      <c r="D835" s="213"/>
      <c r="E835" s="213"/>
      <c r="F835" s="213"/>
      <c r="G835" s="525"/>
      <c r="H835" s="213"/>
      <c r="I835" s="213"/>
      <c r="J835" s="213"/>
      <c r="K835" s="213"/>
      <c r="L835" s="213"/>
      <c r="N835" s="525"/>
      <c r="O835" s="525"/>
      <c r="P835" s="525"/>
      <c r="Q835" s="58"/>
      <c r="R835" s="58"/>
      <c r="S835" s="58"/>
    </row>
    <row r="836" spans="2:19" x14ac:dyDescent="0.2">
      <c r="B836" s="213"/>
      <c r="C836" s="213"/>
      <c r="D836" s="213"/>
      <c r="E836" s="213"/>
      <c r="F836" s="213"/>
      <c r="G836" s="525"/>
      <c r="H836" s="213"/>
      <c r="I836" s="213"/>
      <c r="J836" s="213"/>
      <c r="K836" s="213"/>
      <c r="L836" s="213"/>
      <c r="N836" s="525"/>
      <c r="O836" s="525"/>
      <c r="P836" s="525"/>
      <c r="Q836" s="58"/>
      <c r="R836" s="58"/>
      <c r="S836" s="58"/>
    </row>
    <row r="837" spans="2:19" x14ac:dyDescent="0.2">
      <c r="B837" s="213"/>
      <c r="C837" s="213"/>
      <c r="D837" s="213"/>
      <c r="E837" s="213"/>
      <c r="F837" s="213"/>
      <c r="G837" s="525"/>
      <c r="H837" s="213"/>
      <c r="I837" s="213"/>
      <c r="J837" s="213"/>
      <c r="K837" s="213"/>
      <c r="L837" s="213"/>
      <c r="N837" s="525"/>
      <c r="O837" s="525"/>
      <c r="P837" s="525"/>
      <c r="Q837" s="58"/>
      <c r="R837" s="58"/>
      <c r="S837" s="58"/>
    </row>
    <row r="838" spans="2:19" x14ac:dyDescent="0.2">
      <c r="B838" s="213"/>
      <c r="C838" s="213"/>
      <c r="D838" s="213"/>
      <c r="E838" s="213"/>
      <c r="F838" s="213"/>
      <c r="G838" s="525"/>
      <c r="H838" s="213"/>
      <c r="I838" s="213"/>
      <c r="J838" s="213"/>
      <c r="K838" s="213"/>
      <c r="L838" s="213"/>
      <c r="N838" s="525"/>
      <c r="O838" s="525"/>
      <c r="P838" s="525"/>
      <c r="Q838" s="58"/>
      <c r="R838" s="58"/>
      <c r="S838" s="58"/>
    </row>
    <row r="839" spans="2:19" x14ac:dyDescent="0.2">
      <c r="B839" s="213"/>
      <c r="C839" s="213"/>
      <c r="D839" s="213"/>
      <c r="E839" s="213"/>
      <c r="F839" s="213"/>
      <c r="G839" s="525"/>
      <c r="H839" s="213"/>
      <c r="I839" s="213"/>
      <c r="J839" s="213"/>
      <c r="K839" s="213"/>
      <c r="L839" s="213"/>
      <c r="N839" s="525"/>
      <c r="O839" s="525"/>
      <c r="P839" s="525"/>
      <c r="Q839" s="58"/>
      <c r="R839" s="58"/>
      <c r="S839" s="58"/>
    </row>
    <row r="840" spans="2:19" x14ac:dyDescent="0.2">
      <c r="B840" s="213"/>
      <c r="C840" s="213"/>
      <c r="D840" s="213"/>
      <c r="E840" s="213"/>
      <c r="F840" s="213"/>
      <c r="G840" s="525"/>
      <c r="H840" s="213"/>
      <c r="I840" s="213"/>
      <c r="J840" s="213"/>
      <c r="K840" s="213"/>
      <c r="L840" s="213"/>
      <c r="N840" s="525"/>
      <c r="O840" s="525"/>
      <c r="P840" s="525"/>
      <c r="Q840" s="58"/>
      <c r="R840" s="58"/>
      <c r="S840" s="58"/>
    </row>
    <row r="841" spans="2:19" x14ac:dyDescent="0.2">
      <c r="B841" s="213"/>
      <c r="C841" s="213"/>
      <c r="D841" s="213"/>
      <c r="E841" s="213"/>
      <c r="F841" s="213"/>
      <c r="G841" s="525"/>
      <c r="H841" s="213"/>
      <c r="I841" s="213"/>
      <c r="J841" s="213"/>
      <c r="K841" s="213"/>
      <c r="L841" s="213"/>
      <c r="N841" s="525"/>
      <c r="O841" s="525"/>
      <c r="P841" s="525"/>
      <c r="Q841" s="58"/>
      <c r="R841" s="58"/>
      <c r="S841" s="58"/>
    </row>
    <row r="842" spans="2:19" x14ac:dyDescent="0.2">
      <c r="B842" s="213"/>
      <c r="C842" s="213"/>
      <c r="D842" s="213"/>
      <c r="E842" s="213"/>
      <c r="F842" s="213"/>
      <c r="G842" s="525"/>
      <c r="H842" s="213"/>
      <c r="I842" s="213"/>
      <c r="J842" s="213"/>
      <c r="K842" s="213"/>
      <c r="L842" s="213"/>
      <c r="N842" s="525"/>
      <c r="O842" s="525"/>
      <c r="P842" s="525"/>
      <c r="Q842" s="58"/>
      <c r="R842" s="58"/>
      <c r="S842" s="58"/>
    </row>
    <row r="843" spans="2:19" x14ac:dyDescent="0.2">
      <c r="B843" s="213"/>
      <c r="C843" s="213"/>
      <c r="D843" s="213"/>
      <c r="E843" s="213"/>
      <c r="F843" s="213"/>
      <c r="G843" s="525"/>
      <c r="H843" s="213"/>
      <c r="I843" s="213"/>
      <c r="J843" s="213"/>
      <c r="K843" s="213"/>
      <c r="L843" s="213"/>
      <c r="N843" s="525"/>
      <c r="O843" s="525"/>
      <c r="P843" s="525"/>
      <c r="Q843" s="58"/>
      <c r="R843" s="58"/>
      <c r="S843" s="58"/>
    </row>
    <row r="844" spans="2:19" x14ac:dyDescent="0.2">
      <c r="B844" s="213"/>
      <c r="C844" s="213"/>
      <c r="D844" s="213"/>
      <c r="E844" s="213"/>
      <c r="F844" s="213"/>
      <c r="G844" s="525"/>
      <c r="H844" s="213"/>
      <c r="I844" s="213"/>
      <c r="J844" s="213"/>
      <c r="K844" s="213"/>
      <c r="L844" s="213"/>
      <c r="N844" s="525"/>
      <c r="O844" s="525"/>
      <c r="P844" s="525"/>
      <c r="Q844" s="58"/>
      <c r="R844" s="58"/>
      <c r="S844" s="58"/>
    </row>
    <row r="845" spans="2:19" x14ac:dyDescent="0.2">
      <c r="B845" s="213"/>
      <c r="C845" s="213"/>
      <c r="D845" s="213"/>
      <c r="E845" s="213"/>
      <c r="F845" s="213"/>
      <c r="G845" s="525"/>
      <c r="H845" s="213"/>
      <c r="I845" s="213"/>
      <c r="J845" s="213"/>
      <c r="K845" s="213"/>
      <c r="L845" s="213"/>
      <c r="N845" s="525"/>
      <c r="O845" s="525"/>
      <c r="P845" s="525"/>
      <c r="Q845" s="58"/>
      <c r="R845" s="58"/>
      <c r="S845" s="58"/>
    </row>
    <row r="846" spans="2:19" x14ac:dyDescent="0.2">
      <c r="B846" s="213"/>
      <c r="C846" s="213"/>
      <c r="D846" s="213"/>
      <c r="E846" s="213"/>
      <c r="F846" s="213"/>
      <c r="G846" s="525"/>
      <c r="H846" s="213"/>
      <c r="I846" s="213"/>
      <c r="J846" s="213"/>
      <c r="K846" s="213"/>
      <c r="L846" s="213"/>
      <c r="N846" s="525"/>
      <c r="O846" s="525"/>
      <c r="P846" s="525"/>
      <c r="Q846" s="58"/>
      <c r="R846" s="58"/>
      <c r="S846" s="58"/>
    </row>
    <row r="847" spans="2:19" x14ac:dyDescent="0.2">
      <c r="B847" s="213"/>
      <c r="C847" s="213"/>
      <c r="D847" s="213"/>
      <c r="E847" s="213"/>
      <c r="F847" s="213"/>
      <c r="G847" s="525"/>
      <c r="H847" s="213"/>
      <c r="I847" s="213"/>
      <c r="J847" s="213"/>
      <c r="K847" s="213"/>
      <c r="L847" s="213"/>
      <c r="N847" s="525"/>
      <c r="O847" s="525"/>
      <c r="P847" s="525"/>
      <c r="Q847" s="58"/>
      <c r="R847" s="58"/>
      <c r="S847" s="58"/>
    </row>
    <row r="848" spans="2:19" x14ac:dyDescent="0.2">
      <c r="B848" s="213"/>
      <c r="C848" s="213"/>
      <c r="D848" s="213"/>
      <c r="E848" s="213"/>
      <c r="F848" s="213"/>
      <c r="G848" s="525"/>
      <c r="H848" s="213"/>
      <c r="I848" s="213"/>
      <c r="J848" s="213"/>
      <c r="K848" s="213"/>
      <c r="L848" s="213"/>
      <c r="N848" s="525"/>
      <c r="O848" s="525"/>
      <c r="P848" s="525"/>
      <c r="Q848" s="58"/>
      <c r="R848" s="58"/>
      <c r="S848" s="58"/>
    </row>
    <row r="849" spans="2:19" x14ac:dyDescent="0.2">
      <c r="B849" s="213"/>
      <c r="C849" s="213"/>
      <c r="D849" s="213"/>
      <c r="E849" s="213"/>
      <c r="F849" s="213"/>
      <c r="G849" s="525"/>
      <c r="H849" s="213"/>
      <c r="I849" s="213"/>
      <c r="J849" s="213"/>
      <c r="K849" s="213"/>
      <c r="L849" s="213"/>
      <c r="N849" s="525"/>
      <c r="O849" s="525"/>
      <c r="P849" s="525"/>
      <c r="Q849" s="58"/>
      <c r="R849" s="58"/>
      <c r="S849" s="58"/>
    </row>
    <row r="850" spans="2:19" x14ac:dyDescent="0.2">
      <c r="B850" s="213"/>
      <c r="C850" s="213"/>
      <c r="D850" s="213"/>
      <c r="E850" s="213"/>
      <c r="F850" s="213"/>
      <c r="G850" s="525"/>
      <c r="H850" s="213"/>
      <c r="I850" s="213"/>
      <c r="J850" s="213"/>
      <c r="K850" s="213"/>
      <c r="L850" s="213"/>
      <c r="N850" s="525"/>
      <c r="O850" s="525"/>
      <c r="P850" s="525"/>
      <c r="Q850" s="58"/>
      <c r="R850" s="58"/>
      <c r="S850" s="58"/>
    </row>
    <row r="851" spans="2:19" x14ac:dyDescent="0.2">
      <c r="B851" s="213"/>
      <c r="C851" s="213"/>
      <c r="D851" s="213"/>
      <c r="E851" s="213"/>
      <c r="F851" s="213"/>
      <c r="G851" s="525"/>
      <c r="H851" s="213"/>
      <c r="I851" s="213"/>
      <c r="J851" s="213"/>
      <c r="K851" s="213"/>
      <c r="L851" s="213"/>
      <c r="N851" s="525"/>
      <c r="O851" s="525"/>
      <c r="P851" s="525"/>
      <c r="Q851" s="58"/>
      <c r="R851" s="58"/>
      <c r="S851" s="58"/>
    </row>
    <row r="852" spans="2:19" x14ac:dyDescent="0.2">
      <c r="B852" s="213"/>
      <c r="C852" s="213"/>
      <c r="D852" s="213"/>
      <c r="E852" s="213"/>
      <c r="F852" s="213"/>
      <c r="G852" s="525"/>
      <c r="H852" s="213"/>
      <c r="I852" s="213"/>
      <c r="J852" s="213"/>
      <c r="K852" s="213"/>
      <c r="L852" s="213"/>
      <c r="N852" s="525"/>
      <c r="O852" s="525"/>
      <c r="P852" s="525"/>
      <c r="Q852" s="58"/>
      <c r="R852" s="58"/>
      <c r="S852" s="58"/>
    </row>
    <row r="853" spans="2:19" x14ac:dyDescent="0.2">
      <c r="B853" s="213"/>
      <c r="C853" s="213"/>
      <c r="D853" s="213"/>
      <c r="E853" s="213"/>
      <c r="F853" s="213"/>
      <c r="G853" s="525"/>
      <c r="H853" s="213"/>
      <c r="I853" s="213"/>
      <c r="J853" s="213"/>
      <c r="K853" s="213"/>
      <c r="L853" s="213"/>
      <c r="N853" s="525"/>
      <c r="O853" s="525"/>
      <c r="P853" s="525"/>
      <c r="Q853" s="58"/>
      <c r="R853" s="58"/>
      <c r="S853" s="58"/>
    </row>
    <row r="854" spans="2:19" x14ac:dyDescent="0.2">
      <c r="B854" s="213"/>
      <c r="C854" s="213"/>
      <c r="D854" s="213"/>
      <c r="E854" s="213"/>
      <c r="F854" s="213"/>
      <c r="G854" s="525"/>
      <c r="H854" s="213"/>
      <c r="I854" s="213"/>
      <c r="J854" s="213"/>
      <c r="K854" s="213"/>
      <c r="L854" s="213"/>
      <c r="N854" s="525"/>
      <c r="O854" s="525"/>
      <c r="P854" s="525"/>
      <c r="Q854" s="58"/>
      <c r="R854" s="58"/>
      <c r="S854" s="58"/>
    </row>
    <row r="855" spans="2:19" x14ac:dyDescent="0.2">
      <c r="B855" s="213"/>
      <c r="C855" s="213"/>
      <c r="D855" s="213"/>
      <c r="E855" s="213"/>
      <c r="F855" s="213"/>
      <c r="G855" s="525"/>
      <c r="H855" s="213"/>
      <c r="I855" s="213"/>
      <c r="J855" s="213"/>
      <c r="K855" s="213"/>
      <c r="L855" s="213"/>
      <c r="N855" s="525"/>
      <c r="O855" s="525"/>
      <c r="P855" s="525"/>
      <c r="Q855" s="58"/>
      <c r="R855" s="58"/>
      <c r="S855" s="58"/>
    </row>
    <row r="856" spans="2:19" x14ac:dyDescent="0.2">
      <c r="B856" s="213"/>
      <c r="C856" s="213"/>
      <c r="D856" s="213"/>
      <c r="E856" s="213"/>
      <c r="F856" s="213"/>
      <c r="G856" s="525"/>
      <c r="H856" s="213"/>
      <c r="I856" s="213"/>
      <c r="J856" s="213"/>
      <c r="K856" s="213"/>
      <c r="L856" s="213"/>
      <c r="N856" s="525"/>
      <c r="O856" s="525"/>
      <c r="P856" s="525"/>
      <c r="Q856" s="58"/>
      <c r="R856" s="58"/>
      <c r="S856" s="58"/>
    </row>
    <row r="857" spans="2:19" x14ac:dyDescent="0.2">
      <c r="B857" s="213"/>
      <c r="C857" s="213"/>
      <c r="D857" s="213"/>
      <c r="E857" s="213"/>
      <c r="F857" s="213"/>
      <c r="G857" s="525"/>
      <c r="H857" s="213"/>
      <c r="I857" s="213"/>
      <c r="J857" s="213"/>
      <c r="K857" s="213"/>
      <c r="L857" s="213"/>
      <c r="N857" s="525"/>
      <c r="O857" s="525"/>
      <c r="P857" s="525"/>
      <c r="Q857" s="58"/>
      <c r="R857" s="58"/>
      <c r="S857" s="58"/>
    </row>
    <row r="858" spans="2:19" x14ac:dyDescent="0.2">
      <c r="B858" s="213"/>
      <c r="C858" s="213"/>
      <c r="D858" s="213"/>
      <c r="E858" s="213"/>
      <c r="F858" s="213"/>
      <c r="G858" s="525"/>
      <c r="H858" s="213"/>
      <c r="I858" s="213"/>
      <c r="J858" s="213"/>
      <c r="K858" s="213"/>
      <c r="L858" s="213"/>
      <c r="N858" s="525"/>
      <c r="O858" s="525"/>
      <c r="P858" s="525"/>
      <c r="Q858" s="58"/>
      <c r="R858" s="58"/>
      <c r="S858" s="58"/>
    </row>
    <row r="859" spans="2:19" x14ac:dyDescent="0.2">
      <c r="B859" s="213"/>
      <c r="C859" s="213"/>
      <c r="D859" s="213"/>
      <c r="E859" s="213"/>
      <c r="F859" s="213"/>
      <c r="G859" s="525"/>
      <c r="H859" s="213"/>
      <c r="I859" s="213"/>
      <c r="J859" s="213"/>
      <c r="K859" s="213"/>
      <c r="L859" s="213"/>
      <c r="N859" s="525"/>
      <c r="O859" s="525"/>
      <c r="P859" s="525"/>
      <c r="Q859" s="58"/>
      <c r="R859" s="58"/>
      <c r="S859" s="58"/>
    </row>
    <row r="860" spans="2:19" x14ac:dyDescent="0.2">
      <c r="B860" s="213"/>
      <c r="C860" s="213"/>
      <c r="D860" s="213"/>
      <c r="E860" s="213"/>
      <c r="F860" s="213"/>
      <c r="G860" s="525"/>
      <c r="H860" s="213"/>
      <c r="I860" s="213"/>
      <c r="J860" s="213"/>
      <c r="K860" s="213"/>
      <c r="L860" s="213"/>
      <c r="N860" s="525"/>
      <c r="O860" s="525"/>
      <c r="P860" s="525"/>
      <c r="Q860" s="58"/>
      <c r="R860" s="58"/>
      <c r="S860" s="58"/>
    </row>
    <row r="861" spans="2:19" x14ac:dyDescent="0.2">
      <c r="B861" s="213"/>
      <c r="C861" s="213"/>
      <c r="D861" s="213"/>
      <c r="E861" s="213"/>
      <c r="F861" s="213"/>
      <c r="G861" s="525"/>
      <c r="H861" s="213"/>
      <c r="I861" s="213"/>
      <c r="J861" s="213"/>
      <c r="K861" s="213"/>
      <c r="L861" s="213"/>
      <c r="N861" s="525"/>
      <c r="O861" s="525"/>
      <c r="P861" s="525"/>
      <c r="Q861" s="58"/>
      <c r="R861" s="58"/>
      <c r="S861" s="58"/>
    </row>
    <row r="862" spans="2:19" x14ac:dyDescent="0.2">
      <c r="B862" s="213"/>
      <c r="C862" s="213"/>
      <c r="D862" s="213"/>
      <c r="E862" s="213"/>
      <c r="F862" s="213"/>
      <c r="G862" s="525"/>
      <c r="H862" s="213"/>
      <c r="I862" s="213"/>
      <c r="J862" s="213"/>
      <c r="K862" s="213"/>
      <c r="L862" s="213"/>
      <c r="N862" s="525"/>
      <c r="O862" s="525"/>
      <c r="P862" s="525"/>
      <c r="Q862" s="58"/>
      <c r="R862" s="58"/>
      <c r="S862" s="58"/>
    </row>
    <row r="863" spans="2:19" x14ac:dyDescent="0.2">
      <c r="B863" s="213"/>
      <c r="C863" s="213"/>
      <c r="D863" s="213"/>
      <c r="E863" s="213"/>
      <c r="F863" s="213"/>
      <c r="G863" s="525"/>
      <c r="H863" s="213"/>
      <c r="I863" s="213"/>
      <c r="J863" s="213"/>
      <c r="K863" s="213"/>
      <c r="L863" s="213"/>
      <c r="N863" s="525"/>
      <c r="O863" s="525"/>
      <c r="P863" s="525"/>
      <c r="Q863" s="58"/>
      <c r="R863" s="58"/>
      <c r="S863" s="58"/>
    </row>
    <row r="864" spans="2:19" x14ac:dyDescent="0.2">
      <c r="B864" s="213"/>
      <c r="C864" s="213"/>
      <c r="D864" s="213"/>
      <c r="E864" s="213"/>
      <c r="F864" s="213"/>
      <c r="G864" s="525"/>
      <c r="H864" s="213"/>
      <c r="I864" s="213"/>
      <c r="J864" s="213"/>
      <c r="K864" s="213"/>
      <c r="L864" s="213"/>
      <c r="N864" s="525"/>
      <c r="O864" s="525"/>
      <c r="P864" s="525"/>
      <c r="Q864" s="58"/>
      <c r="R864" s="58"/>
      <c r="S864" s="58"/>
    </row>
    <row r="865" spans="2:19" x14ac:dyDescent="0.2">
      <c r="B865" s="213"/>
      <c r="C865" s="213"/>
      <c r="D865" s="213"/>
      <c r="E865" s="213"/>
      <c r="F865" s="213"/>
      <c r="G865" s="525"/>
      <c r="H865" s="213"/>
      <c r="I865" s="213"/>
      <c r="J865" s="213"/>
      <c r="K865" s="213"/>
      <c r="L865" s="213"/>
      <c r="N865" s="525"/>
      <c r="O865" s="525"/>
      <c r="P865" s="525"/>
      <c r="Q865" s="58"/>
      <c r="R865" s="58"/>
      <c r="S865" s="58"/>
    </row>
    <row r="866" spans="2:19" x14ac:dyDescent="0.2">
      <c r="B866" s="213"/>
      <c r="C866" s="213"/>
      <c r="D866" s="213"/>
      <c r="E866" s="213"/>
      <c r="F866" s="213"/>
      <c r="G866" s="525"/>
      <c r="H866" s="213"/>
      <c r="I866" s="213"/>
      <c r="J866" s="213"/>
      <c r="K866" s="213"/>
      <c r="L866" s="213"/>
      <c r="N866" s="525"/>
      <c r="O866" s="525"/>
      <c r="P866" s="525"/>
      <c r="Q866" s="58"/>
      <c r="R866" s="58"/>
      <c r="S866" s="58"/>
    </row>
    <row r="867" spans="2:19" x14ac:dyDescent="0.2">
      <c r="B867" s="213"/>
      <c r="C867" s="213"/>
      <c r="D867" s="213"/>
      <c r="E867" s="213"/>
      <c r="F867" s="213"/>
      <c r="G867" s="525"/>
      <c r="H867" s="213"/>
      <c r="I867" s="213"/>
      <c r="J867" s="213"/>
      <c r="K867" s="213"/>
      <c r="L867" s="213"/>
      <c r="N867" s="525"/>
      <c r="O867" s="525"/>
      <c r="P867" s="525"/>
      <c r="Q867" s="58"/>
      <c r="R867" s="58"/>
      <c r="S867" s="58"/>
    </row>
    <row r="868" spans="2:19" x14ac:dyDescent="0.2">
      <c r="B868" s="213"/>
      <c r="C868" s="213"/>
      <c r="D868" s="213"/>
      <c r="E868" s="213"/>
      <c r="F868" s="213"/>
      <c r="G868" s="525"/>
      <c r="H868" s="213"/>
      <c r="I868" s="213"/>
      <c r="J868" s="213"/>
      <c r="K868" s="213"/>
      <c r="L868" s="213"/>
      <c r="N868" s="525"/>
      <c r="O868" s="525"/>
      <c r="P868" s="525"/>
      <c r="Q868" s="58"/>
      <c r="R868" s="58"/>
      <c r="S868" s="58"/>
    </row>
    <row r="869" spans="2:19" x14ac:dyDescent="0.2">
      <c r="B869" s="213"/>
      <c r="C869" s="213"/>
      <c r="D869" s="213"/>
      <c r="E869" s="213"/>
      <c r="F869" s="213"/>
      <c r="G869" s="525"/>
      <c r="H869" s="213"/>
      <c r="I869" s="213"/>
      <c r="J869" s="213"/>
      <c r="K869" s="213"/>
      <c r="L869" s="213"/>
      <c r="N869" s="525"/>
      <c r="O869" s="525"/>
      <c r="P869" s="525"/>
      <c r="Q869" s="58"/>
      <c r="R869" s="58"/>
      <c r="S869" s="58"/>
    </row>
    <row r="870" spans="2:19" x14ac:dyDescent="0.2">
      <c r="B870" s="213"/>
      <c r="C870" s="213"/>
      <c r="D870" s="213"/>
      <c r="E870" s="213"/>
      <c r="F870" s="213"/>
      <c r="G870" s="525"/>
      <c r="H870" s="213"/>
      <c r="I870" s="213"/>
      <c r="J870" s="213"/>
      <c r="K870" s="213"/>
      <c r="L870" s="213"/>
      <c r="N870" s="525"/>
      <c r="O870" s="525"/>
      <c r="P870" s="525"/>
      <c r="Q870" s="58"/>
      <c r="R870" s="58"/>
      <c r="S870" s="58"/>
    </row>
    <row r="871" spans="2:19" x14ac:dyDescent="0.2">
      <c r="B871" s="213"/>
      <c r="C871" s="213"/>
      <c r="D871" s="213"/>
      <c r="E871" s="213"/>
      <c r="F871" s="213"/>
      <c r="G871" s="525"/>
      <c r="H871" s="213"/>
      <c r="I871" s="213"/>
      <c r="J871" s="213"/>
      <c r="K871" s="213"/>
      <c r="L871" s="213"/>
      <c r="N871" s="525"/>
      <c r="O871" s="525"/>
      <c r="P871" s="525"/>
      <c r="Q871" s="58"/>
      <c r="R871" s="58"/>
      <c r="S871" s="58"/>
    </row>
    <row r="872" spans="2:19" x14ac:dyDescent="0.2">
      <c r="B872" s="213"/>
      <c r="C872" s="213"/>
      <c r="D872" s="213"/>
      <c r="E872" s="213"/>
      <c r="F872" s="213"/>
      <c r="G872" s="525"/>
      <c r="H872" s="213"/>
      <c r="I872" s="213"/>
      <c r="J872" s="213"/>
      <c r="K872" s="213"/>
      <c r="L872" s="213"/>
      <c r="N872" s="525"/>
      <c r="O872" s="525"/>
      <c r="P872" s="525"/>
      <c r="Q872" s="58"/>
      <c r="R872" s="58"/>
      <c r="S872" s="58"/>
    </row>
    <row r="873" spans="2:19" x14ac:dyDescent="0.2">
      <c r="B873" s="213"/>
      <c r="C873" s="213"/>
      <c r="D873" s="213"/>
      <c r="E873" s="213"/>
      <c r="F873" s="213"/>
      <c r="G873" s="525"/>
      <c r="H873" s="213"/>
      <c r="I873" s="213"/>
      <c r="J873" s="213"/>
      <c r="K873" s="213"/>
      <c r="L873" s="213"/>
      <c r="N873" s="525"/>
      <c r="O873" s="525"/>
      <c r="P873" s="525"/>
      <c r="Q873" s="58"/>
      <c r="R873" s="58"/>
      <c r="S873" s="58"/>
    </row>
    <row r="874" spans="2:19" x14ac:dyDescent="0.2">
      <c r="B874" s="213"/>
      <c r="C874" s="213"/>
      <c r="D874" s="213"/>
      <c r="E874" s="213"/>
      <c r="F874" s="213"/>
      <c r="G874" s="525"/>
      <c r="H874" s="213"/>
      <c r="I874" s="213"/>
      <c r="J874" s="213"/>
      <c r="K874" s="213"/>
      <c r="L874" s="213"/>
      <c r="N874" s="525"/>
      <c r="O874" s="525"/>
      <c r="P874" s="525"/>
      <c r="Q874" s="58"/>
      <c r="R874" s="58"/>
      <c r="S874" s="58"/>
    </row>
    <row r="875" spans="2:19" x14ac:dyDescent="0.2">
      <c r="B875" s="213"/>
      <c r="C875" s="213"/>
      <c r="D875" s="213"/>
      <c r="E875" s="213"/>
      <c r="F875" s="213"/>
      <c r="G875" s="525"/>
      <c r="H875" s="213"/>
      <c r="I875" s="213"/>
      <c r="J875" s="213"/>
      <c r="K875" s="213"/>
      <c r="L875" s="213"/>
      <c r="N875" s="525"/>
      <c r="O875" s="525"/>
      <c r="P875" s="525"/>
      <c r="Q875" s="58"/>
      <c r="R875" s="58"/>
      <c r="S875" s="58"/>
    </row>
    <row r="876" spans="2:19" x14ac:dyDescent="0.2">
      <c r="B876" s="213"/>
      <c r="C876" s="213"/>
      <c r="D876" s="213"/>
      <c r="E876" s="213"/>
      <c r="F876" s="213"/>
      <c r="G876" s="525"/>
      <c r="H876" s="213"/>
      <c r="I876" s="213"/>
      <c r="J876" s="213"/>
      <c r="K876" s="213"/>
      <c r="L876" s="213"/>
      <c r="N876" s="525"/>
      <c r="O876" s="525"/>
      <c r="P876" s="525"/>
      <c r="Q876" s="58"/>
      <c r="R876" s="58"/>
      <c r="S876" s="58"/>
    </row>
    <row r="877" spans="2:19" x14ac:dyDescent="0.2">
      <c r="B877" s="213"/>
      <c r="C877" s="213"/>
      <c r="D877" s="213"/>
      <c r="E877" s="213"/>
      <c r="F877" s="213"/>
      <c r="G877" s="525"/>
      <c r="H877" s="213"/>
      <c r="I877" s="213"/>
      <c r="J877" s="213"/>
      <c r="K877" s="213"/>
      <c r="L877" s="213"/>
      <c r="N877" s="525"/>
      <c r="O877" s="525"/>
      <c r="P877" s="525"/>
      <c r="Q877" s="58"/>
      <c r="R877" s="58"/>
      <c r="S877" s="58"/>
    </row>
    <row r="878" spans="2:19" x14ac:dyDescent="0.2">
      <c r="B878" s="213"/>
      <c r="C878" s="213"/>
      <c r="D878" s="213"/>
      <c r="E878" s="213"/>
      <c r="F878" s="213"/>
      <c r="G878" s="525"/>
      <c r="H878" s="213"/>
      <c r="I878" s="213"/>
      <c r="J878" s="213"/>
      <c r="K878" s="213"/>
      <c r="L878" s="213"/>
      <c r="N878" s="525"/>
      <c r="O878" s="525"/>
      <c r="P878" s="525"/>
      <c r="Q878" s="58"/>
      <c r="R878" s="58"/>
      <c r="S878" s="58"/>
    </row>
    <row r="879" spans="2:19" x14ac:dyDescent="0.2">
      <c r="B879" s="213"/>
      <c r="C879" s="213"/>
      <c r="D879" s="213"/>
      <c r="E879" s="213"/>
      <c r="F879" s="213"/>
      <c r="G879" s="525"/>
      <c r="H879" s="213"/>
      <c r="I879" s="213"/>
      <c r="J879" s="213"/>
      <c r="K879" s="213"/>
      <c r="L879" s="213"/>
      <c r="N879" s="525"/>
      <c r="O879" s="525"/>
      <c r="P879" s="525"/>
      <c r="Q879" s="58"/>
      <c r="R879" s="58"/>
      <c r="S879" s="58"/>
    </row>
    <row r="880" spans="2:19" x14ac:dyDescent="0.2">
      <c r="B880" s="213"/>
      <c r="C880" s="213"/>
      <c r="D880" s="213"/>
      <c r="E880" s="213"/>
      <c r="F880" s="213"/>
      <c r="G880" s="525"/>
      <c r="H880" s="213"/>
      <c r="I880" s="213"/>
      <c r="J880" s="213"/>
      <c r="K880" s="213"/>
      <c r="L880" s="213"/>
      <c r="N880" s="525"/>
      <c r="O880" s="525"/>
      <c r="P880" s="525"/>
      <c r="Q880" s="58"/>
      <c r="R880" s="58"/>
      <c r="S880" s="58"/>
    </row>
    <row r="881" spans="2:19" x14ac:dyDescent="0.2">
      <c r="B881" s="213"/>
      <c r="C881" s="213"/>
      <c r="D881" s="213"/>
      <c r="E881" s="213"/>
      <c r="F881" s="213"/>
      <c r="G881" s="525"/>
      <c r="H881" s="213"/>
      <c r="I881" s="213"/>
      <c r="J881" s="213"/>
      <c r="K881" s="213"/>
      <c r="L881" s="213"/>
      <c r="N881" s="525"/>
      <c r="O881" s="525"/>
      <c r="P881" s="525"/>
      <c r="Q881" s="58"/>
      <c r="R881" s="58"/>
      <c r="S881" s="58"/>
    </row>
    <row r="882" spans="2:19" x14ac:dyDescent="0.2">
      <c r="B882" s="213"/>
      <c r="C882" s="213"/>
      <c r="D882" s="213"/>
      <c r="E882" s="213"/>
      <c r="F882" s="213"/>
      <c r="G882" s="525"/>
      <c r="H882" s="213"/>
      <c r="I882" s="213"/>
      <c r="J882" s="213"/>
      <c r="K882" s="213"/>
      <c r="L882" s="213"/>
      <c r="N882" s="525"/>
      <c r="O882" s="525"/>
      <c r="P882" s="525"/>
      <c r="Q882" s="58"/>
      <c r="R882" s="58"/>
      <c r="S882" s="58"/>
    </row>
    <row r="883" spans="2:19" x14ac:dyDescent="0.2">
      <c r="B883" s="213"/>
      <c r="C883" s="213"/>
      <c r="D883" s="213"/>
      <c r="E883" s="213"/>
      <c r="F883" s="213"/>
      <c r="G883" s="525"/>
      <c r="H883" s="213"/>
      <c r="I883" s="213"/>
      <c r="J883" s="213"/>
      <c r="K883" s="213"/>
      <c r="L883" s="213"/>
      <c r="N883" s="525"/>
      <c r="O883" s="525"/>
      <c r="P883" s="525"/>
      <c r="Q883" s="58"/>
      <c r="R883" s="58"/>
      <c r="S883" s="58"/>
    </row>
    <row r="884" spans="2:19" x14ac:dyDescent="0.2">
      <c r="B884" s="213"/>
      <c r="C884" s="213"/>
      <c r="D884" s="213"/>
      <c r="E884" s="213"/>
      <c r="F884" s="213"/>
      <c r="G884" s="525"/>
      <c r="H884" s="213"/>
      <c r="I884" s="213"/>
      <c r="J884" s="213"/>
      <c r="K884" s="213"/>
      <c r="L884" s="213"/>
      <c r="N884" s="525"/>
      <c r="O884" s="525"/>
      <c r="P884" s="525"/>
      <c r="Q884" s="58"/>
      <c r="R884" s="58"/>
      <c r="S884" s="58"/>
    </row>
    <row r="885" spans="2:19" x14ac:dyDescent="0.2">
      <c r="B885" s="213"/>
      <c r="C885" s="213"/>
      <c r="D885" s="213"/>
      <c r="E885" s="213"/>
      <c r="F885" s="213"/>
      <c r="G885" s="525"/>
      <c r="H885" s="213"/>
      <c r="I885" s="213"/>
      <c r="J885" s="213"/>
      <c r="K885" s="213"/>
      <c r="L885" s="213"/>
      <c r="N885" s="525"/>
      <c r="O885" s="525"/>
      <c r="P885" s="525"/>
      <c r="Q885" s="58"/>
      <c r="R885" s="58"/>
      <c r="S885" s="58"/>
    </row>
    <row r="886" spans="2:19" x14ac:dyDescent="0.2">
      <c r="B886" s="213"/>
      <c r="C886" s="213"/>
      <c r="D886" s="213"/>
      <c r="E886" s="213"/>
      <c r="F886" s="213"/>
      <c r="G886" s="525"/>
      <c r="H886" s="213"/>
      <c r="I886" s="213"/>
      <c r="J886" s="213"/>
      <c r="K886" s="213"/>
      <c r="L886" s="213"/>
      <c r="N886" s="525"/>
      <c r="O886" s="525"/>
      <c r="P886" s="525"/>
      <c r="Q886" s="58"/>
      <c r="R886" s="58"/>
      <c r="S886" s="58"/>
    </row>
    <row r="887" spans="2:19" x14ac:dyDescent="0.2">
      <c r="B887" s="213"/>
      <c r="C887" s="213"/>
      <c r="D887" s="213"/>
      <c r="E887" s="213"/>
      <c r="F887" s="213"/>
      <c r="G887" s="525"/>
      <c r="H887" s="213"/>
      <c r="I887" s="213"/>
      <c r="J887" s="213"/>
      <c r="K887" s="213"/>
      <c r="L887" s="213"/>
      <c r="N887" s="525"/>
      <c r="O887" s="525"/>
      <c r="P887" s="525"/>
      <c r="Q887" s="58"/>
      <c r="R887" s="58"/>
      <c r="S887" s="58"/>
    </row>
    <row r="888" spans="2:19" x14ac:dyDescent="0.2">
      <c r="B888" s="213"/>
      <c r="C888" s="213"/>
      <c r="D888" s="213"/>
      <c r="E888" s="213"/>
      <c r="F888" s="213"/>
      <c r="G888" s="525"/>
      <c r="H888" s="213"/>
      <c r="I888" s="213"/>
      <c r="J888" s="213"/>
      <c r="K888" s="213"/>
      <c r="L888" s="213"/>
      <c r="N888" s="525"/>
      <c r="O888" s="525"/>
      <c r="P888" s="525"/>
      <c r="Q888" s="58"/>
      <c r="R888" s="58"/>
      <c r="S888" s="58"/>
    </row>
    <row r="889" spans="2:19" x14ac:dyDescent="0.2">
      <c r="B889" s="213"/>
      <c r="C889" s="213"/>
      <c r="D889" s="213"/>
      <c r="E889" s="213"/>
      <c r="F889" s="213"/>
      <c r="G889" s="525"/>
      <c r="H889" s="213"/>
      <c r="I889" s="213"/>
      <c r="J889" s="213"/>
      <c r="K889" s="213"/>
      <c r="L889" s="213"/>
      <c r="N889" s="525"/>
      <c r="O889" s="525"/>
      <c r="P889" s="525"/>
      <c r="Q889" s="58"/>
      <c r="R889" s="58"/>
      <c r="S889" s="58"/>
    </row>
    <row r="890" spans="2:19" x14ac:dyDescent="0.2">
      <c r="B890" s="213"/>
      <c r="C890" s="213"/>
      <c r="D890" s="213"/>
      <c r="E890" s="213"/>
      <c r="F890" s="213"/>
      <c r="G890" s="525"/>
      <c r="H890" s="213"/>
      <c r="I890" s="213"/>
      <c r="J890" s="213"/>
      <c r="K890" s="213"/>
      <c r="L890" s="213"/>
      <c r="N890" s="525"/>
      <c r="O890" s="525"/>
      <c r="P890" s="525"/>
      <c r="Q890" s="58"/>
      <c r="R890" s="58"/>
      <c r="S890" s="58"/>
    </row>
    <row r="891" spans="2:19" x14ac:dyDescent="0.2">
      <c r="B891" s="213"/>
      <c r="C891" s="213"/>
      <c r="D891" s="213"/>
      <c r="E891" s="213"/>
      <c r="F891" s="213"/>
      <c r="G891" s="525"/>
      <c r="H891" s="213"/>
      <c r="I891" s="213"/>
      <c r="J891" s="213"/>
      <c r="K891" s="213"/>
      <c r="L891" s="213"/>
      <c r="N891" s="525"/>
      <c r="O891" s="525"/>
      <c r="P891" s="525"/>
      <c r="Q891" s="58"/>
      <c r="R891" s="58"/>
      <c r="S891" s="58"/>
    </row>
    <row r="892" spans="2:19" x14ac:dyDescent="0.2">
      <c r="B892" s="213"/>
      <c r="C892" s="213"/>
      <c r="D892" s="213"/>
      <c r="E892" s="213"/>
      <c r="F892" s="213"/>
      <c r="G892" s="525"/>
      <c r="H892" s="213"/>
      <c r="I892" s="213"/>
      <c r="J892" s="213"/>
      <c r="K892" s="213"/>
      <c r="L892" s="213"/>
      <c r="N892" s="525"/>
      <c r="O892" s="525"/>
      <c r="P892" s="525"/>
      <c r="Q892" s="58"/>
      <c r="R892" s="58"/>
      <c r="S892" s="58"/>
    </row>
    <row r="893" spans="2:19" x14ac:dyDescent="0.2">
      <c r="B893" s="213"/>
      <c r="C893" s="213"/>
      <c r="D893" s="213"/>
      <c r="E893" s="213"/>
      <c r="F893" s="213"/>
      <c r="G893" s="525"/>
      <c r="H893" s="213"/>
      <c r="I893" s="213"/>
      <c r="J893" s="213"/>
      <c r="K893" s="213"/>
      <c r="L893" s="213"/>
      <c r="N893" s="525"/>
      <c r="O893" s="525"/>
      <c r="P893" s="525"/>
      <c r="Q893" s="58"/>
      <c r="R893" s="58"/>
      <c r="S893" s="58"/>
    </row>
    <row r="894" spans="2:19" x14ac:dyDescent="0.2">
      <c r="B894" s="213"/>
      <c r="C894" s="213"/>
      <c r="D894" s="213"/>
      <c r="E894" s="213"/>
      <c r="F894" s="213"/>
      <c r="G894" s="525"/>
      <c r="H894" s="213"/>
      <c r="I894" s="213"/>
      <c r="J894" s="213"/>
      <c r="K894" s="213"/>
      <c r="L894" s="213"/>
      <c r="N894" s="525"/>
      <c r="O894" s="525"/>
      <c r="P894" s="525"/>
      <c r="Q894" s="58"/>
      <c r="R894" s="58"/>
      <c r="S894" s="58"/>
    </row>
    <row r="895" spans="2:19" x14ac:dyDescent="0.2">
      <c r="B895" s="213"/>
      <c r="C895" s="213"/>
      <c r="D895" s="213"/>
      <c r="E895" s="213"/>
      <c r="F895" s="213"/>
      <c r="G895" s="525"/>
      <c r="H895" s="213"/>
      <c r="I895" s="213"/>
      <c r="J895" s="213"/>
      <c r="K895" s="213"/>
      <c r="L895" s="213"/>
      <c r="N895" s="525"/>
      <c r="O895" s="525"/>
      <c r="P895" s="525"/>
      <c r="Q895" s="58"/>
      <c r="R895" s="58"/>
      <c r="S895" s="58"/>
    </row>
    <row r="896" spans="2:19" x14ac:dyDescent="0.2">
      <c r="B896" s="213"/>
      <c r="C896" s="213"/>
      <c r="D896" s="213"/>
      <c r="E896" s="213"/>
      <c r="F896" s="213"/>
      <c r="G896" s="525"/>
      <c r="H896" s="213"/>
      <c r="I896" s="213"/>
      <c r="J896" s="213"/>
      <c r="K896" s="213"/>
      <c r="L896" s="213"/>
      <c r="N896" s="525"/>
      <c r="O896" s="525"/>
      <c r="P896" s="525"/>
      <c r="Q896" s="58"/>
      <c r="R896" s="58"/>
      <c r="S896" s="58"/>
    </row>
    <row r="897" spans="2:19" x14ac:dyDescent="0.2">
      <c r="B897" s="213"/>
      <c r="C897" s="213"/>
      <c r="D897" s="213"/>
      <c r="E897" s="213"/>
      <c r="F897" s="213"/>
      <c r="G897" s="525"/>
      <c r="H897" s="213"/>
      <c r="I897" s="213"/>
      <c r="J897" s="213"/>
      <c r="K897" s="213"/>
      <c r="L897" s="213"/>
      <c r="N897" s="525"/>
      <c r="O897" s="525"/>
      <c r="P897" s="525"/>
      <c r="Q897" s="58"/>
      <c r="R897" s="58"/>
      <c r="S897" s="58"/>
    </row>
    <row r="898" spans="2:19" x14ac:dyDescent="0.2">
      <c r="B898" s="213"/>
      <c r="C898" s="213"/>
      <c r="D898" s="213"/>
      <c r="E898" s="213"/>
      <c r="F898" s="213"/>
      <c r="G898" s="525"/>
      <c r="H898" s="213"/>
      <c r="I898" s="213"/>
      <c r="J898" s="213"/>
      <c r="K898" s="213"/>
      <c r="L898" s="213"/>
      <c r="N898" s="525"/>
      <c r="O898" s="525"/>
      <c r="P898" s="525"/>
      <c r="Q898" s="58"/>
      <c r="R898" s="58"/>
      <c r="S898" s="58"/>
    </row>
    <row r="899" spans="2:19" x14ac:dyDescent="0.2">
      <c r="B899" s="213"/>
      <c r="C899" s="213"/>
      <c r="D899" s="213"/>
      <c r="E899" s="213"/>
      <c r="F899" s="213"/>
      <c r="G899" s="525"/>
      <c r="H899" s="213"/>
      <c r="I899" s="213"/>
      <c r="J899" s="213"/>
      <c r="K899" s="213"/>
      <c r="L899" s="213"/>
      <c r="N899" s="525"/>
      <c r="O899" s="525"/>
      <c r="P899" s="525"/>
      <c r="Q899" s="58"/>
      <c r="R899" s="58"/>
      <c r="S899" s="58"/>
    </row>
    <row r="900" spans="2:19" x14ac:dyDescent="0.2">
      <c r="B900" s="213"/>
      <c r="C900" s="213"/>
      <c r="D900" s="213"/>
      <c r="E900" s="213"/>
      <c r="F900" s="213"/>
      <c r="G900" s="525"/>
      <c r="H900" s="213"/>
      <c r="I900" s="213"/>
      <c r="J900" s="213"/>
      <c r="K900" s="213"/>
      <c r="L900" s="213"/>
      <c r="N900" s="525"/>
      <c r="O900" s="525"/>
      <c r="P900" s="525"/>
      <c r="Q900" s="58"/>
      <c r="R900" s="58"/>
      <c r="S900" s="58"/>
    </row>
    <row r="901" spans="2:19" x14ac:dyDescent="0.2">
      <c r="B901" s="213"/>
      <c r="C901" s="213"/>
      <c r="D901" s="213"/>
      <c r="E901" s="213"/>
      <c r="F901" s="213"/>
      <c r="G901" s="525"/>
      <c r="H901" s="213"/>
      <c r="I901" s="213"/>
      <c r="J901" s="213"/>
      <c r="K901" s="213"/>
      <c r="L901" s="213"/>
      <c r="N901" s="525"/>
      <c r="O901" s="525"/>
      <c r="P901" s="525"/>
      <c r="Q901" s="58"/>
      <c r="R901" s="58"/>
      <c r="S901" s="58"/>
    </row>
    <row r="902" spans="2:19" x14ac:dyDescent="0.2">
      <c r="B902" s="213"/>
      <c r="C902" s="213"/>
      <c r="D902" s="213"/>
      <c r="E902" s="213"/>
      <c r="F902" s="213"/>
      <c r="G902" s="525"/>
      <c r="H902" s="213"/>
      <c r="I902" s="213"/>
      <c r="J902" s="213"/>
      <c r="K902" s="213"/>
      <c r="L902" s="213"/>
      <c r="N902" s="525"/>
      <c r="O902" s="525"/>
      <c r="P902" s="525"/>
      <c r="Q902" s="58"/>
      <c r="R902" s="58"/>
      <c r="S902" s="58"/>
    </row>
    <row r="903" spans="2:19" x14ac:dyDescent="0.2">
      <c r="B903" s="213"/>
      <c r="C903" s="213"/>
      <c r="D903" s="213"/>
      <c r="E903" s="213"/>
      <c r="F903" s="213"/>
      <c r="G903" s="525"/>
      <c r="H903" s="213"/>
      <c r="I903" s="213"/>
      <c r="J903" s="213"/>
      <c r="K903" s="213"/>
      <c r="L903" s="213"/>
      <c r="N903" s="525"/>
      <c r="O903" s="525"/>
      <c r="P903" s="525"/>
      <c r="Q903" s="58"/>
      <c r="R903" s="58"/>
      <c r="S903" s="58"/>
    </row>
    <row r="904" spans="2:19" x14ac:dyDescent="0.2">
      <c r="B904" s="213"/>
      <c r="C904" s="213"/>
      <c r="D904" s="213"/>
      <c r="E904" s="213"/>
      <c r="F904" s="213"/>
      <c r="G904" s="525"/>
      <c r="H904" s="213"/>
      <c r="I904" s="213"/>
      <c r="J904" s="213"/>
      <c r="K904" s="213"/>
      <c r="L904" s="213"/>
      <c r="N904" s="525"/>
      <c r="O904" s="525"/>
      <c r="P904" s="525"/>
      <c r="Q904" s="58"/>
      <c r="R904" s="58"/>
      <c r="S904" s="58"/>
    </row>
    <row r="905" spans="2:19" x14ac:dyDescent="0.2">
      <c r="B905" s="213"/>
      <c r="C905" s="213"/>
      <c r="D905" s="213"/>
      <c r="E905" s="213"/>
      <c r="F905" s="213"/>
      <c r="G905" s="525"/>
      <c r="H905" s="213"/>
      <c r="I905" s="213"/>
      <c r="J905" s="213"/>
      <c r="K905" s="213"/>
      <c r="L905" s="213"/>
      <c r="N905" s="525"/>
      <c r="O905" s="525"/>
      <c r="P905" s="525"/>
      <c r="Q905" s="58"/>
      <c r="R905" s="58"/>
      <c r="S905" s="58"/>
    </row>
    <row r="906" spans="2:19" x14ac:dyDescent="0.2">
      <c r="B906" s="213"/>
      <c r="C906" s="213"/>
      <c r="D906" s="213"/>
      <c r="E906" s="213"/>
      <c r="F906" s="213"/>
      <c r="G906" s="525"/>
      <c r="H906" s="213"/>
      <c r="I906" s="213"/>
      <c r="J906" s="213"/>
      <c r="K906" s="213"/>
      <c r="L906" s="213"/>
      <c r="N906" s="525"/>
      <c r="O906" s="525"/>
      <c r="P906" s="525"/>
      <c r="Q906" s="58"/>
      <c r="R906" s="58"/>
      <c r="S906" s="58"/>
    </row>
    <row r="907" spans="2:19" x14ac:dyDescent="0.2">
      <c r="B907" s="213"/>
      <c r="C907" s="213"/>
      <c r="D907" s="213"/>
      <c r="E907" s="213"/>
      <c r="F907" s="213"/>
      <c r="G907" s="525"/>
      <c r="H907" s="213"/>
      <c r="I907" s="213"/>
      <c r="J907" s="213"/>
      <c r="K907" s="213"/>
      <c r="L907" s="213"/>
      <c r="N907" s="525"/>
      <c r="O907" s="525"/>
      <c r="P907" s="525"/>
      <c r="Q907" s="58"/>
      <c r="R907" s="58"/>
      <c r="S907" s="58"/>
    </row>
    <row r="908" spans="2:19" x14ac:dyDescent="0.2">
      <c r="B908" s="213"/>
      <c r="C908" s="213"/>
      <c r="D908" s="213"/>
      <c r="E908" s="213"/>
      <c r="F908" s="213"/>
      <c r="G908" s="525"/>
      <c r="H908" s="213"/>
      <c r="I908" s="213"/>
      <c r="J908" s="213"/>
      <c r="K908" s="213"/>
      <c r="L908" s="213"/>
      <c r="N908" s="525"/>
      <c r="O908" s="525"/>
      <c r="P908" s="525"/>
      <c r="Q908" s="58"/>
      <c r="R908" s="58"/>
      <c r="S908" s="58"/>
    </row>
    <row r="909" spans="2:19" x14ac:dyDescent="0.2">
      <c r="B909" s="213"/>
      <c r="C909" s="213"/>
      <c r="D909" s="213"/>
      <c r="E909" s="213"/>
      <c r="F909" s="213"/>
      <c r="G909" s="525"/>
      <c r="H909" s="213"/>
      <c r="I909" s="213"/>
      <c r="J909" s="213"/>
      <c r="K909" s="213"/>
      <c r="L909" s="213"/>
      <c r="N909" s="525"/>
      <c r="O909" s="525"/>
      <c r="P909" s="525"/>
      <c r="Q909" s="58"/>
      <c r="R909" s="58"/>
      <c r="S909" s="58"/>
    </row>
    <row r="910" spans="2:19" x14ac:dyDescent="0.2">
      <c r="B910" s="213"/>
      <c r="C910" s="213"/>
      <c r="D910" s="213"/>
      <c r="E910" s="213"/>
      <c r="F910" s="213"/>
      <c r="G910" s="525"/>
      <c r="H910" s="213"/>
      <c r="I910" s="213"/>
      <c r="J910" s="213"/>
      <c r="K910" s="213"/>
      <c r="L910" s="213"/>
      <c r="N910" s="525"/>
      <c r="O910" s="525"/>
      <c r="P910" s="525"/>
      <c r="Q910" s="58"/>
      <c r="R910" s="58"/>
      <c r="S910" s="58"/>
    </row>
    <row r="911" spans="2:19" x14ac:dyDescent="0.2">
      <c r="B911" s="213"/>
      <c r="C911" s="213"/>
      <c r="D911" s="213"/>
      <c r="E911" s="213"/>
      <c r="F911" s="213"/>
      <c r="G911" s="525"/>
      <c r="H911" s="213"/>
      <c r="I911" s="213"/>
      <c r="J911" s="213"/>
      <c r="K911" s="213"/>
      <c r="L911" s="213"/>
      <c r="N911" s="525"/>
      <c r="O911" s="525"/>
      <c r="P911" s="525"/>
      <c r="Q911" s="58"/>
      <c r="R911" s="58"/>
      <c r="S911" s="58"/>
    </row>
    <row r="912" spans="2:19" x14ac:dyDescent="0.2">
      <c r="B912" s="213"/>
      <c r="C912" s="213"/>
      <c r="D912" s="213"/>
      <c r="E912" s="213"/>
      <c r="F912" s="213"/>
      <c r="G912" s="525"/>
      <c r="H912" s="213"/>
      <c r="I912" s="213"/>
      <c r="J912" s="213"/>
      <c r="K912" s="213"/>
      <c r="L912" s="213"/>
      <c r="N912" s="525"/>
      <c r="O912" s="525"/>
      <c r="P912" s="525"/>
      <c r="Q912" s="58"/>
      <c r="R912" s="58"/>
      <c r="S912" s="58"/>
    </row>
    <row r="913" spans="2:19" x14ac:dyDescent="0.2">
      <c r="B913" s="213"/>
      <c r="C913" s="213"/>
      <c r="D913" s="213"/>
      <c r="E913" s="213"/>
      <c r="F913" s="213"/>
      <c r="G913" s="525"/>
      <c r="H913" s="213"/>
      <c r="I913" s="213"/>
      <c r="J913" s="213"/>
      <c r="K913" s="213"/>
      <c r="L913" s="213"/>
      <c r="N913" s="525"/>
      <c r="O913" s="525"/>
      <c r="P913" s="525"/>
      <c r="Q913" s="58"/>
      <c r="R913" s="58"/>
      <c r="S913" s="58"/>
    </row>
    <row r="914" spans="2:19" x14ac:dyDescent="0.2">
      <c r="B914" s="213"/>
      <c r="C914" s="213"/>
      <c r="D914" s="213"/>
      <c r="E914" s="213"/>
      <c r="F914" s="213"/>
      <c r="G914" s="525"/>
      <c r="H914" s="213"/>
      <c r="I914" s="213"/>
      <c r="J914" s="213"/>
      <c r="K914" s="213"/>
      <c r="L914" s="213"/>
      <c r="N914" s="525"/>
      <c r="O914" s="525"/>
      <c r="P914" s="525"/>
      <c r="Q914" s="58"/>
      <c r="R914" s="58"/>
      <c r="S914" s="58"/>
    </row>
    <row r="915" spans="2:19" x14ac:dyDescent="0.2">
      <c r="B915" s="213"/>
      <c r="C915" s="213"/>
      <c r="D915" s="213"/>
      <c r="E915" s="213"/>
      <c r="F915" s="213"/>
      <c r="G915" s="525"/>
      <c r="H915" s="213"/>
      <c r="I915" s="213"/>
      <c r="J915" s="213"/>
      <c r="K915" s="213"/>
      <c r="L915" s="213"/>
      <c r="N915" s="525"/>
      <c r="O915" s="525"/>
      <c r="P915" s="525"/>
      <c r="Q915" s="58"/>
      <c r="R915" s="58"/>
      <c r="S915" s="58"/>
    </row>
    <row r="916" spans="2:19" x14ac:dyDescent="0.2">
      <c r="B916" s="213"/>
      <c r="C916" s="213"/>
      <c r="D916" s="213"/>
      <c r="E916" s="213"/>
      <c r="F916" s="213"/>
      <c r="G916" s="525"/>
      <c r="H916" s="213"/>
      <c r="I916" s="213"/>
      <c r="J916" s="213"/>
      <c r="K916" s="213"/>
      <c r="L916" s="213"/>
      <c r="N916" s="525"/>
      <c r="O916" s="525"/>
      <c r="P916" s="525"/>
      <c r="Q916" s="58"/>
      <c r="R916" s="58"/>
      <c r="S916" s="58"/>
    </row>
    <row r="917" spans="2:19" x14ac:dyDescent="0.2">
      <c r="B917" s="213"/>
      <c r="C917" s="213"/>
      <c r="D917" s="213"/>
      <c r="E917" s="213"/>
      <c r="F917" s="213"/>
      <c r="G917" s="525"/>
      <c r="H917" s="213"/>
      <c r="I917" s="213"/>
      <c r="J917" s="213"/>
      <c r="K917" s="213"/>
      <c r="L917" s="213"/>
      <c r="N917" s="525"/>
      <c r="O917" s="525"/>
      <c r="P917" s="525"/>
      <c r="Q917" s="58"/>
      <c r="R917" s="58"/>
      <c r="S917" s="58"/>
    </row>
    <row r="918" spans="2:19" x14ac:dyDescent="0.2">
      <c r="B918" s="213"/>
      <c r="C918" s="213"/>
      <c r="D918" s="213"/>
      <c r="E918" s="213"/>
      <c r="F918" s="213"/>
      <c r="G918" s="525"/>
      <c r="H918" s="213"/>
      <c r="I918" s="213"/>
      <c r="J918" s="213"/>
      <c r="K918" s="213"/>
      <c r="L918" s="213"/>
      <c r="N918" s="525"/>
      <c r="O918" s="525"/>
      <c r="P918" s="525"/>
      <c r="Q918" s="58"/>
      <c r="R918" s="58"/>
      <c r="S918" s="58"/>
    </row>
    <row r="919" spans="2:19" x14ac:dyDescent="0.2">
      <c r="B919" s="213"/>
      <c r="C919" s="213"/>
      <c r="D919" s="213"/>
      <c r="E919" s="213"/>
      <c r="F919" s="213"/>
      <c r="G919" s="525"/>
      <c r="H919" s="213"/>
      <c r="I919" s="213"/>
      <c r="J919" s="213"/>
      <c r="K919" s="213"/>
      <c r="L919" s="213"/>
      <c r="N919" s="525"/>
      <c r="O919" s="525"/>
      <c r="P919" s="525"/>
      <c r="Q919" s="58"/>
      <c r="R919" s="58"/>
      <c r="S919" s="58"/>
    </row>
    <row r="920" spans="2:19" x14ac:dyDescent="0.2">
      <c r="B920" s="213"/>
      <c r="C920" s="213"/>
      <c r="D920" s="213"/>
      <c r="E920" s="213"/>
      <c r="F920" s="213"/>
      <c r="G920" s="525"/>
      <c r="H920" s="213"/>
      <c r="I920" s="213"/>
      <c r="J920" s="213"/>
      <c r="K920" s="213"/>
      <c r="L920" s="213"/>
      <c r="N920" s="525"/>
      <c r="O920" s="525"/>
      <c r="P920" s="525"/>
      <c r="Q920" s="58"/>
      <c r="R920" s="58"/>
      <c r="S920" s="58"/>
    </row>
    <row r="921" spans="2:19" x14ac:dyDescent="0.2">
      <c r="B921" s="213"/>
      <c r="C921" s="213"/>
      <c r="D921" s="213"/>
      <c r="E921" s="213"/>
      <c r="F921" s="213"/>
      <c r="G921" s="525"/>
      <c r="H921" s="213"/>
      <c r="I921" s="213"/>
      <c r="J921" s="213"/>
      <c r="K921" s="213"/>
      <c r="L921" s="213"/>
      <c r="N921" s="525"/>
      <c r="O921" s="525"/>
      <c r="P921" s="525"/>
      <c r="Q921" s="58"/>
      <c r="R921" s="58"/>
      <c r="S921" s="58"/>
    </row>
    <row r="922" spans="2:19" x14ac:dyDescent="0.2">
      <c r="B922" s="213"/>
      <c r="C922" s="213"/>
      <c r="D922" s="213"/>
      <c r="E922" s="213"/>
      <c r="F922" s="213"/>
      <c r="G922" s="525"/>
      <c r="H922" s="213"/>
      <c r="I922" s="213"/>
      <c r="J922" s="213"/>
      <c r="K922" s="213"/>
      <c r="L922" s="213"/>
      <c r="N922" s="525"/>
      <c r="O922" s="525"/>
      <c r="P922" s="525"/>
      <c r="Q922" s="58"/>
      <c r="R922" s="58"/>
      <c r="S922" s="58"/>
    </row>
    <row r="923" spans="2:19" x14ac:dyDescent="0.2">
      <c r="B923" s="213"/>
      <c r="C923" s="213"/>
      <c r="D923" s="213"/>
      <c r="E923" s="213"/>
      <c r="F923" s="213"/>
      <c r="G923" s="525"/>
      <c r="H923" s="213"/>
      <c r="I923" s="213"/>
      <c r="J923" s="213"/>
      <c r="K923" s="213"/>
      <c r="L923" s="213"/>
      <c r="N923" s="525"/>
      <c r="O923" s="525"/>
      <c r="P923" s="525"/>
      <c r="Q923" s="58"/>
      <c r="R923" s="58"/>
      <c r="S923" s="58"/>
    </row>
    <row r="924" spans="2:19" x14ac:dyDescent="0.2">
      <c r="B924" s="213"/>
      <c r="C924" s="213"/>
      <c r="D924" s="213"/>
      <c r="E924" s="213"/>
      <c r="F924" s="213"/>
      <c r="G924" s="525"/>
      <c r="H924" s="213"/>
      <c r="I924" s="213"/>
      <c r="J924" s="213"/>
      <c r="K924" s="213"/>
      <c r="L924" s="213"/>
      <c r="N924" s="525"/>
      <c r="O924" s="525"/>
      <c r="P924" s="525"/>
      <c r="Q924" s="58"/>
      <c r="R924" s="58"/>
      <c r="S924" s="58"/>
    </row>
    <row r="925" spans="2:19" x14ac:dyDescent="0.2">
      <c r="B925" s="213"/>
      <c r="C925" s="213"/>
      <c r="D925" s="213"/>
      <c r="E925" s="213"/>
      <c r="F925" s="213"/>
      <c r="G925" s="525"/>
      <c r="H925" s="213"/>
      <c r="I925" s="213"/>
      <c r="J925" s="213"/>
      <c r="K925" s="213"/>
      <c r="L925" s="213"/>
      <c r="N925" s="525"/>
      <c r="O925" s="525"/>
      <c r="P925" s="525"/>
      <c r="Q925" s="58"/>
      <c r="R925" s="58"/>
      <c r="S925" s="58"/>
    </row>
    <row r="926" spans="2:19" x14ac:dyDescent="0.2">
      <c r="B926" s="213"/>
      <c r="C926" s="213"/>
      <c r="D926" s="213"/>
      <c r="E926" s="213"/>
      <c r="F926" s="213"/>
      <c r="G926" s="525"/>
      <c r="H926" s="213"/>
      <c r="I926" s="213"/>
      <c r="J926" s="213"/>
      <c r="K926" s="213"/>
      <c r="L926" s="213"/>
      <c r="N926" s="525"/>
      <c r="O926" s="525"/>
      <c r="P926" s="525"/>
      <c r="Q926" s="58"/>
      <c r="R926" s="58"/>
      <c r="S926" s="58"/>
    </row>
    <row r="927" spans="2:19" x14ac:dyDescent="0.2">
      <c r="B927" s="213"/>
      <c r="C927" s="213"/>
      <c r="D927" s="213"/>
      <c r="E927" s="213"/>
      <c r="F927" s="213"/>
      <c r="G927" s="525"/>
      <c r="H927" s="213"/>
      <c r="I927" s="213"/>
      <c r="J927" s="213"/>
      <c r="K927" s="213"/>
      <c r="L927" s="213"/>
      <c r="N927" s="525"/>
      <c r="O927" s="525"/>
      <c r="P927" s="525"/>
      <c r="Q927" s="58"/>
      <c r="R927" s="58"/>
      <c r="S927" s="58"/>
    </row>
    <row r="928" spans="2:19" x14ac:dyDescent="0.2">
      <c r="B928" s="213"/>
      <c r="C928" s="213"/>
      <c r="D928" s="213"/>
      <c r="E928" s="213"/>
      <c r="F928" s="213"/>
      <c r="G928" s="525"/>
      <c r="H928" s="213"/>
      <c r="I928" s="213"/>
      <c r="J928" s="213"/>
      <c r="K928" s="213"/>
      <c r="L928" s="213"/>
      <c r="N928" s="525"/>
      <c r="O928" s="525"/>
      <c r="P928" s="525"/>
      <c r="Q928" s="58"/>
      <c r="R928" s="58"/>
      <c r="S928" s="58"/>
    </row>
    <row r="929" spans="2:19" x14ac:dyDescent="0.2">
      <c r="B929" s="213"/>
      <c r="C929" s="213"/>
      <c r="D929" s="213"/>
      <c r="E929" s="213"/>
      <c r="F929" s="213"/>
      <c r="G929" s="525"/>
      <c r="H929" s="213"/>
      <c r="I929" s="213"/>
      <c r="J929" s="213"/>
      <c r="K929" s="213"/>
      <c r="L929" s="213"/>
      <c r="N929" s="525"/>
      <c r="O929" s="525"/>
      <c r="P929" s="525"/>
      <c r="Q929" s="58"/>
      <c r="R929" s="58"/>
      <c r="S929" s="58"/>
    </row>
    <row r="930" spans="2:19" x14ac:dyDescent="0.2">
      <c r="B930" s="213"/>
      <c r="C930" s="213"/>
      <c r="D930" s="213"/>
      <c r="E930" s="213"/>
      <c r="F930" s="213"/>
      <c r="G930" s="525"/>
      <c r="H930" s="213"/>
      <c r="I930" s="213"/>
      <c r="J930" s="213"/>
      <c r="K930" s="213"/>
      <c r="L930" s="213"/>
      <c r="N930" s="525"/>
      <c r="O930" s="525"/>
      <c r="P930" s="525"/>
      <c r="Q930" s="58"/>
      <c r="R930" s="58"/>
      <c r="S930" s="58"/>
    </row>
    <row r="931" spans="2:19" x14ac:dyDescent="0.2">
      <c r="B931" s="213"/>
      <c r="C931" s="213"/>
      <c r="D931" s="213"/>
      <c r="E931" s="213"/>
      <c r="F931" s="213"/>
      <c r="G931" s="525"/>
      <c r="H931" s="213"/>
      <c r="I931" s="213"/>
      <c r="J931" s="213"/>
      <c r="K931" s="213"/>
      <c r="L931" s="213"/>
      <c r="N931" s="525"/>
      <c r="O931" s="525"/>
      <c r="P931" s="525"/>
      <c r="Q931" s="58"/>
      <c r="R931" s="58"/>
      <c r="S931" s="58"/>
    </row>
    <row r="932" spans="2:19" x14ac:dyDescent="0.2">
      <c r="B932" s="213"/>
      <c r="C932" s="213"/>
      <c r="D932" s="213"/>
      <c r="E932" s="213"/>
      <c r="F932" s="213"/>
      <c r="G932" s="525"/>
      <c r="H932" s="213"/>
      <c r="I932" s="213"/>
      <c r="J932" s="213"/>
      <c r="K932" s="213"/>
      <c r="L932" s="213"/>
      <c r="N932" s="525"/>
      <c r="O932" s="525"/>
      <c r="P932" s="525"/>
      <c r="Q932" s="58"/>
      <c r="R932" s="58"/>
      <c r="S932" s="58"/>
    </row>
    <row r="933" spans="2:19" x14ac:dyDescent="0.2">
      <c r="B933" s="213"/>
      <c r="C933" s="213"/>
      <c r="D933" s="213"/>
      <c r="E933" s="213"/>
      <c r="F933" s="213"/>
      <c r="G933" s="525"/>
      <c r="H933" s="213"/>
      <c r="I933" s="213"/>
      <c r="J933" s="213"/>
      <c r="K933" s="213"/>
      <c r="L933" s="213"/>
      <c r="N933" s="525"/>
      <c r="O933" s="525"/>
      <c r="P933" s="525"/>
      <c r="Q933" s="58"/>
      <c r="R933" s="58"/>
      <c r="S933" s="58"/>
    </row>
    <row r="934" spans="2:19" x14ac:dyDescent="0.2">
      <c r="B934" s="213"/>
      <c r="C934" s="213"/>
      <c r="D934" s="213"/>
      <c r="E934" s="213"/>
      <c r="F934" s="213"/>
      <c r="G934" s="525"/>
      <c r="H934" s="213"/>
      <c r="I934" s="213"/>
      <c r="J934" s="213"/>
      <c r="K934" s="213"/>
      <c r="L934" s="213"/>
      <c r="N934" s="525"/>
      <c r="O934" s="525"/>
      <c r="P934" s="525"/>
      <c r="Q934" s="58"/>
      <c r="R934" s="58"/>
      <c r="S934" s="58"/>
    </row>
    <row r="935" spans="2:19" x14ac:dyDescent="0.2">
      <c r="B935" s="213"/>
      <c r="C935" s="213"/>
      <c r="D935" s="213"/>
      <c r="E935" s="213"/>
      <c r="F935" s="213"/>
      <c r="G935" s="525"/>
      <c r="H935" s="213"/>
      <c r="I935" s="213"/>
      <c r="J935" s="213"/>
      <c r="K935" s="213"/>
      <c r="L935" s="213"/>
      <c r="N935" s="525"/>
      <c r="O935" s="525"/>
      <c r="P935" s="525"/>
      <c r="Q935" s="58"/>
      <c r="R935" s="58"/>
      <c r="S935" s="58"/>
    </row>
    <row r="936" spans="2:19" x14ac:dyDescent="0.2">
      <c r="B936" s="213"/>
      <c r="C936" s="213"/>
      <c r="D936" s="213"/>
      <c r="E936" s="213"/>
      <c r="F936" s="213"/>
      <c r="G936" s="525"/>
      <c r="H936" s="213"/>
      <c r="I936" s="213"/>
      <c r="J936" s="213"/>
      <c r="K936" s="213"/>
      <c r="L936" s="213"/>
      <c r="N936" s="525"/>
      <c r="O936" s="525"/>
      <c r="P936" s="525"/>
      <c r="Q936" s="58"/>
      <c r="R936" s="58"/>
      <c r="S936" s="58"/>
    </row>
    <row r="937" spans="2:19" x14ac:dyDescent="0.2">
      <c r="B937" s="213"/>
      <c r="C937" s="213"/>
      <c r="D937" s="213"/>
      <c r="E937" s="213"/>
      <c r="F937" s="213"/>
      <c r="G937" s="525"/>
      <c r="H937" s="213"/>
      <c r="I937" s="213"/>
      <c r="J937" s="213"/>
      <c r="K937" s="213"/>
      <c r="L937" s="213"/>
      <c r="N937" s="525"/>
      <c r="O937" s="525"/>
      <c r="P937" s="525"/>
      <c r="Q937" s="58"/>
      <c r="R937" s="58"/>
      <c r="S937" s="58"/>
    </row>
    <row r="938" spans="2:19" x14ac:dyDescent="0.2">
      <c r="B938" s="213"/>
      <c r="C938" s="213"/>
      <c r="D938" s="213"/>
      <c r="E938" s="213"/>
      <c r="F938" s="213"/>
      <c r="G938" s="525"/>
      <c r="H938" s="213"/>
      <c r="I938" s="213"/>
      <c r="J938" s="213"/>
      <c r="K938" s="213"/>
      <c r="L938" s="213"/>
      <c r="N938" s="525"/>
      <c r="O938" s="525"/>
      <c r="P938" s="525"/>
      <c r="Q938" s="58"/>
      <c r="R938" s="58"/>
      <c r="S938" s="58"/>
    </row>
    <row r="939" spans="2:19" x14ac:dyDescent="0.2">
      <c r="B939" s="213"/>
      <c r="C939" s="213"/>
      <c r="D939" s="213"/>
      <c r="E939" s="213"/>
      <c r="F939" s="213"/>
      <c r="G939" s="525"/>
      <c r="H939" s="213"/>
      <c r="I939" s="213"/>
      <c r="J939" s="213"/>
      <c r="K939" s="213"/>
      <c r="L939" s="213"/>
      <c r="N939" s="525"/>
      <c r="O939" s="525"/>
      <c r="P939" s="525"/>
      <c r="Q939" s="58"/>
      <c r="R939" s="58"/>
      <c r="S939" s="58"/>
    </row>
    <row r="940" spans="2:19" x14ac:dyDescent="0.2">
      <c r="B940" s="213"/>
      <c r="C940" s="213"/>
      <c r="D940" s="213"/>
      <c r="E940" s="213"/>
      <c r="F940" s="213"/>
      <c r="G940" s="525"/>
      <c r="H940" s="213"/>
      <c r="I940" s="213"/>
      <c r="J940" s="213"/>
      <c r="K940" s="213"/>
      <c r="L940" s="213"/>
      <c r="N940" s="525"/>
      <c r="O940" s="525"/>
      <c r="P940" s="525"/>
      <c r="Q940" s="58"/>
      <c r="R940" s="58"/>
      <c r="S940" s="58"/>
    </row>
    <row r="941" spans="2:19" x14ac:dyDescent="0.2">
      <c r="B941" s="213"/>
      <c r="C941" s="213"/>
      <c r="D941" s="213"/>
      <c r="E941" s="213"/>
      <c r="F941" s="213"/>
      <c r="G941" s="525"/>
      <c r="H941" s="213"/>
      <c r="I941" s="213"/>
      <c r="J941" s="213"/>
      <c r="K941" s="213"/>
      <c r="L941" s="213"/>
      <c r="N941" s="525"/>
      <c r="O941" s="525"/>
      <c r="P941" s="525"/>
      <c r="Q941" s="58"/>
      <c r="R941" s="58"/>
      <c r="S941" s="58"/>
    </row>
    <row r="942" spans="2:19" x14ac:dyDescent="0.2">
      <c r="B942" s="213"/>
      <c r="C942" s="213"/>
      <c r="D942" s="213"/>
      <c r="E942" s="213"/>
      <c r="F942" s="213"/>
      <c r="G942" s="525"/>
      <c r="H942" s="213"/>
      <c r="I942" s="213"/>
      <c r="J942" s="213"/>
      <c r="K942" s="213"/>
      <c r="L942" s="213"/>
      <c r="N942" s="525"/>
      <c r="O942" s="525"/>
      <c r="P942" s="525"/>
      <c r="Q942" s="58"/>
      <c r="R942" s="58"/>
      <c r="S942" s="58"/>
    </row>
    <row r="943" spans="2:19" x14ac:dyDescent="0.2">
      <c r="B943" s="213"/>
      <c r="C943" s="213"/>
      <c r="D943" s="213"/>
      <c r="E943" s="213"/>
      <c r="F943" s="213"/>
      <c r="G943" s="525"/>
      <c r="H943" s="213"/>
      <c r="I943" s="213"/>
      <c r="J943" s="213"/>
      <c r="K943" s="213"/>
      <c r="L943" s="213"/>
      <c r="N943" s="525"/>
      <c r="O943" s="525"/>
      <c r="P943" s="525"/>
      <c r="Q943" s="58"/>
      <c r="R943" s="58"/>
      <c r="S943" s="58"/>
    </row>
    <row r="944" spans="2:19" x14ac:dyDescent="0.2">
      <c r="B944" s="213"/>
      <c r="C944" s="213"/>
      <c r="D944" s="213"/>
      <c r="E944" s="213"/>
      <c r="F944" s="213"/>
      <c r="G944" s="525"/>
      <c r="H944" s="213"/>
      <c r="I944" s="213"/>
      <c r="J944" s="213"/>
      <c r="K944" s="213"/>
      <c r="L944" s="213"/>
      <c r="N944" s="525"/>
      <c r="O944" s="525"/>
      <c r="P944" s="525"/>
      <c r="Q944" s="58"/>
      <c r="R944" s="58"/>
      <c r="S944" s="58"/>
    </row>
    <row r="945" spans="2:19" x14ac:dyDescent="0.2">
      <c r="B945" s="213"/>
      <c r="C945" s="213"/>
      <c r="D945" s="213"/>
      <c r="E945" s="213"/>
      <c r="F945" s="213"/>
      <c r="G945" s="525"/>
      <c r="H945" s="213"/>
      <c r="I945" s="213"/>
      <c r="J945" s="213"/>
      <c r="K945" s="213"/>
      <c r="L945" s="213"/>
      <c r="N945" s="525"/>
      <c r="O945" s="525"/>
      <c r="P945" s="525"/>
      <c r="Q945" s="58"/>
      <c r="R945" s="58"/>
      <c r="S945" s="58"/>
    </row>
    <row r="946" spans="2:19" x14ac:dyDescent="0.2">
      <c r="B946" s="213"/>
      <c r="C946" s="213"/>
      <c r="D946" s="213"/>
      <c r="E946" s="213"/>
      <c r="F946" s="213"/>
      <c r="G946" s="525"/>
      <c r="H946" s="213"/>
      <c r="I946" s="213"/>
      <c r="J946" s="213"/>
      <c r="K946" s="213"/>
      <c r="L946" s="213"/>
      <c r="N946" s="525"/>
      <c r="O946" s="525"/>
      <c r="P946" s="525"/>
      <c r="Q946" s="58"/>
      <c r="R946" s="58"/>
      <c r="S946" s="58"/>
    </row>
    <row r="947" spans="2:19" x14ac:dyDescent="0.2">
      <c r="B947" s="213"/>
      <c r="C947" s="213"/>
      <c r="D947" s="213"/>
      <c r="E947" s="213"/>
      <c r="F947" s="213"/>
      <c r="G947" s="525"/>
      <c r="H947" s="213"/>
      <c r="I947" s="213"/>
      <c r="J947" s="213"/>
      <c r="K947" s="213"/>
      <c r="L947" s="213"/>
      <c r="N947" s="525"/>
      <c r="O947" s="525"/>
      <c r="P947" s="525"/>
      <c r="Q947" s="58"/>
      <c r="R947" s="58"/>
      <c r="S947" s="58"/>
    </row>
    <row r="948" spans="2:19" x14ac:dyDescent="0.2">
      <c r="B948" s="213"/>
      <c r="C948" s="213"/>
      <c r="D948" s="213"/>
      <c r="E948" s="213"/>
      <c r="F948" s="213"/>
      <c r="G948" s="525"/>
      <c r="H948" s="213"/>
      <c r="I948" s="213"/>
      <c r="J948" s="213"/>
      <c r="K948" s="213"/>
      <c r="L948" s="213"/>
      <c r="N948" s="525"/>
      <c r="O948" s="525"/>
      <c r="P948" s="525"/>
      <c r="Q948" s="58"/>
      <c r="R948" s="58"/>
      <c r="S948" s="58"/>
    </row>
    <row r="949" spans="2:19" x14ac:dyDescent="0.2">
      <c r="B949" s="213"/>
      <c r="C949" s="213"/>
      <c r="D949" s="213"/>
      <c r="E949" s="213"/>
      <c r="F949" s="213"/>
      <c r="G949" s="525"/>
      <c r="H949" s="213"/>
      <c r="I949" s="213"/>
      <c r="J949" s="213"/>
      <c r="K949" s="213"/>
      <c r="L949" s="213"/>
      <c r="N949" s="525"/>
      <c r="O949" s="525"/>
      <c r="P949" s="525"/>
      <c r="Q949" s="58"/>
      <c r="R949" s="58"/>
      <c r="S949" s="58"/>
    </row>
    <row r="950" spans="2:19" x14ac:dyDescent="0.2">
      <c r="B950" s="213"/>
      <c r="C950" s="213"/>
      <c r="D950" s="213"/>
      <c r="E950" s="213"/>
      <c r="F950" s="213"/>
      <c r="G950" s="525"/>
      <c r="H950" s="213"/>
      <c r="I950" s="213"/>
      <c r="J950" s="213"/>
      <c r="K950" s="213"/>
      <c r="L950" s="213"/>
      <c r="N950" s="525"/>
      <c r="O950" s="525"/>
      <c r="P950" s="525"/>
      <c r="Q950" s="58"/>
      <c r="R950" s="58"/>
      <c r="S950" s="58"/>
    </row>
    <row r="951" spans="2:19" x14ac:dyDescent="0.2">
      <c r="B951" s="213"/>
      <c r="C951" s="213"/>
      <c r="D951" s="213"/>
      <c r="E951" s="213"/>
      <c r="F951" s="213"/>
      <c r="G951" s="525"/>
      <c r="H951" s="213"/>
      <c r="I951" s="213"/>
      <c r="J951" s="213"/>
      <c r="K951" s="213"/>
      <c r="L951" s="213"/>
      <c r="N951" s="525"/>
      <c r="O951" s="525"/>
      <c r="P951" s="525"/>
      <c r="Q951" s="58"/>
      <c r="R951" s="58"/>
      <c r="S951" s="58"/>
    </row>
    <row r="952" spans="2:19" x14ac:dyDescent="0.2">
      <c r="B952" s="213"/>
      <c r="C952" s="213"/>
      <c r="D952" s="213"/>
      <c r="E952" s="213"/>
      <c r="F952" s="213"/>
      <c r="G952" s="525"/>
      <c r="H952" s="213"/>
      <c r="I952" s="213"/>
      <c r="J952" s="213"/>
      <c r="K952" s="213"/>
      <c r="L952" s="213"/>
      <c r="N952" s="525"/>
      <c r="O952" s="525"/>
      <c r="P952" s="525"/>
      <c r="Q952" s="58"/>
      <c r="R952" s="58"/>
      <c r="S952" s="58"/>
    </row>
    <row r="953" spans="2:19" x14ac:dyDescent="0.2">
      <c r="B953" s="213"/>
      <c r="C953" s="213"/>
      <c r="D953" s="213"/>
      <c r="E953" s="213"/>
      <c r="F953" s="213"/>
      <c r="G953" s="525"/>
      <c r="H953" s="213"/>
      <c r="I953" s="213"/>
      <c r="J953" s="213"/>
      <c r="K953" s="213"/>
      <c r="L953" s="213"/>
      <c r="N953" s="525"/>
      <c r="O953" s="525"/>
      <c r="P953" s="525"/>
      <c r="Q953" s="58"/>
      <c r="R953" s="58"/>
      <c r="S953" s="58"/>
    </row>
    <row r="954" spans="2:19" x14ac:dyDescent="0.2">
      <c r="B954" s="213"/>
      <c r="C954" s="213"/>
      <c r="D954" s="213"/>
      <c r="E954" s="213"/>
      <c r="F954" s="213"/>
      <c r="G954" s="525"/>
      <c r="H954" s="213"/>
      <c r="I954" s="213"/>
      <c r="J954" s="213"/>
      <c r="K954" s="213"/>
      <c r="L954" s="213"/>
      <c r="N954" s="525"/>
      <c r="O954" s="525"/>
      <c r="P954" s="525"/>
      <c r="Q954" s="58"/>
      <c r="R954" s="58"/>
      <c r="S954" s="58"/>
    </row>
    <row r="955" spans="2:19" x14ac:dyDescent="0.2">
      <c r="B955" s="213"/>
      <c r="C955" s="213"/>
      <c r="D955" s="213"/>
      <c r="E955" s="213"/>
      <c r="F955" s="213"/>
      <c r="G955" s="525"/>
      <c r="H955" s="213"/>
      <c r="I955" s="213"/>
      <c r="J955" s="213"/>
      <c r="K955" s="213"/>
      <c r="L955" s="213"/>
      <c r="N955" s="525"/>
      <c r="O955" s="525"/>
      <c r="P955" s="525"/>
      <c r="Q955" s="58"/>
      <c r="R955" s="58"/>
      <c r="S955" s="58"/>
    </row>
    <row r="956" spans="2:19" x14ac:dyDescent="0.2">
      <c r="B956" s="213"/>
      <c r="C956" s="213"/>
      <c r="D956" s="213"/>
      <c r="E956" s="213"/>
      <c r="F956" s="213"/>
      <c r="G956" s="525"/>
      <c r="H956" s="213"/>
      <c r="I956" s="213"/>
      <c r="J956" s="213"/>
      <c r="K956" s="213"/>
      <c r="L956" s="213"/>
      <c r="N956" s="525"/>
      <c r="O956" s="525"/>
      <c r="P956" s="525"/>
      <c r="Q956" s="58"/>
      <c r="R956" s="58"/>
      <c r="S956" s="58"/>
    </row>
    <row r="957" spans="2:19" x14ac:dyDescent="0.2">
      <c r="B957" s="213"/>
      <c r="C957" s="213"/>
      <c r="D957" s="213"/>
      <c r="E957" s="213"/>
      <c r="F957" s="213"/>
      <c r="G957" s="525"/>
      <c r="H957" s="213"/>
      <c r="I957" s="213"/>
      <c r="J957" s="213"/>
      <c r="K957" s="213"/>
      <c r="L957" s="213"/>
      <c r="N957" s="525"/>
      <c r="O957" s="525"/>
      <c r="P957" s="525"/>
      <c r="Q957" s="58"/>
      <c r="R957" s="58"/>
      <c r="S957" s="58"/>
    </row>
    <row r="958" spans="2:19" x14ac:dyDescent="0.2">
      <c r="B958" s="213"/>
      <c r="C958" s="213"/>
      <c r="D958" s="213"/>
      <c r="E958" s="213"/>
      <c r="F958" s="213"/>
      <c r="G958" s="525"/>
      <c r="H958" s="213"/>
      <c r="I958" s="213"/>
      <c r="J958" s="213"/>
      <c r="K958" s="213"/>
      <c r="L958" s="213"/>
      <c r="N958" s="525"/>
      <c r="O958" s="525"/>
      <c r="P958" s="525"/>
      <c r="Q958" s="58"/>
      <c r="R958" s="58"/>
      <c r="S958" s="58"/>
    </row>
    <row r="959" spans="2:19" x14ac:dyDescent="0.2">
      <c r="B959" s="213"/>
      <c r="C959" s="213"/>
      <c r="D959" s="213"/>
      <c r="E959" s="213"/>
      <c r="F959" s="213"/>
      <c r="G959" s="525"/>
      <c r="H959" s="213"/>
      <c r="I959" s="213"/>
      <c r="J959" s="213"/>
      <c r="K959" s="213"/>
      <c r="L959" s="213"/>
      <c r="N959" s="525"/>
      <c r="O959" s="525"/>
      <c r="P959" s="525"/>
      <c r="Q959" s="58"/>
      <c r="R959" s="58"/>
      <c r="S959" s="58"/>
    </row>
    <row r="960" spans="2:19" x14ac:dyDescent="0.2">
      <c r="B960" s="213"/>
      <c r="C960" s="213"/>
      <c r="D960" s="213"/>
      <c r="E960" s="213"/>
      <c r="F960" s="213"/>
      <c r="G960" s="525"/>
      <c r="H960" s="213"/>
      <c r="I960" s="213"/>
      <c r="J960" s="213"/>
      <c r="K960" s="213"/>
      <c r="L960" s="213"/>
      <c r="N960" s="525"/>
      <c r="O960" s="525"/>
      <c r="P960" s="525"/>
      <c r="Q960" s="58"/>
      <c r="R960" s="58"/>
      <c r="S960" s="58"/>
    </row>
    <row r="961" spans="2:19" x14ac:dyDescent="0.2">
      <c r="B961" s="213"/>
      <c r="C961" s="213"/>
      <c r="D961" s="213"/>
      <c r="E961" s="213"/>
      <c r="F961" s="213"/>
      <c r="G961" s="525"/>
      <c r="H961" s="213"/>
      <c r="I961" s="213"/>
      <c r="J961" s="213"/>
      <c r="K961" s="213"/>
      <c r="L961" s="213"/>
      <c r="N961" s="525"/>
      <c r="O961" s="525"/>
      <c r="P961" s="525"/>
      <c r="Q961" s="58"/>
      <c r="R961" s="58"/>
      <c r="S961" s="58"/>
    </row>
    <row r="962" spans="2:19" x14ac:dyDescent="0.2">
      <c r="B962" s="213"/>
      <c r="C962" s="213"/>
      <c r="D962" s="213"/>
      <c r="E962" s="213"/>
      <c r="F962" s="213"/>
      <c r="G962" s="525"/>
      <c r="H962" s="213"/>
      <c r="I962" s="213"/>
      <c r="J962" s="213"/>
      <c r="K962" s="213"/>
      <c r="L962" s="213"/>
      <c r="N962" s="525"/>
      <c r="O962" s="525"/>
      <c r="P962" s="525"/>
      <c r="Q962" s="58"/>
      <c r="R962" s="58"/>
      <c r="S962" s="58"/>
    </row>
    <row r="963" spans="2:19" x14ac:dyDescent="0.2">
      <c r="B963" s="213"/>
      <c r="C963" s="213"/>
      <c r="D963" s="213"/>
      <c r="E963" s="213"/>
      <c r="F963" s="213"/>
      <c r="G963" s="525"/>
      <c r="H963" s="213"/>
      <c r="I963" s="213"/>
      <c r="J963" s="213"/>
      <c r="K963" s="213"/>
      <c r="L963" s="213"/>
      <c r="N963" s="525"/>
      <c r="O963" s="525"/>
      <c r="P963" s="525"/>
      <c r="Q963" s="58"/>
      <c r="R963" s="58"/>
      <c r="S963" s="58"/>
    </row>
    <row r="964" spans="2:19" x14ac:dyDescent="0.2">
      <c r="B964" s="213"/>
      <c r="C964" s="213"/>
      <c r="D964" s="213"/>
      <c r="E964" s="213"/>
      <c r="F964" s="213"/>
      <c r="G964" s="525"/>
      <c r="H964" s="213"/>
      <c r="I964" s="213"/>
      <c r="J964" s="213"/>
      <c r="K964" s="213"/>
      <c r="L964" s="213"/>
      <c r="N964" s="525"/>
      <c r="O964" s="525"/>
      <c r="P964" s="525"/>
      <c r="Q964" s="58"/>
      <c r="R964" s="58"/>
      <c r="S964" s="58"/>
    </row>
    <row r="965" spans="2:19" x14ac:dyDescent="0.2">
      <c r="B965" s="213"/>
      <c r="C965" s="213"/>
      <c r="D965" s="213"/>
      <c r="E965" s="213"/>
      <c r="F965" s="213"/>
      <c r="G965" s="525"/>
      <c r="H965" s="213"/>
      <c r="I965" s="213"/>
      <c r="J965" s="213"/>
      <c r="K965" s="213"/>
      <c r="L965" s="213"/>
      <c r="N965" s="525"/>
      <c r="O965" s="525"/>
      <c r="P965" s="525"/>
      <c r="Q965" s="58"/>
      <c r="R965" s="58"/>
      <c r="S965" s="58"/>
    </row>
    <row r="966" spans="2:19" x14ac:dyDescent="0.2">
      <c r="B966" s="213"/>
      <c r="C966" s="213"/>
      <c r="D966" s="213"/>
      <c r="E966" s="213"/>
      <c r="F966" s="213"/>
      <c r="G966" s="525"/>
      <c r="H966" s="213"/>
      <c r="I966" s="213"/>
      <c r="J966" s="213"/>
      <c r="K966" s="213"/>
      <c r="L966" s="213"/>
      <c r="N966" s="525"/>
      <c r="O966" s="525"/>
      <c r="P966" s="525"/>
      <c r="Q966" s="58"/>
      <c r="R966" s="58"/>
      <c r="S966" s="58"/>
    </row>
    <row r="967" spans="2:19" x14ac:dyDescent="0.2">
      <c r="B967" s="213"/>
      <c r="C967" s="213"/>
      <c r="D967" s="213"/>
      <c r="E967" s="213"/>
      <c r="F967" s="213"/>
      <c r="G967" s="525"/>
      <c r="H967" s="213"/>
      <c r="I967" s="213"/>
      <c r="J967" s="213"/>
      <c r="K967" s="213"/>
      <c r="L967" s="213"/>
      <c r="N967" s="525"/>
      <c r="O967" s="525"/>
      <c r="P967" s="525"/>
      <c r="Q967" s="58"/>
      <c r="R967" s="58"/>
      <c r="S967" s="58"/>
    </row>
    <row r="968" spans="2:19" x14ac:dyDescent="0.2">
      <c r="B968" s="213"/>
      <c r="C968" s="213"/>
      <c r="D968" s="213"/>
      <c r="E968" s="213"/>
      <c r="F968" s="213"/>
      <c r="G968" s="525"/>
      <c r="H968" s="213"/>
      <c r="I968" s="213"/>
      <c r="J968" s="213"/>
      <c r="K968" s="213"/>
      <c r="L968" s="213"/>
      <c r="N968" s="525"/>
      <c r="O968" s="525"/>
      <c r="P968" s="525"/>
      <c r="Q968" s="58"/>
      <c r="R968" s="58"/>
      <c r="S968" s="58"/>
    </row>
    <row r="969" spans="2:19" x14ac:dyDescent="0.2">
      <c r="B969" s="213"/>
      <c r="C969" s="213"/>
      <c r="D969" s="213"/>
      <c r="E969" s="213"/>
      <c r="F969" s="213"/>
      <c r="G969" s="525"/>
      <c r="H969" s="213"/>
      <c r="I969" s="213"/>
      <c r="J969" s="213"/>
      <c r="K969" s="213"/>
      <c r="L969" s="213"/>
      <c r="N969" s="525"/>
      <c r="O969" s="525"/>
      <c r="P969" s="525"/>
      <c r="Q969" s="58"/>
      <c r="R969" s="58"/>
      <c r="S969" s="58"/>
    </row>
    <row r="970" spans="2:19" x14ac:dyDescent="0.2">
      <c r="B970" s="213"/>
      <c r="C970" s="213"/>
      <c r="D970" s="213"/>
      <c r="E970" s="213"/>
      <c r="F970" s="213"/>
      <c r="G970" s="525"/>
      <c r="H970" s="213"/>
      <c r="I970" s="213"/>
      <c r="J970" s="213"/>
      <c r="K970" s="213"/>
      <c r="L970" s="213"/>
      <c r="N970" s="525"/>
      <c r="O970" s="525"/>
      <c r="P970" s="525"/>
      <c r="Q970" s="58"/>
      <c r="R970" s="58"/>
      <c r="S970" s="58"/>
    </row>
    <row r="971" spans="2:19" x14ac:dyDescent="0.2">
      <c r="B971" s="213"/>
      <c r="C971" s="213"/>
      <c r="D971" s="213"/>
      <c r="E971" s="213"/>
      <c r="F971" s="213"/>
      <c r="G971" s="525"/>
      <c r="H971" s="213"/>
      <c r="I971" s="213"/>
      <c r="J971" s="213"/>
      <c r="K971" s="213"/>
      <c r="L971" s="213"/>
      <c r="N971" s="525"/>
      <c r="O971" s="525"/>
      <c r="P971" s="525"/>
      <c r="Q971" s="58"/>
      <c r="R971" s="58"/>
      <c r="S971" s="58"/>
    </row>
    <row r="972" spans="2:19" x14ac:dyDescent="0.2">
      <c r="B972" s="213"/>
      <c r="C972" s="213"/>
      <c r="D972" s="213"/>
      <c r="E972" s="213"/>
      <c r="F972" s="213"/>
      <c r="G972" s="525"/>
      <c r="H972" s="213"/>
      <c r="I972" s="213"/>
      <c r="J972" s="213"/>
      <c r="K972" s="213"/>
      <c r="L972" s="213"/>
      <c r="N972" s="525"/>
      <c r="O972" s="525"/>
      <c r="P972" s="525"/>
      <c r="Q972" s="58"/>
      <c r="R972" s="58"/>
      <c r="S972" s="58"/>
    </row>
    <row r="973" spans="2:19" x14ac:dyDescent="0.2">
      <c r="B973" s="213"/>
      <c r="C973" s="213"/>
      <c r="D973" s="213"/>
      <c r="E973" s="213"/>
      <c r="F973" s="213"/>
      <c r="G973" s="525"/>
      <c r="H973" s="213"/>
      <c r="I973" s="213"/>
      <c r="J973" s="213"/>
      <c r="K973" s="213"/>
      <c r="L973" s="213"/>
      <c r="N973" s="525"/>
      <c r="O973" s="525"/>
      <c r="P973" s="525"/>
      <c r="Q973" s="58"/>
      <c r="R973" s="58"/>
      <c r="S973" s="58"/>
    </row>
    <row r="974" spans="2:19" x14ac:dyDescent="0.2">
      <c r="B974" s="213"/>
      <c r="C974" s="213"/>
      <c r="D974" s="213"/>
      <c r="E974" s="213"/>
      <c r="F974" s="213"/>
      <c r="G974" s="525"/>
      <c r="H974" s="213"/>
      <c r="I974" s="213"/>
      <c r="J974" s="213"/>
      <c r="K974" s="213"/>
      <c r="L974" s="213"/>
      <c r="N974" s="525"/>
      <c r="O974" s="525"/>
      <c r="P974" s="525"/>
      <c r="Q974" s="58"/>
      <c r="R974" s="58"/>
      <c r="S974" s="58"/>
    </row>
    <row r="975" spans="2:19" x14ac:dyDescent="0.2">
      <c r="B975" s="213"/>
      <c r="C975" s="213"/>
      <c r="D975" s="213"/>
      <c r="E975" s="213"/>
      <c r="F975" s="213"/>
      <c r="G975" s="525"/>
      <c r="H975" s="213"/>
      <c r="I975" s="213"/>
      <c r="J975" s="213"/>
      <c r="K975" s="213"/>
      <c r="L975" s="213"/>
      <c r="N975" s="525"/>
      <c r="O975" s="525"/>
      <c r="P975" s="525"/>
      <c r="Q975" s="58"/>
      <c r="R975" s="58"/>
      <c r="S975" s="58"/>
    </row>
    <row r="976" spans="2:19" x14ac:dyDescent="0.2">
      <c r="B976" s="213"/>
      <c r="C976" s="213"/>
      <c r="D976" s="213"/>
      <c r="E976" s="213"/>
      <c r="F976" s="213"/>
      <c r="G976" s="525"/>
      <c r="H976" s="213"/>
      <c r="I976" s="213"/>
      <c r="J976" s="213"/>
      <c r="K976" s="213"/>
      <c r="L976" s="213"/>
      <c r="N976" s="525"/>
      <c r="O976" s="525"/>
      <c r="P976" s="525"/>
      <c r="Q976" s="58"/>
      <c r="R976" s="58"/>
      <c r="S976" s="58"/>
    </row>
    <row r="977" spans="2:19" x14ac:dyDescent="0.2">
      <c r="B977" s="213"/>
      <c r="C977" s="213"/>
      <c r="D977" s="213"/>
      <c r="E977" s="213"/>
      <c r="F977" s="213"/>
      <c r="G977" s="525"/>
      <c r="H977" s="213"/>
      <c r="I977" s="213"/>
      <c r="J977" s="213"/>
      <c r="K977" s="213"/>
      <c r="L977" s="213"/>
      <c r="N977" s="525"/>
      <c r="O977" s="525"/>
      <c r="P977" s="525"/>
      <c r="Q977" s="58"/>
      <c r="R977" s="58"/>
      <c r="S977" s="58"/>
    </row>
    <row r="978" spans="2:19" x14ac:dyDescent="0.2">
      <c r="B978" s="213"/>
      <c r="C978" s="213"/>
      <c r="D978" s="213"/>
      <c r="E978" s="213"/>
      <c r="F978" s="213"/>
      <c r="G978" s="525"/>
      <c r="H978" s="213"/>
      <c r="I978" s="213"/>
      <c r="J978" s="213"/>
      <c r="K978" s="213"/>
      <c r="L978" s="213"/>
      <c r="N978" s="525"/>
      <c r="O978" s="525"/>
      <c r="P978" s="525"/>
      <c r="Q978" s="58"/>
      <c r="R978" s="58"/>
      <c r="S978" s="58"/>
    </row>
    <row r="979" spans="2:19" x14ac:dyDescent="0.2">
      <c r="B979" s="213"/>
      <c r="C979" s="213"/>
      <c r="D979" s="213"/>
      <c r="E979" s="213"/>
      <c r="F979" s="213"/>
      <c r="G979" s="525"/>
      <c r="H979" s="213"/>
      <c r="I979" s="213"/>
      <c r="J979" s="213"/>
      <c r="K979" s="213"/>
      <c r="L979" s="213"/>
      <c r="N979" s="525"/>
      <c r="O979" s="525"/>
      <c r="P979" s="525"/>
      <c r="Q979" s="58"/>
      <c r="R979" s="58"/>
      <c r="S979" s="58"/>
    </row>
    <row r="980" spans="2:19" x14ac:dyDescent="0.2">
      <c r="B980" s="213"/>
      <c r="C980" s="213"/>
      <c r="D980" s="213"/>
      <c r="E980" s="213"/>
      <c r="F980" s="213"/>
      <c r="G980" s="525"/>
      <c r="H980" s="213"/>
      <c r="I980" s="213"/>
      <c r="J980" s="213"/>
      <c r="K980" s="213"/>
      <c r="L980" s="213"/>
      <c r="N980" s="525"/>
      <c r="O980" s="525"/>
      <c r="P980" s="525"/>
      <c r="Q980" s="58"/>
      <c r="R980" s="58"/>
      <c r="S980" s="58"/>
    </row>
    <row r="981" spans="2:19" x14ac:dyDescent="0.2">
      <c r="B981" s="213"/>
      <c r="C981" s="213"/>
      <c r="D981" s="213"/>
      <c r="E981" s="213"/>
      <c r="F981" s="213"/>
      <c r="G981" s="525"/>
      <c r="H981" s="213"/>
      <c r="I981" s="213"/>
      <c r="J981" s="213"/>
      <c r="K981" s="213"/>
      <c r="L981" s="213"/>
      <c r="N981" s="525"/>
      <c r="O981" s="525"/>
      <c r="P981" s="525"/>
      <c r="Q981" s="58"/>
      <c r="R981" s="58"/>
      <c r="S981" s="58"/>
    </row>
    <row r="982" spans="2:19" x14ac:dyDescent="0.2">
      <c r="B982" s="213"/>
      <c r="C982" s="213"/>
      <c r="D982" s="213"/>
      <c r="E982" s="213"/>
      <c r="F982" s="213"/>
      <c r="G982" s="525"/>
      <c r="H982" s="213"/>
      <c r="I982" s="213"/>
      <c r="J982" s="213"/>
      <c r="K982" s="213"/>
      <c r="L982" s="213"/>
      <c r="N982" s="525"/>
      <c r="O982" s="525"/>
      <c r="P982" s="525"/>
      <c r="Q982" s="58"/>
      <c r="R982" s="58"/>
      <c r="S982" s="58"/>
    </row>
    <row r="983" spans="2:19" x14ac:dyDescent="0.2">
      <c r="B983" s="213"/>
      <c r="C983" s="213"/>
      <c r="D983" s="213"/>
      <c r="E983" s="213"/>
      <c r="F983" s="213"/>
      <c r="G983" s="525"/>
      <c r="H983" s="213"/>
      <c r="I983" s="213"/>
      <c r="J983" s="213"/>
      <c r="K983" s="213"/>
      <c r="L983" s="213"/>
      <c r="N983" s="525"/>
      <c r="O983" s="525"/>
      <c r="P983" s="525"/>
      <c r="Q983" s="58"/>
      <c r="R983" s="58"/>
      <c r="S983" s="58"/>
    </row>
    <row r="984" spans="2:19" x14ac:dyDescent="0.2">
      <c r="B984" s="213"/>
      <c r="C984" s="213"/>
      <c r="D984" s="213"/>
      <c r="E984" s="213"/>
      <c r="F984" s="213"/>
      <c r="G984" s="525"/>
      <c r="H984" s="213"/>
      <c r="I984" s="213"/>
      <c r="J984" s="213"/>
      <c r="K984" s="213"/>
      <c r="L984" s="213"/>
      <c r="N984" s="525"/>
      <c r="O984" s="525"/>
      <c r="P984" s="525"/>
      <c r="Q984" s="58"/>
      <c r="R984" s="58"/>
      <c r="S984" s="58"/>
    </row>
    <row r="985" spans="2:19" x14ac:dyDescent="0.2">
      <c r="B985" s="213"/>
      <c r="C985" s="213"/>
      <c r="D985" s="213"/>
      <c r="E985" s="213"/>
      <c r="F985" s="213"/>
      <c r="G985" s="525"/>
      <c r="H985" s="213"/>
      <c r="I985" s="213"/>
      <c r="J985" s="213"/>
      <c r="K985" s="213"/>
      <c r="L985" s="213"/>
      <c r="N985" s="525"/>
      <c r="O985" s="525"/>
      <c r="P985" s="525"/>
      <c r="Q985" s="58"/>
      <c r="R985" s="58"/>
      <c r="S985" s="58"/>
    </row>
    <row r="986" spans="2:19" x14ac:dyDescent="0.2">
      <c r="B986" s="213"/>
      <c r="C986" s="213"/>
      <c r="D986" s="213"/>
      <c r="E986" s="213"/>
      <c r="F986" s="213"/>
      <c r="G986" s="525"/>
      <c r="H986" s="213"/>
      <c r="I986" s="213"/>
      <c r="J986" s="213"/>
      <c r="K986" s="213"/>
      <c r="L986" s="213"/>
      <c r="N986" s="525"/>
      <c r="O986" s="525"/>
      <c r="P986" s="525"/>
      <c r="Q986" s="58"/>
      <c r="R986" s="58"/>
      <c r="S986" s="58"/>
    </row>
    <row r="987" spans="2:19" x14ac:dyDescent="0.2">
      <c r="B987" s="213"/>
      <c r="C987" s="213"/>
      <c r="D987" s="213"/>
      <c r="E987" s="213"/>
      <c r="F987" s="213"/>
      <c r="G987" s="525"/>
      <c r="H987" s="213"/>
      <c r="I987" s="213"/>
      <c r="J987" s="213"/>
      <c r="K987" s="213"/>
      <c r="L987" s="213"/>
      <c r="N987" s="525"/>
      <c r="O987" s="525"/>
      <c r="P987" s="525"/>
      <c r="Q987" s="58"/>
      <c r="R987" s="58"/>
      <c r="S987" s="58"/>
    </row>
    <row r="988" spans="2:19" x14ac:dyDescent="0.2">
      <c r="B988" s="213"/>
      <c r="C988" s="213"/>
      <c r="D988" s="213"/>
      <c r="E988" s="213"/>
      <c r="F988" s="213"/>
      <c r="G988" s="525"/>
      <c r="H988" s="213"/>
      <c r="I988" s="213"/>
      <c r="J988" s="213"/>
      <c r="K988" s="213"/>
      <c r="L988" s="213"/>
      <c r="N988" s="525"/>
      <c r="O988" s="525"/>
      <c r="P988" s="525"/>
      <c r="Q988" s="58"/>
      <c r="R988" s="58"/>
      <c r="S988" s="58"/>
    </row>
    <row r="989" spans="2:19" x14ac:dyDescent="0.2">
      <c r="B989" s="213"/>
      <c r="C989" s="213"/>
      <c r="D989" s="213"/>
      <c r="E989" s="213"/>
      <c r="F989" s="213"/>
      <c r="G989" s="525"/>
      <c r="H989" s="213"/>
      <c r="I989" s="213"/>
      <c r="J989" s="213"/>
      <c r="K989" s="213"/>
      <c r="L989" s="213"/>
      <c r="N989" s="525"/>
      <c r="O989" s="525"/>
      <c r="P989" s="525"/>
      <c r="Q989" s="58"/>
      <c r="R989" s="58"/>
      <c r="S989" s="58"/>
    </row>
    <row r="990" spans="2:19" x14ac:dyDescent="0.2">
      <c r="B990" s="213"/>
      <c r="C990" s="213"/>
      <c r="D990" s="213"/>
      <c r="E990" s="213"/>
      <c r="F990" s="213"/>
      <c r="G990" s="525"/>
      <c r="H990" s="213"/>
      <c r="I990" s="213"/>
      <c r="J990" s="213"/>
      <c r="K990" s="213"/>
      <c r="L990" s="213"/>
      <c r="N990" s="525"/>
      <c r="O990" s="525"/>
      <c r="P990" s="525"/>
      <c r="Q990" s="58"/>
      <c r="R990" s="58"/>
      <c r="S990" s="58"/>
    </row>
    <row r="991" spans="2:19" x14ac:dyDescent="0.2">
      <c r="B991" s="213"/>
      <c r="C991" s="213"/>
      <c r="D991" s="213"/>
      <c r="E991" s="213"/>
      <c r="F991" s="213"/>
      <c r="G991" s="525"/>
      <c r="H991" s="213"/>
      <c r="I991" s="213"/>
      <c r="J991" s="213"/>
      <c r="K991" s="213"/>
      <c r="L991" s="213"/>
      <c r="N991" s="525"/>
      <c r="O991" s="525"/>
      <c r="P991" s="525"/>
      <c r="Q991" s="58"/>
      <c r="R991" s="58"/>
      <c r="S991" s="58"/>
    </row>
    <row r="992" spans="2:19" x14ac:dyDescent="0.2">
      <c r="B992" s="213"/>
      <c r="C992" s="213"/>
      <c r="D992" s="213"/>
      <c r="E992" s="213"/>
      <c r="F992" s="213"/>
      <c r="G992" s="525"/>
      <c r="H992" s="213"/>
      <c r="I992" s="213"/>
      <c r="J992" s="213"/>
      <c r="K992" s="213"/>
      <c r="L992" s="213"/>
      <c r="N992" s="525"/>
      <c r="O992" s="525"/>
      <c r="P992" s="525"/>
      <c r="Q992" s="58"/>
      <c r="R992" s="58"/>
      <c r="S992" s="58"/>
    </row>
    <row r="993" spans="2:19" x14ac:dyDescent="0.2">
      <c r="B993" s="213"/>
      <c r="C993" s="213"/>
      <c r="D993" s="213"/>
      <c r="E993" s="213"/>
      <c r="F993" s="213"/>
      <c r="G993" s="525"/>
      <c r="H993" s="213"/>
      <c r="I993" s="213"/>
      <c r="J993" s="213"/>
      <c r="K993" s="213"/>
      <c r="L993" s="213"/>
      <c r="N993" s="525"/>
      <c r="O993" s="525"/>
      <c r="P993" s="525"/>
      <c r="Q993" s="58"/>
      <c r="R993" s="58"/>
      <c r="S993" s="58"/>
    </row>
    <row r="994" spans="2:19" x14ac:dyDescent="0.2">
      <c r="B994" s="213"/>
      <c r="C994" s="213"/>
      <c r="D994" s="213"/>
      <c r="E994" s="213"/>
      <c r="F994" s="213"/>
      <c r="G994" s="525"/>
      <c r="H994" s="213"/>
      <c r="I994" s="213"/>
      <c r="J994" s="213"/>
      <c r="K994" s="213"/>
      <c r="L994" s="213"/>
      <c r="N994" s="525"/>
      <c r="O994" s="525"/>
      <c r="P994" s="525"/>
      <c r="Q994" s="58"/>
      <c r="R994" s="58"/>
      <c r="S994" s="58"/>
    </row>
    <row r="995" spans="2:19" x14ac:dyDescent="0.2">
      <c r="B995" s="213"/>
      <c r="C995" s="213"/>
      <c r="D995" s="213"/>
      <c r="E995" s="213"/>
      <c r="F995" s="213"/>
      <c r="G995" s="525"/>
      <c r="H995" s="213"/>
      <c r="I995" s="213"/>
      <c r="J995" s="213"/>
      <c r="K995" s="213"/>
      <c r="L995" s="213"/>
      <c r="N995" s="525"/>
      <c r="O995" s="525"/>
      <c r="P995" s="525"/>
      <c r="Q995" s="58"/>
      <c r="R995" s="58"/>
      <c r="S995" s="58"/>
    </row>
    <row r="996" spans="2:19" x14ac:dyDescent="0.2">
      <c r="B996" s="213"/>
      <c r="C996" s="213"/>
      <c r="D996" s="213"/>
      <c r="E996" s="213"/>
      <c r="F996" s="213"/>
      <c r="G996" s="525"/>
      <c r="H996" s="213"/>
      <c r="I996" s="213"/>
      <c r="J996" s="213"/>
      <c r="K996" s="213"/>
      <c r="L996" s="213"/>
      <c r="N996" s="525"/>
      <c r="O996" s="525"/>
      <c r="P996" s="525"/>
      <c r="Q996" s="58"/>
      <c r="R996" s="58"/>
      <c r="S996" s="58"/>
    </row>
    <row r="997" spans="2:19" x14ac:dyDescent="0.2">
      <c r="B997" s="213"/>
      <c r="C997" s="213"/>
      <c r="D997" s="213"/>
      <c r="E997" s="213"/>
      <c r="F997" s="213"/>
      <c r="G997" s="525"/>
      <c r="H997" s="213"/>
      <c r="I997" s="213"/>
      <c r="J997" s="213"/>
      <c r="K997" s="213"/>
      <c r="L997" s="213"/>
      <c r="N997" s="525"/>
      <c r="O997" s="525"/>
      <c r="P997" s="525"/>
      <c r="Q997" s="58"/>
      <c r="R997" s="58"/>
      <c r="S997" s="58"/>
    </row>
    <row r="998" spans="2:19" x14ac:dyDescent="0.2">
      <c r="B998" s="213"/>
      <c r="C998" s="213"/>
      <c r="D998" s="213"/>
      <c r="E998" s="213"/>
      <c r="F998" s="213"/>
      <c r="G998" s="525"/>
      <c r="H998" s="213"/>
      <c r="I998" s="213"/>
      <c r="J998" s="213"/>
      <c r="K998" s="213"/>
      <c r="L998" s="213"/>
      <c r="N998" s="525"/>
      <c r="O998" s="525"/>
      <c r="P998" s="525"/>
      <c r="Q998" s="58"/>
      <c r="R998" s="58"/>
      <c r="S998" s="58"/>
    </row>
    <row r="999" spans="2:19" x14ac:dyDescent="0.2">
      <c r="B999" s="213"/>
      <c r="C999" s="213"/>
      <c r="D999" s="213"/>
      <c r="E999" s="213"/>
      <c r="F999" s="213"/>
      <c r="G999" s="525"/>
      <c r="H999" s="213"/>
      <c r="I999" s="213"/>
      <c r="J999" s="213"/>
      <c r="K999" s="213"/>
      <c r="L999" s="213"/>
      <c r="N999" s="525"/>
      <c r="O999" s="525"/>
      <c r="P999" s="525"/>
      <c r="Q999" s="58"/>
      <c r="R999" s="58"/>
      <c r="S999" s="58"/>
    </row>
    <row r="1000" spans="2:19" x14ac:dyDescent="0.2">
      <c r="B1000" s="213"/>
      <c r="C1000" s="213"/>
      <c r="D1000" s="213"/>
      <c r="E1000" s="213"/>
      <c r="F1000" s="213"/>
      <c r="G1000" s="525"/>
      <c r="H1000" s="213"/>
      <c r="I1000" s="213"/>
      <c r="J1000" s="213"/>
      <c r="K1000" s="213"/>
      <c r="L1000" s="213"/>
      <c r="N1000" s="525"/>
      <c r="O1000" s="525"/>
      <c r="P1000" s="525"/>
      <c r="Q1000" s="58"/>
      <c r="R1000" s="58"/>
      <c r="S1000" s="58"/>
    </row>
    <row r="1001" spans="2:19" x14ac:dyDescent="0.2">
      <c r="B1001" s="213"/>
      <c r="C1001" s="213"/>
      <c r="D1001" s="213"/>
      <c r="E1001" s="213"/>
      <c r="F1001" s="213"/>
      <c r="G1001" s="525"/>
      <c r="H1001" s="213"/>
      <c r="I1001" s="213"/>
      <c r="J1001" s="213"/>
      <c r="K1001" s="213"/>
      <c r="L1001" s="213"/>
      <c r="N1001" s="525"/>
      <c r="O1001" s="525"/>
      <c r="P1001" s="525"/>
      <c r="Q1001" s="58"/>
      <c r="R1001" s="58"/>
      <c r="S1001" s="58"/>
    </row>
    <row r="1002" spans="2:19" x14ac:dyDescent="0.2">
      <c r="B1002" s="213"/>
      <c r="C1002" s="213"/>
      <c r="D1002" s="213"/>
      <c r="E1002" s="213"/>
      <c r="F1002" s="213"/>
      <c r="G1002" s="525"/>
      <c r="H1002" s="213"/>
      <c r="I1002" s="213"/>
      <c r="J1002" s="213"/>
      <c r="K1002" s="213"/>
      <c r="L1002" s="213"/>
      <c r="N1002" s="525"/>
      <c r="O1002" s="525"/>
      <c r="P1002" s="525"/>
      <c r="Q1002" s="58"/>
      <c r="R1002" s="58"/>
      <c r="S1002" s="58"/>
    </row>
    <row r="1003" spans="2:19" x14ac:dyDescent="0.2">
      <c r="B1003" s="213"/>
      <c r="C1003" s="213"/>
      <c r="D1003" s="213"/>
      <c r="E1003" s="213"/>
      <c r="F1003" s="213"/>
      <c r="G1003" s="525"/>
      <c r="H1003" s="213"/>
      <c r="I1003" s="213"/>
      <c r="J1003" s="213"/>
      <c r="K1003" s="213"/>
      <c r="L1003" s="213"/>
      <c r="N1003" s="525"/>
      <c r="O1003" s="525"/>
      <c r="P1003" s="525"/>
      <c r="Q1003" s="58"/>
      <c r="R1003" s="58"/>
      <c r="S1003" s="58"/>
    </row>
    <row r="1004" spans="2:19" x14ac:dyDescent="0.2">
      <c r="B1004" s="213"/>
      <c r="C1004" s="213"/>
      <c r="D1004" s="213"/>
      <c r="E1004" s="213"/>
      <c r="F1004" s="213"/>
      <c r="G1004" s="525"/>
      <c r="H1004" s="213"/>
      <c r="I1004" s="213"/>
      <c r="J1004" s="213"/>
      <c r="K1004" s="213"/>
      <c r="L1004" s="213"/>
      <c r="N1004" s="525"/>
      <c r="O1004" s="525"/>
      <c r="P1004" s="525"/>
      <c r="Q1004" s="58"/>
      <c r="R1004" s="58"/>
      <c r="S1004" s="58"/>
    </row>
    <row r="1005" spans="2:19" x14ac:dyDescent="0.2">
      <c r="B1005" s="213"/>
      <c r="C1005" s="213"/>
      <c r="D1005" s="213"/>
      <c r="E1005" s="213"/>
      <c r="F1005" s="213"/>
      <c r="G1005" s="525"/>
      <c r="H1005" s="213"/>
      <c r="I1005" s="213"/>
      <c r="J1005" s="213"/>
      <c r="K1005" s="213"/>
      <c r="L1005" s="213"/>
      <c r="N1005" s="525"/>
      <c r="O1005" s="525"/>
      <c r="P1005" s="525"/>
      <c r="Q1005" s="58"/>
      <c r="R1005" s="58"/>
      <c r="S1005" s="58"/>
    </row>
    <row r="1006" spans="2:19" x14ac:dyDescent="0.2">
      <c r="B1006" s="213"/>
      <c r="C1006" s="213"/>
      <c r="D1006" s="213"/>
      <c r="E1006" s="213"/>
      <c r="F1006" s="213"/>
      <c r="G1006" s="525"/>
      <c r="H1006" s="213"/>
      <c r="I1006" s="213"/>
      <c r="J1006" s="213"/>
      <c r="K1006" s="213"/>
      <c r="L1006" s="213"/>
      <c r="N1006" s="525"/>
      <c r="O1006" s="525"/>
      <c r="P1006" s="525"/>
      <c r="Q1006" s="58"/>
      <c r="R1006" s="58"/>
      <c r="S1006" s="58"/>
    </row>
    <row r="1007" spans="2:19" x14ac:dyDescent="0.2">
      <c r="B1007" s="213"/>
      <c r="C1007" s="213"/>
      <c r="D1007" s="213"/>
      <c r="E1007" s="213"/>
      <c r="F1007" s="213"/>
      <c r="G1007" s="525"/>
      <c r="H1007" s="213"/>
      <c r="I1007" s="213"/>
      <c r="J1007" s="213"/>
      <c r="K1007" s="213"/>
      <c r="L1007" s="213"/>
      <c r="N1007" s="525"/>
      <c r="O1007" s="525"/>
      <c r="P1007" s="525"/>
      <c r="Q1007" s="58"/>
      <c r="R1007" s="58"/>
      <c r="S1007" s="58"/>
    </row>
    <row r="1008" spans="2:19" x14ac:dyDescent="0.2">
      <c r="B1008" s="213"/>
      <c r="C1008" s="213"/>
      <c r="D1008" s="213"/>
      <c r="E1008" s="213"/>
      <c r="F1008" s="213"/>
      <c r="G1008" s="525"/>
      <c r="H1008" s="213"/>
      <c r="I1008" s="213"/>
      <c r="J1008" s="213"/>
      <c r="K1008" s="213"/>
      <c r="L1008" s="213"/>
      <c r="N1008" s="525"/>
      <c r="O1008" s="525"/>
      <c r="P1008" s="525"/>
      <c r="Q1008" s="58"/>
      <c r="R1008" s="58"/>
      <c r="S1008" s="58"/>
    </row>
    <row r="1009" spans="2:19" x14ac:dyDescent="0.2">
      <c r="B1009" s="213"/>
      <c r="C1009" s="213"/>
      <c r="D1009" s="213"/>
      <c r="E1009" s="213"/>
      <c r="F1009" s="213"/>
      <c r="G1009" s="525"/>
      <c r="H1009" s="213"/>
      <c r="I1009" s="213"/>
      <c r="J1009" s="213"/>
      <c r="K1009" s="213"/>
      <c r="L1009" s="213"/>
      <c r="N1009" s="525"/>
      <c r="O1009" s="525"/>
      <c r="P1009" s="525"/>
      <c r="Q1009" s="58"/>
      <c r="R1009" s="58"/>
      <c r="S1009" s="58"/>
    </row>
    <row r="1010" spans="2:19" x14ac:dyDescent="0.2">
      <c r="B1010" s="213"/>
      <c r="C1010" s="213"/>
      <c r="D1010" s="213"/>
      <c r="E1010" s="213"/>
      <c r="F1010" s="213"/>
      <c r="G1010" s="525"/>
      <c r="H1010" s="213"/>
      <c r="I1010" s="213"/>
      <c r="J1010" s="213"/>
      <c r="K1010" s="213"/>
      <c r="L1010" s="213"/>
      <c r="N1010" s="525"/>
      <c r="O1010" s="525"/>
      <c r="P1010" s="525"/>
      <c r="Q1010" s="58"/>
      <c r="R1010" s="58"/>
      <c r="S1010" s="58"/>
    </row>
    <row r="1011" spans="2:19" x14ac:dyDescent="0.2">
      <c r="B1011" s="213"/>
      <c r="C1011" s="213"/>
      <c r="D1011" s="213"/>
      <c r="E1011" s="213"/>
      <c r="F1011" s="213"/>
      <c r="G1011" s="525"/>
      <c r="H1011" s="213"/>
      <c r="I1011" s="213"/>
      <c r="J1011" s="213"/>
      <c r="K1011" s="213"/>
      <c r="L1011" s="213"/>
      <c r="N1011" s="525"/>
      <c r="O1011" s="525"/>
      <c r="P1011" s="525"/>
      <c r="Q1011" s="58"/>
      <c r="R1011" s="58"/>
      <c r="S1011" s="58"/>
    </row>
    <row r="1012" spans="2:19" x14ac:dyDescent="0.2">
      <c r="B1012" s="213"/>
      <c r="C1012" s="213"/>
      <c r="D1012" s="213"/>
      <c r="E1012" s="213"/>
      <c r="F1012" s="213"/>
      <c r="G1012" s="525"/>
      <c r="H1012" s="213"/>
      <c r="I1012" s="213"/>
      <c r="J1012" s="213"/>
      <c r="K1012" s="213"/>
      <c r="L1012" s="213"/>
      <c r="N1012" s="525"/>
      <c r="O1012" s="525"/>
      <c r="P1012" s="525"/>
      <c r="Q1012" s="58"/>
      <c r="R1012" s="58"/>
      <c r="S1012" s="58"/>
    </row>
    <row r="1013" spans="2:19" x14ac:dyDescent="0.2">
      <c r="B1013" s="213"/>
      <c r="C1013" s="213"/>
      <c r="D1013" s="213"/>
      <c r="E1013" s="213"/>
      <c r="F1013" s="213"/>
      <c r="G1013" s="525"/>
      <c r="H1013" s="213"/>
      <c r="I1013" s="213"/>
      <c r="J1013" s="213"/>
      <c r="K1013" s="213"/>
      <c r="L1013" s="213"/>
      <c r="N1013" s="525"/>
      <c r="O1013" s="525"/>
      <c r="P1013" s="525"/>
      <c r="Q1013" s="58"/>
      <c r="R1013" s="58"/>
      <c r="S1013" s="58"/>
    </row>
    <row r="1014" spans="2:19" x14ac:dyDescent="0.2">
      <c r="B1014" s="213"/>
      <c r="C1014" s="213"/>
      <c r="D1014" s="213"/>
      <c r="E1014" s="213"/>
      <c r="F1014" s="213"/>
      <c r="G1014" s="525"/>
      <c r="H1014" s="213"/>
      <c r="I1014" s="213"/>
      <c r="J1014" s="213"/>
      <c r="K1014" s="213"/>
      <c r="L1014" s="213"/>
      <c r="N1014" s="525"/>
      <c r="O1014" s="525"/>
      <c r="P1014" s="525"/>
      <c r="Q1014" s="58"/>
      <c r="R1014" s="58"/>
      <c r="S1014" s="58"/>
    </row>
    <row r="1015" spans="2:19" x14ac:dyDescent="0.2">
      <c r="B1015" s="213"/>
      <c r="C1015" s="213"/>
      <c r="D1015" s="213"/>
      <c r="E1015" s="213"/>
      <c r="F1015" s="213"/>
      <c r="G1015" s="525"/>
      <c r="H1015" s="213"/>
      <c r="I1015" s="213"/>
      <c r="J1015" s="213"/>
      <c r="K1015" s="213"/>
      <c r="L1015" s="213"/>
      <c r="N1015" s="525"/>
      <c r="O1015" s="525"/>
      <c r="P1015" s="525"/>
      <c r="Q1015" s="58"/>
      <c r="R1015" s="58"/>
      <c r="S1015" s="58"/>
    </row>
    <row r="1016" spans="2:19" x14ac:dyDescent="0.2">
      <c r="B1016" s="213"/>
      <c r="C1016" s="213"/>
      <c r="D1016" s="213"/>
      <c r="E1016" s="213"/>
      <c r="F1016" s="213"/>
      <c r="G1016" s="525"/>
      <c r="H1016" s="213"/>
      <c r="I1016" s="213"/>
      <c r="J1016" s="213"/>
      <c r="K1016" s="213"/>
      <c r="L1016" s="213"/>
      <c r="N1016" s="525"/>
      <c r="O1016" s="525"/>
      <c r="P1016" s="525"/>
      <c r="Q1016" s="58"/>
      <c r="R1016" s="58"/>
      <c r="S1016" s="58"/>
    </row>
    <row r="1017" spans="2:19" x14ac:dyDescent="0.2">
      <c r="B1017" s="213"/>
      <c r="C1017" s="213"/>
      <c r="D1017" s="213"/>
      <c r="E1017" s="213"/>
      <c r="F1017" s="213"/>
      <c r="G1017" s="525"/>
      <c r="H1017" s="213"/>
      <c r="I1017" s="213"/>
      <c r="J1017" s="213"/>
      <c r="K1017" s="213"/>
      <c r="L1017" s="213"/>
      <c r="N1017" s="525"/>
      <c r="O1017" s="525"/>
      <c r="P1017" s="525"/>
      <c r="Q1017" s="58"/>
      <c r="R1017" s="58"/>
      <c r="S1017" s="58"/>
    </row>
    <row r="1018" spans="2:19" x14ac:dyDescent="0.2">
      <c r="B1018" s="213"/>
      <c r="C1018" s="213"/>
      <c r="D1018" s="213"/>
      <c r="E1018" s="213"/>
      <c r="F1018" s="213"/>
      <c r="G1018" s="525"/>
      <c r="H1018" s="213"/>
      <c r="I1018" s="213"/>
      <c r="J1018" s="213"/>
      <c r="K1018" s="213"/>
      <c r="L1018" s="213"/>
      <c r="N1018" s="525"/>
      <c r="O1018" s="525"/>
      <c r="P1018" s="525"/>
      <c r="Q1018" s="58"/>
      <c r="R1018" s="58"/>
      <c r="S1018" s="58"/>
    </row>
    <row r="1019" spans="2:19" x14ac:dyDescent="0.2">
      <c r="B1019" s="213"/>
      <c r="C1019" s="213"/>
      <c r="D1019" s="213"/>
      <c r="E1019" s="213"/>
      <c r="F1019" s="213"/>
      <c r="G1019" s="525"/>
      <c r="H1019" s="213"/>
      <c r="I1019" s="213"/>
      <c r="J1019" s="213"/>
      <c r="K1019" s="213"/>
      <c r="L1019" s="213"/>
      <c r="N1019" s="525"/>
      <c r="O1019" s="525"/>
      <c r="P1019" s="525"/>
      <c r="Q1019" s="58"/>
      <c r="R1019" s="58"/>
      <c r="S1019" s="58"/>
    </row>
    <row r="1020" spans="2:19" x14ac:dyDescent="0.2">
      <c r="B1020" s="213"/>
      <c r="C1020" s="213"/>
      <c r="D1020" s="213"/>
      <c r="E1020" s="213"/>
      <c r="F1020" s="213"/>
      <c r="G1020" s="525"/>
      <c r="H1020" s="213"/>
      <c r="I1020" s="213"/>
      <c r="J1020" s="213"/>
      <c r="K1020" s="213"/>
      <c r="L1020" s="213"/>
      <c r="N1020" s="525"/>
      <c r="O1020" s="525"/>
      <c r="P1020" s="525"/>
      <c r="Q1020" s="58"/>
      <c r="R1020" s="58"/>
      <c r="S1020" s="58"/>
    </row>
    <row r="1021" spans="2:19" x14ac:dyDescent="0.2">
      <c r="B1021" s="213"/>
      <c r="C1021" s="213"/>
      <c r="D1021" s="213"/>
      <c r="E1021" s="213"/>
      <c r="F1021" s="213"/>
      <c r="G1021" s="525"/>
      <c r="H1021" s="213"/>
      <c r="I1021" s="213"/>
      <c r="J1021" s="213"/>
      <c r="K1021" s="213"/>
      <c r="L1021" s="213"/>
      <c r="N1021" s="525"/>
      <c r="O1021" s="525"/>
      <c r="P1021" s="525"/>
      <c r="Q1021" s="58"/>
      <c r="R1021" s="58"/>
      <c r="S1021" s="58"/>
    </row>
    <row r="1022" spans="2:19" x14ac:dyDescent="0.2">
      <c r="B1022" s="213"/>
      <c r="C1022" s="213"/>
      <c r="D1022" s="213"/>
      <c r="E1022" s="213"/>
      <c r="F1022" s="213"/>
      <c r="G1022" s="525"/>
      <c r="H1022" s="213"/>
      <c r="I1022" s="213"/>
      <c r="J1022" s="213"/>
      <c r="K1022" s="213"/>
      <c r="L1022" s="213"/>
      <c r="N1022" s="525"/>
      <c r="O1022" s="525"/>
      <c r="P1022" s="525"/>
      <c r="Q1022" s="58"/>
      <c r="R1022" s="58"/>
      <c r="S1022" s="58"/>
    </row>
    <row r="1023" spans="2:19" x14ac:dyDescent="0.2">
      <c r="B1023" s="213"/>
      <c r="C1023" s="213"/>
      <c r="D1023" s="213"/>
      <c r="E1023" s="213"/>
      <c r="F1023" s="213"/>
      <c r="G1023" s="525"/>
      <c r="H1023" s="213"/>
      <c r="I1023" s="213"/>
      <c r="J1023" s="213"/>
      <c r="K1023" s="213"/>
      <c r="L1023" s="213"/>
      <c r="N1023" s="525"/>
      <c r="O1023" s="525"/>
      <c r="P1023" s="525"/>
      <c r="Q1023" s="58"/>
      <c r="R1023" s="58"/>
      <c r="S1023" s="58"/>
    </row>
    <row r="1024" spans="2:19" x14ac:dyDescent="0.2">
      <c r="B1024" s="213"/>
      <c r="C1024" s="213"/>
      <c r="D1024" s="213"/>
      <c r="E1024" s="213"/>
      <c r="F1024" s="213"/>
      <c r="G1024" s="525"/>
      <c r="H1024" s="213"/>
      <c r="I1024" s="213"/>
      <c r="J1024" s="213"/>
      <c r="K1024" s="213"/>
      <c r="L1024" s="213"/>
      <c r="N1024" s="525"/>
      <c r="O1024" s="525"/>
      <c r="P1024" s="525"/>
      <c r="Q1024" s="58"/>
      <c r="R1024" s="58"/>
      <c r="S1024" s="58"/>
    </row>
    <row r="1025" spans="2:19" x14ac:dyDescent="0.2">
      <c r="B1025" s="213"/>
      <c r="C1025" s="213"/>
      <c r="D1025" s="213"/>
      <c r="E1025" s="213"/>
      <c r="F1025" s="213"/>
      <c r="G1025" s="525"/>
      <c r="H1025" s="213"/>
      <c r="I1025" s="213"/>
      <c r="J1025" s="213"/>
      <c r="K1025" s="213"/>
      <c r="L1025" s="213"/>
      <c r="N1025" s="525"/>
      <c r="O1025" s="525"/>
      <c r="P1025" s="525"/>
      <c r="Q1025" s="58"/>
      <c r="R1025" s="58"/>
      <c r="S1025" s="58"/>
    </row>
    <row r="1026" spans="2:19" x14ac:dyDescent="0.2">
      <c r="B1026" s="213"/>
      <c r="C1026" s="213"/>
      <c r="D1026" s="213"/>
      <c r="E1026" s="213"/>
      <c r="F1026" s="213"/>
      <c r="G1026" s="525"/>
      <c r="H1026" s="213"/>
      <c r="I1026" s="213"/>
      <c r="J1026" s="213"/>
      <c r="K1026" s="213"/>
      <c r="L1026" s="213"/>
      <c r="N1026" s="525"/>
      <c r="O1026" s="525"/>
      <c r="P1026" s="525"/>
      <c r="Q1026" s="58"/>
      <c r="R1026" s="58"/>
      <c r="S1026" s="58"/>
    </row>
    <row r="1027" spans="2:19" x14ac:dyDescent="0.2">
      <c r="B1027" s="213"/>
      <c r="C1027" s="213"/>
      <c r="D1027" s="213"/>
      <c r="E1027" s="213"/>
      <c r="F1027" s="213"/>
      <c r="G1027" s="525"/>
      <c r="H1027" s="213"/>
      <c r="I1027" s="213"/>
      <c r="J1027" s="213"/>
      <c r="K1027" s="213"/>
      <c r="L1027" s="213"/>
      <c r="N1027" s="525"/>
      <c r="O1027" s="525"/>
      <c r="P1027" s="525"/>
      <c r="Q1027" s="58"/>
      <c r="R1027" s="58"/>
      <c r="S1027" s="58"/>
    </row>
    <row r="1028" spans="2:19" x14ac:dyDescent="0.2">
      <c r="B1028" s="213"/>
      <c r="C1028" s="213"/>
      <c r="D1028" s="213"/>
      <c r="E1028" s="213"/>
      <c r="F1028" s="213"/>
      <c r="G1028" s="525"/>
      <c r="H1028" s="213"/>
      <c r="I1028" s="213"/>
      <c r="J1028" s="213"/>
      <c r="K1028" s="213"/>
      <c r="L1028" s="213"/>
      <c r="N1028" s="525"/>
      <c r="O1028" s="525"/>
      <c r="P1028" s="525"/>
      <c r="Q1028" s="58"/>
      <c r="R1028" s="58"/>
      <c r="S1028" s="58"/>
    </row>
    <row r="1029" spans="2:19" x14ac:dyDescent="0.2">
      <c r="B1029" s="213"/>
      <c r="C1029" s="213"/>
      <c r="D1029" s="213"/>
      <c r="E1029" s="213"/>
      <c r="F1029" s="213"/>
      <c r="G1029" s="525"/>
      <c r="H1029" s="213"/>
      <c r="I1029" s="213"/>
      <c r="J1029" s="213"/>
      <c r="K1029" s="213"/>
      <c r="L1029" s="213"/>
      <c r="N1029" s="525"/>
      <c r="O1029" s="525"/>
      <c r="P1029" s="525"/>
      <c r="Q1029" s="58"/>
      <c r="R1029" s="58"/>
      <c r="S1029" s="58"/>
    </row>
    <row r="1030" spans="2:19" x14ac:dyDescent="0.2">
      <c r="B1030" s="213"/>
      <c r="C1030" s="213"/>
      <c r="D1030" s="213"/>
      <c r="E1030" s="213"/>
      <c r="F1030" s="213"/>
      <c r="G1030" s="525"/>
      <c r="H1030" s="213"/>
      <c r="I1030" s="213"/>
      <c r="J1030" s="213"/>
      <c r="K1030" s="213"/>
      <c r="L1030" s="213"/>
      <c r="N1030" s="525"/>
      <c r="O1030" s="525"/>
      <c r="P1030" s="525"/>
      <c r="Q1030" s="58"/>
      <c r="R1030" s="58"/>
      <c r="S1030" s="58"/>
    </row>
    <row r="1031" spans="2:19" x14ac:dyDescent="0.2">
      <c r="B1031" s="213"/>
      <c r="C1031" s="213"/>
      <c r="D1031" s="213"/>
      <c r="E1031" s="213"/>
      <c r="F1031" s="213"/>
      <c r="G1031" s="525"/>
      <c r="H1031" s="213"/>
      <c r="I1031" s="213"/>
      <c r="J1031" s="213"/>
      <c r="K1031" s="213"/>
      <c r="L1031" s="213"/>
      <c r="N1031" s="525"/>
      <c r="O1031" s="525"/>
      <c r="P1031" s="525"/>
      <c r="Q1031" s="58"/>
      <c r="R1031" s="58"/>
      <c r="S1031" s="58"/>
    </row>
    <row r="1032" spans="2:19" x14ac:dyDescent="0.2">
      <c r="B1032" s="213"/>
      <c r="C1032" s="213"/>
      <c r="D1032" s="213"/>
      <c r="E1032" s="213"/>
      <c r="F1032" s="213"/>
      <c r="G1032" s="525"/>
      <c r="H1032" s="213"/>
      <c r="I1032" s="213"/>
      <c r="J1032" s="213"/>
      <c r="K1032" s="213"/>
      <c r="L1032" s="213"/>
      <c r="N1032" s="525"/>
      <c r="O1032" s="525"/>
      <c r="P1032" s="525"/>
      <c r="Q1032" s="58"/>
      <c r="R1032" s="58"/>
      <c r="S1032" s="58"/>
    </row>
    <row r="1033" spans="2:19" x14ac:dyDescent="0.2">
      <c r="B1033" s="213"/>
      <c r="C1033" s="213"/>
      <c r="D1033" s="213"/>
      <c r="E1033" s="213"/>
      <c r="F1033" s="213"/>
      <c r="G1033" s="525"/>
      <c r="H1033" s="213"/>
      <c r="I1033" s="213"/>
      <c r="J1033" s="213"/>
      <c r="K1033" s="213"/>
      <c r="L1033" s="213"/>
      <c r="N1033" s="525"/>
      <c r="O1033" s="525"/>
      <c r="P1033" s="525"/>
      <c r="Q1033" s="58"/>
      <c r="R1033" s="58"/>
      <c r="S1033" s="58"/>
    </row>
    <row r="1034" spans="2:19" x14ac:dyDescent="0.2">
      <c r="B1034" s="213"/>
      <c r="C1034" s="213"/>
      <c r="D1034" s="213"/>
      <c r="E1034" s="213"/>
      <c r="F1034" s="213"/>
      <c r="G1034" s="525"/>
      <c r="H1034" s="213"/>
      <c r="I1034" s="213"/>
      <c r="J1034" s="213"/>
      <c r="K1034" s="213"/>
      <c r="L1034" s="213"/>
      <c r="N1034" s="525"/>
      <c r="O1034" s="525"/>
      <c r="P1034" s="525"/>
      <c r="Q1034" s="58"/>
      <c r="R1034" s="58"/>
      <c r="S1034" s="58"/>
    </row>
    <row r="1035" spans="2:19" x14ac:dyDescent="0.2">
      <c r="B1035" s="213"/>
      <c r="C1035" s="213"/>
      <c r="D1035" s="213"/>
      <c r="E1035" s="213"/>
      <c r="F1035" s="213"/>
      <c r="G1035" s="525"/>
      <c r="H1035" s="213"/>
      <c r="I1035" s="213"/>
      <c r="J1035" s="213"/>
      <c r="K1035" s="213"/>
      <c r="L1035" s="213"/>
      <c r="N1035" s="525"/>
      <c r="O1035" s="525"/>
      <c r="P1035" s="525"/>
      <c r="Q1035" s="58"/>
      <c r="R1035" s="58"/>
      <c r="S1035" s="58"/>
    </row>
    <row r="1036" spans="2:19" x14ac:dyDescent="0.2">
      <c r="B1036" s="213"/>
      <c r="C1036" s="213"/>
      <c r="D1036" s="213"/>
      <c r="E1036" s="213"/>
      <c r="F1036" s="213"/>
      <c r="G1036" s="525"/>
      <c r="H1036" s="213"/>
      <c r="I1036" s="213"/>
      <c r="J1036" s="213"/>
      <c r="K1036" s="213"/>
      <c r="L1036" s="213"/>
      <c r="N1036" s="525"/>
      <c r="O1036" s="525"/>
      <c r="P1036" s="525"/>
      <c r="Q1036" s="58"/>
      <c r="R1036" s="58"/>
      <c r="S1036" s="58"/>
    </row>
    <row r="1037" spans="2:19" x14ac:dyDescent="0.2">
      <c r="B1037" s="213"/>
      <c r="C1037" s="213"/>
      <c r="D1037" s="213"/>
      <c r="E1037" s="213"/>
      <c r="F1037" s="213"/>
      <c r="G1037" s="525"/>
      <c r="H1037" s="213"/>
      <c r="I1037" s="213"/>
      <c r="J1037" s="213"/>
      <c r="K1037" s="213"/>
      <c r="L1037" s="213"/>
      <c r="N1037" s="525"/>
      <c r="O1037" s="525"/>
      <c r="P1037" s="525"/>
      <c r="Q1037" s="58"/>
      <c r="R1037" s="58"/>
      <c r="S1037" s="58"/>
    </row>
    <row r="1038" spans="2:19" x14ac:dyDescent="0.2">
      <c r="B1038" s="213"/>
      <c r="C1038" s="213"/>
      <c r="D1038" s="213"/>
      <c r="E1038" s="213"/>
      <c r="F1038" s="213"/>
      <c r="G1038" s="525"/>
      <c r="H1038" s="213"/>
      <c r="I1038" s="213"/>
      <c r="J1038" s="213"/>
      <c r="K1038" s="213"/>
      <c r="L1038" s="213"/>
      <c r="N1038" s="525"/>
      <c r="O1038" s="525"/>
      <c r="P1038" s="525"/>
      <c r="Q1038" s="58"/>
      <c r="R1038" s="58"/>
      <c r="S1038" s="58"/>
    </row>
    <row r="1039" spans="2:19" x14ac:dyDescent="0.2">
      <c r="B1039" s="213"/>
      <c r="C1039" s="213"/>
      <c r="D1039" s="213"/>
      <c r="E1039" s="213"/>
      <c r="F1039" s="213"/>
      <c r="G1039" s="525"/>
      <c r="H1039" s="213"/>
      <c r="I1039" s="213"/>
      <c r="J1039" s="213"/>
      <c r="K1039" s="213"/>
      <c r="L1039" s="213"/>
      <c r="N1039" s="525"/>
      <c r="O1039" s="525"/>
      <c r="P1039" s="525"/>
      <c r="Q1039" s="58"/>
      <c r="R1039" s="58"/>
      <c r="S1039" s="58"/>
    </row>
    <row r="1040" spans="2:19" x14ac:dyDescent="0.2">
      <c r="B1040" s="213"/>
      <c r="C1040" s="213"/>
      <c r="D1040" s="213"/>
      <c r="E1040" s="213"/>
      <c r="F1040" s="213"/>
      <c r="G1040" s="525"/>
      <c r="H1040" s="213"/>
      <c r="I1040" s="213"/>
      <c r="J1040" s="213"/>
      <c r="K1040" s="213"/>
      <c r="L1040" s="213"/>
      <c r="N1040" s="525"/>
      <c r="O1040" s="525"/>
      <c r="P1040" s="525"/>
      <c r="Q1040" s="58"/>
      <c r="R1040" s="58"/>
      <c r="S1040" s="58"/>
    </row>
    <row r="1041" spans="2:19" x14ac:dyDescent="0.2">
      <c r="B1041" s="213"/>
      <c r="C1041" s="213"/>
      <c r="D1041" s="213"/>
      <c r="E1041" s="213"/>
      <c r="F1041" s="213"/>
      <c r="G1041" s="525"/>
      <c r="H1041" s="213"/>
      <c r="I1041" s="213"/>
      <c r="J1041" s="213"/>
      <c r="K1041" s="213"/>
      <c r="L1041" s="213"/>
      <c r="N1041" s="525"/>
      <c r="O1041" s="525"/>
      <c r="P1041" s="525"/>
      <c r="Q1041" s="58"/>
      <c r="R1041" s="58"/>
      <c r="S1041" s="58"/>
    </row>
    <row r="1042" spans="2:19" x14ac:dyDescent="0.2">
      <c r="B1042" s="213"/>
      <c r="C1042" s="213"/>
      <c r="D1042" s="213"/>
      <c r="E1042" s="213"/>
      <c r="F1042" s="213"/>
      <c r="G1042" s="525"/>
      <c r="H1042" s="213"/>
      <c r="I1042" s="213"/>
      <c r="J1042" s="213"/>
      <c r="K1042" s="213"/>
      <c r="L1042" s="213"/>
      <c r="N1042" s="525"/>
      <c r="O1042" s="525"/>
      <c r="P1042" s="525"/>
      <c r="Q1042" s="58"/>
      <c r="R1042" s="58"/>
      <c r="S1042" s="58"/>
    </row>
    <row r="1043" spans="2:19" x14ac:dyDescent="0.2">
      <c r="B1043" s="213"/>
      <c r="C1043" s="213"/>
      <c r="D1043" s="213"/>
      <c r="E1043" s="213"/>
      <c r="F1043" s="213"/>
      <c r="G1043" s="525"/>
      <c r="H1043" s="213"/>
      <c r="I1043" s="213"/>
      <c r="J1043" s="213"/>
      <c r="K1043" s="213"/>
      <c r="L1043" s="213"/>
      <c r="N1043" s="525"/>
      <c r="O1043" s="525"/>
      <c r="P1043" s="525"/>
      <c r="Q1043" s="58"/>
      <c r="R1043" s="58"/>
      <c r="S1043" s="58"/>
    </row>
    <row r="1044" spans="2:19" x14ac:dyDescent="0.2">
      <c r="B1044" s="213"/>
      <c r="C1044" s="213"/>
      <c r="D1044" s="213"/>
      <c r="E1044" s="213"/>
      <c r="F1044" s="213"/>
      <c r="G1044" s="525"/>
      <c r="H1044" s="213"/>
      <c r="I1044" s="213"/>
      <c r="J1044" s="213"/>
      <c r="K1044" s="213"/>
      <c r="L1044" s="213"/>
      <c r="N1044" s="525"/>
      <c r="O1044" s="525"/>
      <c r="P1044" s="525"/>
      <c r="Q1044" s="58"/>
      <c r="R1044" s="58"/>
      <c r="S1044" s="58"/>
    </row>
    <row r="1045" spans="2:19" x14ac:dyDescent="0.2">
      <c r="B1045" s="213"/>
      <c r="C1045" s="213"/>
      <c r="D1045" s="213"/>
      <c r="E1045" s="213"/>
      <c r="F1045" s="213"/>
      <c r="G1045" s="525"/>
      <c r="H1045" s="213"/>
      <c r="I1045" s="213"/>
      <c r="J1045" s="213"/>
      <c r="K1045" s="213"/>
      <c r="L1045" s="213"/>
      <c r="N1045" s="525"/>
      <c r="O1045" s="525"/>
      <c r="P1045" s="525"/>
      <c r="Q1045" s="58"/>
      <c r="R1045" s="58"/>
      <c r="S1045" s="58"/>
    </row>
    <row r="1046" spans="2:19" x14ac:dyDescent="0.2">
      <c r="B1046" s="213"/>
      <c r="C1046" s="213"/>
      <c r="D1046" s="213"/>
      <c r="E1046" s="213"/>
      <c r="F1046" s="213"/>
      <c r="G1046" s="525"/>
      <c r="H1046" s="213"/>
      <c r="I1046" s="213"/>
      <c r="J1046" s="213"/>
      <c r="K1046" s="213"/>
      <c r="L1046" s="213"/>
      <c r="N1046" s="525"/>
      <c r="O1046" s="525"/>
      <c r="P1046" s="525"/>
      <c r="Q1046" s="58"/>
      <c r="R1046" s="58"/>
      <c r="S1046" s="58"/>
    </row>
    <row r="1047" spans="2:19" x14ac:dyDescent="0.2">
      <c r="B1047" s="213"/>
      <c r="C1047" s="213"/>
      <c r="D1047" s="213"/>
      <c r="E1047" s="213"/>
      <c r="F1047" s="213"/>
      <c r="G1047" s="525"/>
      <c r="H1047" s="213"/>
      <c r="I1047" s="213"/>
      <c r="J1047" s="213"/>
      <c r="K1047" s="213"/>
      <c r="L1047" s="213"/>
      <c r="N1047" s="525"/>
      <c r="O1047" s="525"/>
      <c r="P1047" s="525"/>
      <c r="Q1047" s="58"/>
      <c r="R1047" s="58"/>
      <c r="S1047" s="58"/>
    </row>
    <row r="1048" spans="2:19" x14ac:dyDescent="0.2">
      <c r="B1048" s="213"/>
      <c r="C1048" s="213"/>
      <c r="D1048" s="213"/>
      <c r="E1048" s="213"/>
      <c r="F1048" s="213"/>
      <c r="G1048" s="525"/>
      <c r="H1048" s="213"/>
      <c r="I1048" s="213"/>
      <c r="J1048" s="213"/>
      <c r="K1048" s="213"/>
      <c r="L1048" s="213"/>
      <c r="N1048" s="525"/>
      <c r="O1048" s="525"/>
      <c r="P1048" s="525"/>
      <c r="Q1048" s="58"/>
      <c r="R1048" s="58"/>
      <c r="S1048" s="58"/>
    </row>
    <row r="1049" spans="2:19" x14ac:dyDescent="0.2">
      <c r="B1049" s="213"/>
      <c r="C1049" s="213"/>
      <c r="D1049" s="213"/>
      <c r="E1049" s="213"/>
      <c r="F1049" s="213"/>
      <c r="G1049" s="525"/>
      <c r="H1049" s="213"/>
      <c r="I1049" s="213"/>
      <c r="J1049" s="213"/>
      <c r="K1049" s="213"/>
      <c r="L1049" s="213"/>
      <c r="N1049" s="525"/>
      <c r="O1049" s="525"/>
      <c r="P1049" s="525"/>
      <c r="Q1049" s="58"/>
      <c r="R1049" s="58"/>
      <c r="S1049" s="58"/>
    </row>
    <row r="1050" spans="2:19" x14ac:dyDescent="0.2">
      <c r="B1050" s="213"/>
      <c r="C1050" s="213"/>
      <c r="D1050" s="213"/>
      <c r="E1050" s="213"/>
      <c r="F1050" s="213"/>
      <c r="G1050" s="525"/>
      <c r="H1050" s="213"/>
      <c r="I1050" s="213"/>
      <c r="J1050" s="213"/>
      <c r="K1050" s="213"/>
      <c r="L1050" s="213"/>
      <c r="N1050" s="525"/>
      <c r="O1050" s="525"/>
      <c r="P1050" s="525"/>
      <c r="Q1050" s="58"/>
      <c r="R1050" s="58"/>
      <c r="S1050" s="58"/>
    </row>
    <row r="1051" spans="2:19" x14ac:dyDescent="0.2">
      <c r="B1051" s="213"/>
      <c r="C1051" s="213"/>
      <c r="D1051" s="213"/>
      <c r="E1051" s="213"/>
      <c r="F1051" s="213"/>
      <c r="G1051" s="525"/>
      <c r="H1051" s="213"/>
      <c r="I1051" s="213"/>
      <c r="J1051" s="213"/>
      <c r="K1051" s="213"/>
      <c r="L1051" s="213"/>
      <c r="N1051" s="525"/>
      <c r="O1051" s="525"/>
      <c r="P1051" s="525"/>
      <c r="Q1051" s="58"/>
      <c r="R1051" s="58"/>
      <c r="S1051" s="58"/>
    </row>
    <row r="1052" spans="2:19" x14ac:dyDescent="0.2">
      <c r="B1052" s="213"/>
      <c r="C1052" s="213"/>
      <c r="D1052" s="213"/>
      <c r="E1052" s="213"/>
      <c r="F1052" s="213"/>
      <c r="G1052" s="525"/>
      <c r="H1052" s="213"/>
      <c r="I1052" s="213"/>
      <c r="J1052" s="213"/>
      <c r="K1052" s="213"/>
      <c r="L1052" s="213"/>
      <c r="N1052" s="525"/>
      <c r="O1052" s="525"/>
      <c r="P1052" s="525"/>
      <c r="Q1052" s="58"/>
      <c r="R1052" s="58"/>
      <c r="S1052" s="58"/>
    </row>
    <row r="1053" spans="2:19" x14ac:dyDescent="0.2">
      <c r="B1053" s="213"/>
      <c r="C1053" s="213"/>
      <c r="D1053" s="213"/>
      <c r="E1053" s="213"/>
      <c r="F1053" s="213"/>
      <c r="G1053" s="525"/>
      <c r="H1053" s="213"/>
      <c r="I1053" s="213"/>
      <c r="J1053" s="213"/>
      <c r="K1053" s="213"/>
      <c r="L1053" s="213"/>
      <c r="N1053" s="525"/>
      <c r="O1053" s="525"/>
      <c r="P1053" s="525"/>
      <c r="Q1053" s="58"/>
      <c r="R1053" s="58"/>
      <c r="S1053" s="58"/>
    </row>
    <row r="1054" spans="2:19" x14ac:dyDescent="0.2">
      <c r="B1054" s="213"/>
      <c r="C1054" s="213"/>
      <c r="D1054" s="213"/>
      <c r="E1054" s="213"/>
      <c r="F1054" s="213"/>
      <c r="G1054" s="525"/>
      <c r="H1054" s="213"/>
      <c r="I1054" s="213"/>
      <c r="J1054" s="213"/>
      <c r="K1054" s="213"/>
      <c r="L1054" s="213"/>
      <c r="N1054" s="525"/>
      <c r="O1054" s="525"/>
      <c r="P1054" s="525"/>
      <c r="Q1054" s="58"/>
      <c r="R1054" s="58"/>
      <c r="S1054" s="58"/>
    </row>
    <row r="1055" spans="2:19" x14ac:dyDescent="0.2">
      <c r="B1055" s="213"/>
      <c r="C1055" s="213"/>
      <c r="D1055" s="213"/>
      <c r="E1055" s="213"/>
      <c r="F1055" s="213"/>
      <c r="G1055" s="525"/>
      <c r="H1055" s="213"/>
      <c r="I1055" s="213"/>
      <c r="J1055" s="213"/>
      <c r="K1055" s="213"/>
      <c r="L1055" s="213"/>
      <c r="N1055" s="525"/>
      <c r="O1055" s="525"/>
      <c r="P1055" s="525"/>
      <c r="Q1055" s="58"/>
      <c r="R1055" s="58"/>
      <c r="S1055" s="58"/>
    </row>
    <row r="1056" spans="2:19" x14ac:dyDescent="0.2">
      <c r="B1056" s="213"/>
      <c r="C1056" s="213"/>
      <c r="D1056" s="213"/>
      <c r="E1056" s="213"/>
      <c r="F1056" s="213"/>
      <c r="G1056" s="525"/>
      <c r="H1056" s="213"/>
      <c r="I1056" s="213"/>
      <c r="J1056" s="213"/>
      <c r="K1056" s="213"/>
      <c r="L1056" s="213"/>
      <c r="N1056" s="525"/>
      <c r="O1056" s="525"/>
      <c r="P1056" s="525"/>
      <c r="Q1056" s="58"/>
      <c r="R1056" s="58"/>
      <c r="S1056" s="58"/>
    </row>
    <row r="1057" spans="2:19" x14ac:dyDescent="0.2">
      <c r="B1057" s="213"/>
      <c r="C1057" s="213"/>
      <c r="D1057" s="213"/>
      <c r="E1057" s="213"/>
      <c r="F1057" s="213"/>
      <c r="G1057" s="525"/>
      <c r="H1057" s="213"/>
      <c r="I1057" s="213"/>
      <c r="J1057" s="213"/>
      <c r="K1057" s="213"/>
      <c r="L1057" s="213"/>
      <c r="N1057" s="525"/>
      <c r="O1057" s="525"/>
      <c r="P1057" s="525"/>
      <c r="Q1057" s="58"/>
      <c r="R1057" s="58"/>
      <c r="S1057" s="58"/>
    </row>
    <row r="1058" spans="2:19" x14ac:dyDescent="0.2">
      <c r="B1058" s="213"/>
      <c r="C1058" s="213"/>
      <c r="D1058" s="213"/>
      <c r="E1058" s="213"/>
      <c r="F1058" s="213"/>
      <c r="G1058" s="525"/>
      <c r="H1058" s="213"/>
      <c r="I1058" s="213"/>
      <c r="J1058" s="213"/>
      <c r="K1058" s="213"/>
      <c r="L1058" s="213"/>
      <c r="N1058" s="525"/>
      <c r="O1058" s="525"/>
      <c r="P1058" s="525"/>
      <c r="Q1058" s="58"/>
      <c r="R1058" s="58"/>
      <c r="S1058" s="58"/>
    </row>
    <row r="1059" spans="2:19" x14ac:dyDescent="0.2">
      <c r="B1059" s="213"/>
      <c r="C1059" s="213"/>
      <c r="D1059" s="213"/>
      <c r="E1059" s="213"/>
      <c r="F1059" s="213"/>
      <c r="G1059" s="525"/>
      <c r="H1059" s="213"/>
      <c r="I1059" s="213"/>
      <c r="J1059" s="213"/>
      <c r="K1059" s="213"/>
      <c r="L1059" s="213"/>
      <c r="N1059" s="525"/>
      <c r="O1059" s="525"/>
      <c r="P1059" s="525"/>
      <c r="Q1059" s="58"/>
      <c r="R1059" s="58"/>
      <c r="S1059" s="58"/>
    </row>
    <row r="1060" spans="2:19" x14ac:dyDescent="0.2">
      <c r="B1060" s="213"/>
      <c r="C1060" s="213"/>
      <c r="D1060" s="213"/>
      <c r="E1060" s="213"/>
      <c r="F1060" s="213"/>
      <c r="G1060" s="525"/>
      <c r="H1060" s="213"/>
      <c r="I1060" s="213"/>
      <c r="J1060" s="213"/>
      <c r="K1060" s="213"/>
      <c r="L1060" s="213"/>
      <c r="N1060" s="525"/>
      <c r="O1060" s="525"/>
      <c r="P1060" s="525"/>
      <c r="Q1060" s="58"/>
      <c r="R1060" s="58"/>
      <c r="S1060" s="58"/>
    </row>
    <row r="1061" spans="2:19" x14ac:dyDescent="0.2">
      <c r="B1061" s="213"/>
      <c r="C1061" s="213"/>
      <c r="D1061" s="213"/>
      <c r="E1061" s="213"/>
      <c r="F1061" s="213"/>
      <c r="G1061" s="525"/>
      <c r="H1061" s="213"/>
      <c r="I1061" s="213"/>
      <c r="J1061" s="213"/>
      <c r="K1061" s="213"/>
      <c r="L1061" s="213"/>
      <c r="N1061" s="525"/>
      <c r="O1061" s="525"/>
      <c r="P1061" s="525"/>
      <c r="Q1061" s="58"/>
      <c r="R1061" s="58"/>
      <c r="S1061" s="58"/>
    </row>
    <row r="1062" spans="2:19" x14ac:dyDescent="0.2">
      <c r="B1062" s="213"/>
      <c r="C1062" s="213"/>
      <c r="D1062" s="213"/>
      <c r="E1062" s="213"/>
      <c r="F1062" s="213"/>
      <c r="G1062" s="525"/>
      <c r="H1062" s="213"/>
      <c r="I1062" s="213"/>
      <c r="J1062" s="213"/>
      <c r="K1062" s="213"/>
      <c r="L1062" s="213"/>
      <c r="N1062" s="525"/>
      <c r="O1062" s="525"/>
      <c r="P1062" s="525"/>
      <c r="Q1062" s="58"/>
      <c r="R1062" s="58"/>
      <c r="S1062" s="58"/>
    </row>
    <row r="1063" spans="2:19" x14ac:dyDescent="0.2">
      <c r="B1063" s="213"/>
      <c r="C1063" s="213"/>
      <c r="D1063" s="213"/>
      <c r="E1063" s="213"/>
      <c r="F1063" s="213"/>
      <c r="G1063" s="525"/>
      <c r="H1063" s="213"/>
      <c r="I1063" s="213"/>
      <c r="J1063" s="213"/>
      <c r="K1063" s="213"/>
      <c r="L1063" s="213"/>
      <c r="N1063" s="525"/>
      <c r="O1063" s="525"/>
      <c r="P1063" s="525"/>
      <c r="Q1063" s="58"/>
      <c r="R1063" s="58"/>
      <c r="S1063" s="58"/>
    </row>
    <row r="1064" spans="2:19" x14ac:dyDescent="0.2">
      <c r="B1064" s="213"/>
      <c r="C1064" s="213"/>
      <c r="D1064" s="213"/>
      <c r="E1064" s="213"/>
      <c r="F1064" s="213"/>
      <c r="G1064" s="525"/>
      <c r="H1064" s="213"/>
      <c r="I1064" s="213"/>
      <c r="J1064" s="213"/>
      <c r="K1064" s="213"/>
      <c r="L1064" s="213"/>
      <c r="N1064" s="525"/>
      <c r="O1064" s="525"/>
      <c r="P1064" s="525"/>
      <c r="Q1064" s="58"/>
      <c r="R1064" s="58"/>
      <c r="S1064" s="58"/>
    </row>
    <row r="1065" spans="2:19" x14ac:dyDescent="0.2">
      <c r="B1065" s="213"/>
      <c r="C1065" s="213"/>
      <c r="D1065" s="213"/>
      <c r="E1065" s="213"/>
      <c r="F1065" s="213"/>
      <c r="G1065" s="525"/>
      <c r="H1065" s="213"/>
      <c r="I1065" s="213"/>
      <c r="J1065" s="213"/>
      <c r="K1065" s="213"/>
      <c r="L1065" s="213"/>
      <c r="N1065" s="525"/>
      <c r="O1065" s="525"/>
      <c r="P1065" s="525"/>
      <c r="Q1065" s="58"/>
      <c r="R1065" s="58"/>
      <c r="S1065" s="58"/>
    </row>
    <row r="1066" spans="2:19" x14ac:dyDescent="0.2">
      <c r="B1066" s="213"/>
      <c r="C1066" s="213"/>
      <c r="D1066" s="213"/>
      <c r="E1066" s="213"/>
      <c r="F1066" s="213"/>
      <c r="G1066" s="525"/>
      <c r="H1066" s="213"/>
      <c r="I1066" s="213"/>
      <c r="J1066" s="213"/>
      <c r="K1066" s="213"/>
      <c r="L1066" s="213"/>
      <c r="N1066" s="525"/>
      <c r="O1066" s="525"/>
      <c r="P1066" s="525"/>
      <c r="Q1066" s="58"/>
      <c r="R1066" s="58"/>
      <c r="S1066" s="58"/>
    </row>
    <row r="1067" spans="2:19" x14ac:dyDescent="0.2">
      <c r="B1067" s="213"/>
      <c r="C1067" s="213"/>
      <c r="D1067" s="213"/>
      <c r="E1067" s="213"/>
      <c r="F1067" s="213"/>
      <c r="G1067" s="525"/>
      <c r="H1067" s="213"/>
      <c r="I1067" s="213"/>
      <c r="J1067" s="213"/>
      <c r="K1067" s="213"/>
      <c r="L1067" s="213"/>
      <c r="N1067" s="525"/>
      <c r="O1067" s="525"/>
      <c r="P1067" s="525"/>
      <c r="Q1067" s="58"/>
      <c r="R1067" s="58"/>
      <c r="S1067" s="58"/>
    </row>
    <row r="1068" spans="2:19" x14ac:dyDescent="0.2">
      <c r="B1068" s="213"/>
      <c r="C1068" s="213"/>
      <c r="D1068" s="213"/>
      <c r="E1068" s="213"/>
      <c r="F1068" s="213"/>
      <c r="G1068" s="525"/>
      <c r="H1068" s="213"/>
      <c r="I1068" s="213"/>
      <c r="J1068" s="213"/>
      <c r="K1068" s="213"/>
      <c r="L1068" s="213"/>
      <c r="N1068" s="525"/>
      <c r="O1068" s="525"/>
      <c r="P1068" s="525"/>
      <c r="Q1068" s="58"/>
      <c r="R1068" s="58"/>
      <c r="S1068" s="58"/>
    </row>
    <row r="1069" spans="2:19" x14ac:dyDescent="0.2">
      <c r="B1069" s="213"/>
      <c r="C1069" s="213"/>
      <c r="D1069" s="213"/>
      <c r="E1069" s="213"/>
      <c r="F1069" s="213"/>
      <c r="G1069" s="525"/>
      <c r="H1069" s="213"/>
      <c r="I1069" s="213"/>
      <c r="J1069" s="213"/>
      <c r="K1069" s="213"/>
      <c r="L1069" s="213"/>
      <c r="N1069" s="525"/>
      <c r="O1069" s="525"/>
      <c r="P1069" s="525"/>
      <c r="Q1069" s="58"/>
      <c r="R1069" s="58"/>
      <c r="S1069" s="58"/>
    </row>
    <row r="1070" spans="2:19" x14ac:dyDescent="0.2">
      <c r="B1070" s="213"/>
      <c r="C1070" s="213"/>
      <c r="D1070" s="213"/>
      <c r="E1070" s="213"/>
      <c r="F1070" s="213"/>
      <c r="G1070" s="525"/>
      <c r="H1070" s="213"/>
      <c r="I1070" s="213"/>
      <c r="J1070" s="213"/>
      <c r="K1070" s="213"/>
      <c r="L1070" s="213"/>
      <c r="N1070" s="525"/>
      <c r="O1070" s="525"/>
      <c r="P1070" s="525"/>
      <c r="Q1070" s="58"/>
      <c r="R1070" s="58"/>
      <c r="S1070" s="58"/>
    </row>
    <row r="1071" spans="2:19" x14ac:dyDescent="0.2">
      <c r="B1071" s="213"/>
      <c r="C1071" s="213"/>
      <c r="D1071" s="213"/>
      <c r="E1071" s="213"/>
      <c r="F1071" s="213"/>
      <c r="G1071" s="525"/>
      <c r="H1071" s="213"/>
      <c r="I1071" s="213"/>
      <c r="J1071" s="213"/>
      <c r="K1071" s="213"/>
      <c r="L1071" s="213"/>
      <c r="N1071" s="525"/>
      <c r="O1071" s="525"/>
      <c r="P1071" s="525"/>
      <c r="Q1071" s="58"/>
      <c r="R1071" s="58"/>
      <c r="S1071" s="58"/>
    </row>
    <row r="1072" spans="2:19" x14ac:dyDescent="0.2">
      <c r="B1072" s="213"/>
      <c r="C1072" s="213"/>
      <c r="D1072" s="213"/>
      <c r="E1072" s="213"/>
      <c r="F1072" s="213"/>
      <c r="G1072" s="525"/>
      <c r="H1072" s="213"/>
      <c r="I1072" s="213"/>
      <c r="J1072" s="213"/>
      <c r="K1072" s="213"/>
      <c r="L1072" s="213"/>
      <c r="N1072" s="525"/>
      <c r="O1072" s="525"/>
      <c r="P1072" s="525"/>
      <c r="Q1072" s="58"/>
      <c r="R1072" s="58"/>
      <c r="S1072" s="58"/>
    </row>
    <row r="1073" spans="2:19" x14ac:dyDescent="0.2">
      <c r="B1073" s="213"/>
      <c r="C1073" s="213"/>
      <c r="D1073" s="213"/>
      <c r="E1073" s="213"/>
      <c r="F1073" s="213"/>
      <c r="G1073" s="525"/>
      <c r="H1073" s="213"/>
      <c r="I1073" s="213"/>
      <c r="J1073" s="213"/>
      <c r="K1073" s="213"/>
      <c r="L1073" s="213"/>
      <c r="N1073" s="525"/>
      <c r="O1073" s="525"/>
      <c r="P1073" s="525"/>
      <c r="Q1073" s="58"/>
      <c r="R1073" s="58"/>
      <c r="S1073" s="58"/>
    </row>
    <row r="1074" spans="2:19" x14ac:dyDescent="0.2">
      <c r="B1074" s="213"/>
      <c r="C1074" s="213"/>
      <c r="D1074" s="213"/>
      <c r="E1074" s="213"/>
      <c r="F1074" s="213"/>
      <c r="G1074" s="525"/>
      <c r="H1074" s="213"/>
      <c r="I1074" s="213"/>
      <c r="J1074" s="213"/>
      <c r="K1074" s="213"/>
      <c r="L1074" s="213"/>
      <c r="N1074" s="525"/>
      <c r="O1074" s="525"/>
      <c r="P1074" s="525"/>
      <c r="Q1074" s="58"/>
      <c r="R1074" s="58"/>
      <c r="S1074" s="58"/>
    </row>
    <row r="1075" spans="2:19" x14ac:dyDescent="0.2">
      <c r="B1075" s="213"/>
      <c r="C1075" s="213"/>
      <c r="D1075" s="213"/>
      <c r="E1075" s="213"/>
      <c r="F1075" s="213"/>
      <c r="G1075" s="525"/>
      <c r="H1075" s="213"/>
      <c r="I1075" s="213"/>
      <c r="J1075" s="213"/>
      <c r="K1075" s="213"/>
      <c r="L1075" s="213"/>
      <c r="N1075" s="525"/>
      <c r="O1075" s="525"/>
      <c r="P1075" s="525"/>
      <c r="Q1075" s="58"/>
      <c r="R1075" s="58"/>
      <c r="S1075" s="58"/>
    </row>
    <row r="1076" spans="2:19" x14ac:dyDescent="0.2">
      <c r="B1076" s="213"/>
      <c r="C1076" s="213"/>
      <c r="D1076" s="213"/>
      <c r="E1076" s="213"/>
      <c r="F1076" s="213"/>
      <c r="G1076" s="525"/>
      <c r="H1076" s="213"/>
      <c r="I1076" s="213"/>
      <c r="J1076" s="213"/>
      <c r="K1076" s="213"/>
      <c r="L1076" s="213"/>
      <c r="N1076" s="525"/>
      <c r="O1076" s="525"/>
      <c r="P1076" s="525"/>
      <c r="Q1076" s="58"/>
      <c r="R1076" s="58"/>
      <c r="S1076" s="58"/>
    </row>
    <row r="1077" spans="2:19" x14ac:dyDescent="0.2">
      <c r="B1077" s="213"/>
      <c r="C1077" s="213"/>
      <c r="D1077" s="213"/>
      <c r="E1077" s="213"/>
      <c r="F1077" s="213"/>
      <c r="G1077" s="525"/>
      <c r="H1077" s="213"/>
      <c r="I1077" s="213"/>
      <c r="J1077" s="213"/>
      <c r="K1077" s="213"/>
      <c r="L1077" s="213"/>
      <c r="N1077" s="525"/>
      <c r="O1077" s="525"/>
      <c r="P1077" s="525"/>
      <c r="Q1077" s="58"/>
      <c r="R1077" s="58"/>
      <c r="S1077" s="58"/>
    </row>
    <row r="1078" spans="2:19" x14ac:dyDescent="0.2">
      <c r="B1078" s="213"/>
      <c r="C1078" s="213"/>
      <c r="D1078" s="213"/>
      <c r="E1078" s="213"/>
      <c r="F1078" s="213"/>
      <c r="G1078" s="525"/>
      <c r="H1078" s="213"/>
      <c r="I1078" s="213"/>
      <c r="J1078" s="213"/>
      <c r="K1078" s="213"/>
      <c r="L1078" s="213"/>
      <c r="N1078" s="525"/>
      <c r="O1078" s="525"/>
      <c r="P1078" s="525"/>
      <c r="Q1078" s="58"/>
      <c r="R1078" s="58"/>
      <c r="S1078" s="58"/>
    </row>
    <row r="1079" spans="2:19" x14ac:dyDescent="0.2">
      <c r="B1079" s="213"/>
      <c r="C1079" s="213"/>
      <c r="D1079" s="213"/>
      <c r="E1079" s="213"/>
      <c r="F1079" s="213"/>
      <c r="G1079" s="525"/>
      <c r="H1079" s="213"/>
      <c r="I1079" s="213"/>
      <c r="J1079" s="213"/>
      <c r="K1079" s="213"/>
      <c r="L1079" s="213"/>
      <c r="N1079" s="525"/>
      <c r="O1079" s="525"/>
      <c r="P1079" s="525"/>
      <c r="Q1079" s="58"/>
      <c r="R1079" s="58"/>
      <c r="S1079" s="58"/>
    </row>
    <row r="1080" spans="2:19" x14ac:dyDescent="0.2">
      <c r="B1080" s="213"/>
      <c r="C1080" s="213"/>
      <c r="D1080" s="213"/>
      <c r="E1080" s="213"/>
      <c r="F1080" s="213"/>
      <c r="G1080" s="525"/>
      <c r="H1080" s="213"/>
      <c r="I1080" s="213"/>
      <c r="J1080" s="213"/>
      <c r="K1080" s="213"/>
      <c r="L1080" s="213"/>
      <c r="N1080" s="525"/>
      <c r="O1080" s="525"/>
      <c r="P1080" s="525"/>
      <c r="Q1080" s="58"/>
      <c r="R1080" s="58"/>
      <c r="S1080" s="58"/>
    </row>
    <row r="1081" spans="2:19" x14ac:dyDescent="0.2">
      <c r="B1081" s="213"/>
      <c r="C1081" s="213"/>
      <c r="D1081" s="213"/>
      <c r="E1081" s="213"/>
      <c r="F1081" s="213"/>
      <c r="G1081" s="525"/>
      <c r="H1081" s="213"/>
      <c r="I1081" s="213"/>
      <c r="J1081" s="213"/>
      <c r="K1081" s="213"/>
      <c r="L1081" s="213"/>
      <c r="N1081" s="525"/>
      <c r="O1081" s="525"/>
      <c r="P1081" s="525"/>
      <c r="Q1081" s="58"/>
      <c r="R1081" s="58"/>
      <c r="S1081" s="58"/>
    </row>
    <row r="1082" spans="2:19" x14ac:dyDescent="0.2">
      <c r="B1082" s="213"/>
      <c r="C1082" s="213"/>
      <c r="D1082" s="213"/>
      <c r="E1082" s="213"/>
      <c r="F1082" s="213"/>
      <c r="G1082" s="525"/>
      <c r="H1082" s="213"/>
      <c r="I1082" s="213"/>
      <c r="J1082" s="213"/>
      <c r="K1082" s="213"/>
      <c r="L1082" s="213"/>
      <c r="N1082" s="525"/>
      <c r="O1082" s="525"/>
      <c r="P1082" s="525"/>
      <c r="Q1082" s="58"/>
      <c r="R1082" s="58"/>
      <c r="S1082" s="58"/>
    </row>
    <row r="1083" spans="2:19" x14ac:dyDescent="0.2">
      <c r="B1083" s="213"/>
      <c r="C1083" s="213"/>
      <c r="D1083" s="213"/>
      <c r="E1083" s="213"/>
      <c r="F1083" s="213"/>
      <c r="G1083" s="525"/>
      <c r="H1083" s="213"/>
      <c r="I1083" s="213"/>
      <c r="J1083" s="213"/>
      <c r="K1083" s="213"/>
      <c r="L1083" s="213"/>
      <c r="N1083" s="525"/>
      <c r="O1083" s="525"/>
      <c r="P1083" s="525"/>
      <c r="Q1083" s="58"/>
      <c r="R1083" s="58"/>
      <c r="S1083" s="58"/>
    </row>
    <row r="1084" spans="2:19" x14ac:dyDescent="0.2">
      <c r="B1084" s="213"/>
      <c r="C1084" s="213"/>
      <c r="D1084" s="213"/>
      <c r="E1084" s="213"/>
      <c r="F1084" s="213"/>
      <c r="G1084" s="525"/>
      <c r="H1084" s="213"/>
      <c r="I1084" s="213"/>
      <c r="J1084" s="213"/>
      <c r="K1084" s="213"/>
      <c r="L1084" s="213"/>
      <c r="N1084" s="525"/>
      <c r="O1084" s="525"/>
      <c r="P1084" s="525"/>
      <c r="Q1084" s="58"/>
      <c r="R1084" s="58"/>
      <c r="S1084" s="58"/>
    </row>
    <row r="1085" spans="2:19" x14ac:dyDescent="0.2">
      <c r="B1085" s="213"/>
      <c r="C1085" s="213"/>
      <c r="D1085" s="213"/>
      <c r="E1085" s="213"/>
      <c r="F1085" s="213"/>
      <c r="G1085" s="525"/>
      <c r="H1085" s="213"/>
      <c r="I1085" s="213"/>
      <c r="J1085" s="213"/>
      <c r="K1085" s="213"/>
      <c r="L1085" s="213"/>
      <c r="N1085" s="525"/>
      <c r="O1085" s="525"/>
      <c r="P1085" s="525"/>
      <c r="Q1085" s="58"/>
      <c r="R1085" s="58"/>
      <c r="S1085" s="58"/>
    </row>
    <row r="1086" spans="2:19" x14ac:dyDescent="0.2">
      <c r="B1086" s="213"/>
      <c r="C1086" s="213"/>
      <c r="D1086" s="213"/>
      <c r="E1086" s="213"/>
      <c r="F1086" s="213"/>
      <c r="G1086" s="525"/>
      <c r="H1086" s="213"/>
      <c r="I1086" s="213"/>
      <c r="J1086" s="213"/>
      <c r="K1086" s="213"/>
      <c r="L1086" s="213"/>
      <c r="N1086" s="525"/>
      <c r="O1086" s="525"/>
      <c r="P1086" s="525"/>
      <c r="Q1086" s="58"/>
      <c r="R1086" s="58"/>
      <c r="S1086" s="58"/>
    </row>
    <row r="1087" spans="2:19" x14ac:dyDescent="0.2">
      <c r="B1087" s="213"/>
      <c r="C1087" s="213"/>
      <c r="D1087" s="213"/>
      <c r="E1087" s="213"/>
      <c r="F1087" s="213"/>
      <c r="G1087" s="525"/>
      <c r="H1087" s="213"/>
      <c r="I1087" s="213"/>
      <c r="J1087" s="213"/>
      <c r="K1087" s="213"/>
      <c r="L1087" s="213"/>
      <c r="N1087" s="525"/>
      <c r="O1087" s="525"/>
      <c r="P1087" s="525"/>
      <c r="Q1087" s="58"/>
      <c r="R1087" s="58"/>
      <c r="S1087" s="58"/>
    </row>
    <row r="1088" spans="2:19" x14ac:dyDescent="0.2">
      <c r="B1088" s="213"/>
      <c r="C1088" s="213"/>
      <c r="D1088" s="213"/>
      <c r="E1088" s="213"/>
      <c r="F1088" s="213"/>
      <c r="G1088" s="525"/>
      <c r="H1088" s="213"/>
      <c r="I1088" s="213"/>
      <c r="J1088" s="213"/>
      <c r="K1088" s="213"/>
      <c r="L1088" s="213"/>
      <c r="N1088" s="525"/>
      <c r="O1088" s="525"/>
      <c r="P1088" s="525"/>
      <c r="Q1088" s="58"/>
      <c r="R1088" s="58"/>
      <c r="S1088" s="58"/>
    </row>
    <row r="1089" spans="2:19" x14ac:dyDescent="0.2">
      <c r="B1089" s="213"/>
      <c r="C1089" s="213"/>
      <c r="D1089" s="213"/>
      <c r="E1089" s="213"/>
      <c r="F1089" s="213"/>
      <c r="G1089" s="525"/>
      <c r="H1089" s="213"/>
      <c r="I1089" s="213"/>
      <c r="J1089" s="213"/>
      <c r="K1089" s="213"/>
      <c r="L1089" s="213"/>
      <c r="N1089" s="525"/>
      <c r="O1089" s="525"/>
      <c r="P1089" s="525"/>
      <c r="Q1089" s="58"/>
      <c r="R1089" s="58"/>
      <c r="S1089" s="58"/>
    </row>
    <row r="1090" spans="2:19" x14ac:dyDescent="0.2">
      <c r="B1090" s="213"/>
      <c r="C1090" s="213"/>
      <c r="D1090" s="213"/>
      <c r="E1090" s="213"/>
      <c r="F1090" s="213"/>
      <c r="G1090" s="525"/>
      <c r="H1090" s="213"/>
      <c r="I1090" s="213"/>
      <c r="J1090" s="213"/>
      <c r="K1090" s="213"/>
      <c r="L1090" s="213"/>
      <c r="N1090" s="525"/>
      <c r="O1090" s="525"/>
      <c r="P1090" s="525"/>
      <c r="Q1090" s="58"/>
      <c r="R1090" s="58"/>
      <c r="S1090" s="58"/>
    </row>
    <row r="1091" spans="2:19" x14ac:dyDescent="0.2">
      <c r="B1091" s="213"/>
      <c r="C1091" s="213"/>
      <c r="D1091" s="213"/>
      <c r="E1091" s="213"/>
      <c r="F1091" s="213"/>
      <c r="G1091" s="525"/>
      <c r="H1091" s="213"/>
      <c r="I1091" s="213"/>
      <c r="J1091" s="213"/>
      <c r="K1091" s="213"/>
      <c r="L1091" s="213"/>
      <c r="N1091" s="525"/>
      <c r="O1091" s="525"/>
      <c r="P1091" s="525"/>
      <c r="Q1091" s="58"/>
      <c r="R1091" s="58"/>
      <c r="S1091" s="58"/>
    </row>
    <row r="1092" spans="2:19" x14ac:dyDescent="0.2">
      <c r="B1092" s="213"/>
      <c r="C1092" s="213"/>
      <c r="D1092" s="213"/>
      <c r="E1092" s="213"/>
      <c r="F1092" s="213"/>
      <c r="G1092" s="525"/>
      <c r="H1092" s="213"/>
      <c r="I1092" s="213"/>
      <c r="J1092" s="213"/>
      <c r="K1092" s="213"/>
      <c r="L1092" s="213"/>
      <c r="N1092" s="525"/>
      <c r="O1092" s="525"/>
      <c r="P1092" s="525"/>
      <c r="Q1092" s="58"/>
      <c r="R1092" s="58"/>
      <c r="S1092" s="58"/>
    </row>
    <row r="1093" spans="2:19" x14ac:dyDescent="0.2">
      <c r="B1093" s="213"/>
      <c r="C1093" s="213"/>
      <c r="D1093" s="213"/>
      <c r="E1093" s="213"/>
      <c r="F1093" s="213"/>
      <c r="G1093" s="525"/>
      <c r="H1093" s="213"/>
      <c r="I1093" s="213"/>
      <c r="J1093" s="213"/>
      <c r="K1093" s="213"/>
      <c r="L1093" s="213"/>
      <c r="N1093" s="525"/>
      <c r="O1093" s="525"/>
      <c r="P1093" s="525"/>
      <c r="Q1093" s="58"/>
      <c r="R1093" s="58"/>
      <c r="S1093" s="58"/>
    </row>
    <row r="1094" spans="2:19" x14ac:dyDescent="0.2">
      <c r="B1094" s="213"/>
      <c r="C1094" s="213"/>
      <c r="D1094" s="213"/>
      <c r="E1094" s="213"/>
      <c r="F1094" s="213"/>
      <c r="G1094" s="525"/>
      <c r="H1094" s="213"/>
      <c r="I1094" s="213"/>
      <c r="J1094" s="213"/>
      <c r="K1094" s="213"/>
      <c r="L1094" s="213"/>
      <c r="N1094" s="525"/>
      <c r="O1094" s="525"/>
      <c r="P1094" s="525"/>
      <c r="Q1094" s="58"/>
      <c r="R1094" s="58"/>
      <c r="S1094" s="58"/>
    </row>
    <row r="1095" spans="2:19" x14ac:dyDescent="0.2">
      <c r="B1095" s="213"/>
      <c r="C1095" s="213"/>
      <c r="D1095" s="213"/>
      <c r="E1095" s="213"/>
      <c r="F1095" s="213"/>
      <c r="G1095" s="525"/>
      <c r="H1095" s="213"/>
      <c r="I1095" s="213"/>
      <c r="J1095" s="213"/>
      <c r="K1095" s="213"/>
      <c r="L1095" s="213"/>
      <c r="N1095" s="525"/>
      <c r="O1095" s="525"/>
      <c r="P1095" s="525"/>
      <c r="Q1095" s="58"/>
      <c r="R1095" s="58"/>
      <c r="S1095" s="58"/>
    </row>
    <row r="1096" spans="2:19" x14ac:dyDescent="0.2">
      <c r="B1096" s="213"/>
      <c r="C1096" s="213"/>
      <c r="D1096" s="213"/>
      <c r="E1096" s="213"/>
      <c r="F1096" s="213"/>
      <c r="G1096" s="525"/>
      <c r="H1096" s="213"/>
      <c r="I1096" s="213"/>
      <c r="J1096" s="213"/>
      <c r="K1096" s="213"/>
      <c r="L1096" s="213"/>
      <c r="N1096" s="525"/>
      <c r="O1096" s="525"/>
      <c r="P1096" s="525"/>
      <c r="Q1096" s="58"/>
      <c r="R1096" s="58"/>
      <c r="S1096" s="58"/>
    </row>
    <row r="1097" spans="2:19" x14ac:dyDescent="0.2">
      <c r="B1097" s="213"/>
      <c r="C1097" s="213"/>
      <c r="D1097" s="213"/>
      <c r="E1097" s="213"/>
      <c r="F1097" s="213"/>
      <c r="G1097" s="525"/>
      <c r="H1097" s="213"/>
      <c r="I1097" s="213"/>
      <c r="J1097" s="213"/>
      <c r="K1097" s="213"/>
      <c r="L1097" s="213"/>
      <c r="N1097" s="525"/>
      <c r="O1097" s="525"/>
      <c r="P1097" s="525"/>
      <c r="Q1097" s="58"/>
      <c r="R1097" s="58"/>
      <c r="S1097" s="58"/>
    </row>
    <row r="1098" spans="2:19" x14ac:dyDescent="0.2">
      <c r="B1098" s="213"/>
      <c r="C1098" s="213"/>
      <c r="D1098" s="213"/>
      <c r="E1098" s="213"/>
      <c r="F1098" s="213"/>
      <c r="G1098" s="525"/>
      <c r="H1098" s="213"/>
      <c r="I1098" s="213"/>
      <c r="J1098" s="213"/>
      <c r="K1098" s="213"/>
      <c r="L1098" s="213"/>
      <c r="N1098" s="525"/>
      <c r="O1098" s="525"/>
      <c r="P1098" s="525"/>
      <c r="Q1098" s="58"/>
      <c r="R1098" s="58"/>
      <c r="S1098" s="58"/>
    </row>
    <row r="1099" spans="2:19" x14ac:dyDescent="0.2">
      <c r="B1099" s="213"/>
      <c r="C1099" s="213"/>
      <c r="D1099" s="213"/>
      <c r="E1099" s="213"/>
      <c r="F1099" s="213"/>
      <c r="G1099" s="525"/>
      <c r="H1099" s="213"/>
      <c r="I1099" s="213"/>
      <c r="J1099" s="213"/>
      <c r="K1099" s="213"/>
      <c r="L1099" s="213"/>
      <c r="N1099" s="525"/>
      <c r="O1099" s="525"/>
      <c r="P1099" s="525"/>
      <c r="Q1099" s="58"/>
      <c r="R1099" s="58"/>
      <c r="S1099" s="58"/>
    </row>
    <row r="1100" spans="2:19" x14ac:dyDescent="0.2">
      <c r="B1100" s="213"/>
      <c r="C1100" s="213"/>
      <c r="D1100" s="213"/>
      <c r="E1100" s="213"/>
      <c r="F1100" s="213"/>
      <c r="G1100" s="525"/>
      <c r="H1100" s="213"/>
      <c r="I1100" s="213"/>
      <c r="J1100" s="213"/>
      <c r="K1100" s="213"/>
      <c r="L1100" s="213"/>
      <c r="N1100" s="525"/>
      <c r="O1100" s="525"/>
      <c r="P1100" s="525"/>
      <c r="Q1100" s="58"/>
      <c r="R1100" s="58"/>
      <c r="S1100" s="58"/>
    </row>
    <row r="1101" spans="2:19" x14ac:dyDescent="0.2">
      <c r="B1101" s="213"/>
      <c r="C1101" s="213"/>
      <c r="D1101" s="213"/>
      <c r="E1101" s="213"/>
      <c r="F1101" s="213"/>
      <c r="G1101" s="525"/>
      <c r="H1101" s="213"/>
      <c r="I1101" s="213"/>
      <c r="J1101" s="213"/>
      <c r="K1101" s="213"/>
      <c r="L1101" s="213"/>
      <c r="N1101" s="525"/>
      <c r="O1101" s="525"/>
      <c r="P1101" s="525"/>
      <c r="Q1101" s="58"/>
      <c r="R1101" s="58"/>
      <c r="S1101" s="58"/>
    </row>
    <row r="1102" spans="2:19" x14ac:dyDescent="0.2">
      <c r="B1102" s="213"/>
      <c r="C1102" s="213"/>
      <c r="D1102" s="213"/>
      <c r="E1102" s="213"/>
      <c r="F1102" s="213"/>
      <c r="G1102" s="525"/>
      <c r="H1102" s="213"/>
      <c r="I1102" s="213"/>
      <c r="J1102" s="213"/>
      <c r="K1102" s="213"/>
      <c r="L1102" s="213"/>
      <c r="N1102" s="525"/>
      <c r="O1102" s="525"/>
      <c r="P1102" s="525"/>
      <c r="Q1102" s="58"/>
      <c r="R1102" s="58"/>
      <c r="S1102" s="58"/>
    </row>
    <row r="1103" spans="2:19" x14ac:dyDescent="0.2">
      <c r="B1103" s="213"/>
      <c r="C1103" s="213"/>
      <c r="D1103" s="213"/>
      <c r="E1103" s="213"/>
      <c r="F1103" s="213"/>
      <c r="G1103" s="525"/>
      <c r="H1103" s="213"/>
      <c r="I1103" s="213"/>
      <c r="J1103" s="213"/>
      <c r="K1103" s="213"/>
      <c r="L1103" s="213"/>
      <c r="N1103" s="525"/>
      <c r="O1103" s="525"/>
      <c r="P1103" s="525"/>
      <c r="Q1103" s="58"/>
      <c r="R1103" s="58"/>
      <c r="S1103" s="58"/>
    </row>
    <row r="1104" spans="2:19" x14ac:dyDescent="0.2">
      <c r="B1104" s="213"/>
      <c r="C1104" s="213"/>
      <c r="D1104" s="213"/>
      <c r="E1104" s="213"/>
      <c r="F1104" s="213"/>
      <c r="G1104" s="525"/>
      <c r="H1104" s="213"/>
      <c r="I1104" s="213"/>
      <c r="J1104" s="213"/>
      <c r="K1104" s="213"/>
      <c r="L1104" s="213"/>
      <c r="N1104" s="525"/>
      <c r="O1104" s="525"/>
      <c r="P1104" s="525"/>
      <c r="Q1104" s="58"/>
      <c r="R1104" s="58"/>
      <c r="S1104" s="58"/>
    </row>
    <row r="1105" spans="2:19" x14ac:dyDescent="0.2">
      <c r="B1105" s="213"/>
      <c r="C1105" s="213"/>
      <c r="D1105" s="213"/>
      <c r="E1105" s="213"/>
      <c r="F1105" s="213"/>
      <c r="G1105" s="525"/>
      <c r="H1105" s="213"/>
      <c r="I1105" s="213"/>
      <c r="J1105" s="213"/>
      <c r="K1105" s="213"/>
      <c r="L1105" s="213"/>
      <c r="N1105" s="525"/>
      <c r="O1105" s="525"/>
      <c r="P1105" s="525"/>
      <c r="Q1105" s="58"/>
      <c r="R1105" s="58"/>
      <c r="S1105" s="58"/>
    </row>
    <row r="1106" spans="2:19" x14ac:dyDescent="0.2">
      <c r="B1106" s="213"/>
      <c r="C1106" s="213"/>
      <c r="D1106" s="213"/>
      <c r="E1106" s="213"/>
      <c r="F1106" s="213"/>
      <c r="G1106" s="525"/>
      <c r="H1106" s="213"/>
      <c r="I1106" s="213"/>
      <c r="J1106" s="213"/>
      <c r="K1106" s="213"/>
      <c r="L1106" s="213"/>
      <c r="N1106" s="525"/>
      <c r="O1106" s="525"/>
      <c r="P1106" s="525"/>
      <c r="Q1106" s="58"/>
      <c r="R1106" s="58"/>
      <c r="S1106" s="58"/>
    </row>
    <row r="1107" spans="2:19" x14ac:dyDescent="0.2">
      <c r="B1107" s="213"/>
      <c r="C1107" s="213"/>
      <c r="D1107" s="213"/>
      <c r="E1107" s="213"/>
      <c r="F1107" s="213"/>
      <c r="G1107" s="525"/>
      <c r="H1107" s="213"/>
      <c r="I1107" s="213"/>
      <c r="J1107" s="213"/>
      <c r="K1107" s="213"/>
      <c r="L1107" s="213"/>
      <c r="N1107" s="525"/>
      <c r="O1107" s="525"/>
      <c r="P1107" s="525"/>
      <c r="Q1107" s="58"/>
      <c r="R1107" s="58"/>
      <c r="S1107" s="58"/>
    </row>
    <row r="1108" spans="2:19" x14ac:dyDescent="0.2">
      <c r="B1108" s="213"/>
      <c r="C1108" s="213"/>
      <c r="D1108" s="213"/>
      <c r="E1108" s="213"/>
      <c r="F1108" s="213"/>
      <c r="G1108" s="525"/>
      <c r="H1108" s="213"/>
      <c r="I1108" s="213"/>
      <c r="J1108" s="213"/>
      <c r="K1108" s="213"/>
      <c r="L1108" s="213"/>
      <c r="N1108" s="525"/>
      <c r="O1108" s="525"/>
      <c r="P1108" s="525"/>
      <c r="Q1108" s="58"/>
      <c r="R1108" s="58"/>
      <c r="S1108" s="58"/>
    </row>
    <row r="1109" spans="2:19" x14ac:dyDescent="0.2">
      <c r="B1109" s="213"/>
      <c r="C1109" s="213"/>
      <c r="D1109" s="213"/>
      <c r="E1109" s="213"/>
      <c r="F1109" s="213"/>
      <c r="G1109" s="525"/>
      <c r="H1109" s="213"/>
      <c r="I1109" s="213"/>
      <c r="J1109" s="213"/>
      <c r="K1109" s="213"/>
      <c r="L1109" s="213"/>
      <c r="N1109" s="525"/>
      <c r="O1109" s="525"/>
      <c r="P1109" s="525"/>
      <c r="Q1109" s="58"/>
      <c r="R1109" s="58"/>
      <c r="S1109" s="58"/>
    </row>
    <row r="1110" spans="2:19" x14ac:dyDescent="0.2">
      <c r="B1110" s="213"/>
      <c r="C1110" s="213"/>
      <c r="D1110" s="213"/>
      <c r="E1110" s="213"/>
      <c r="F1110" s="213"/>
      <c r="G1110" s="525"/>
      <c r="H1110" s="213"/>
      <c r="I1110" s="213"/>
      <c r="J1110" s="213"/>
      <c r="K1110" s="213"/>
      <c r="L1110" s="213"/>
      <c r="N1110" s="525"/>
      <c r="O1110" s="525"/>
      <c r="P1110" s="525"/>
      <c r="Q1110" s="58"/>
      <c r="R1110" s="58"/>
      <c r="S1110" s="58"/>
    </row>
    <row r="1111" spans="2:19" x14ac:dyDescent="0.2">
      <c r="B1111" s="213"/>
      <c r="C1111" s="213"/>
      <c r="D1111" s="213"/>
      <c r="E1111" s="213"/>
      <c r="F1111" s="213"/>
      <c r="G1111" s="525"/>
      <c r="H1111" s="213"/>
      <c r="I1111" s="213"/>
      <c r="J1111" s="213"/>
      <c r="K1111" s="213"/>
      <c r="L1111" s="213"/>
      <c r="N1111" s="525"/>
      <c r="O1111" s="525"/>
      <c r="P1111" s="525"/>
      <c r="Q1111" s="58"/>
      <c r="R1111" s="58"/>
      <c r="S1111" s="58"/>
    </row>
    <row r="1112" spans="2:19" x14ac:dyDescent="0.2">
      <c r="B1112" s="213"/>
      <c r="C1112" s="213"/>
      <c r="D1112" s="213"/>
      <c r="E1112" s="213"/>
      <c r="F1112" s="213"/>
      <c r="G1112" s="525"/>
      <c r="H1112" s="213"/>
      <c r="I1112" s="213"/>
      <c r="J1112" s="213"/>
      <c r="K1112" s="213"/>
      <c r="L1112" s="213"/>
      <c r="N1112" s="525"/>
      <c r="O1112" s="525"/>
      <c r="P1112" s="525"/>
      <c r="Q1112" s="58"/>
      <c r="R1112" s="58"/>
      <c r="S1112" s="58"/>
    </row>
    <row r="1113" spans="2:19" x14ac:dyDescent="0.2">
      <c r="B1113" s="213"/>
      <c r="C1113" s="213"/>
      <c r="D1113" s="213"/>
      <c r="E1113" s="213"/>
      <c r="F1113" s="213"/>
      <c r="G1113" s="525"/>
      <c r="H1113" s="213"/>
      <c r="I1113" s="213"/>
      <c r="J1113" s="213"/>
      <c r="K1113" s="213"/>
      <c r="L1113" s="213"/>
      <c r="N1113" s="525"/>
      <c r="O1113" s="525"/>
      <c r="P1113" s="525"/>
      <c r="Q1113" s="58"/>
      <c r="R1113" s="58"/>
      <c r="S1113" s="58"/>
    </row>
    <row r="1114" spans="2:19" x14ac:dyDescent="0.2">
      <c r="B1114" s="213"/>
      <c r="C1114" s="213"/>
      <c r="D1114" s="213"/>
      <c r="E1114" s="213"/>
      <c r="F1114" s="213"/>
      <c r="G1114" s="525"/>
      <c r="H1114" s="213"/>
      <c r="I1114" s="213"/>
      <c r="J1114" s="213"/>
      <c r="K1114" s="213"/>
      <c r="L1114" s="213"/>
      <c r="N1114" s="525"/>
      <c r="O1114" s="525"/>
      <c r="P1114" s="525"/>
      <c r="Q1114" s="58"/>
      <c r="R1114" s="58"/>
      <c r="S1114" s="58"/>
    </row>
    <row r="1115" spans="2:19" x14ac:dyDescent="0.2">
      <c r="B1115" s="213"/>
      <c r="C1115" s="213"/>
      <c r="D1115" s="213"/>
      <c r="E1115" s="213"/>
      <c r="F1115" s="213"/>
      <c r="G1115" s="525"/>
      <c r="H1115" s="213"/>
      <c r="I1115" s="213"/>
      <c r="J1115" s="213"/>
      <c r="K1115" s="213"/>
      <c r="L1115" s="213"/>
      <c r="N1115" s="525"/>
      <c r="O1115" s="525"/>
      <c r="P1115" s="525"/>
      <c r="Q1115" s="58"/>
      <c r="R1115" s="58"/>
      <c r="S1115" s="58"/>
    </row>
    <row r="1116" spans="2:19" x14ac:dyDescent="0.2">
      <c r="B1116" s="213"/>
      <c r="C1116" s="213"/>
      <c r="D1116" s="213"/>
      <c r="E1116" s="213"/>
      <c r="F1116" s="213"/>
      <c r="G1116" s="525"/>
      <c r="H1116" s="213"/>
      <c r="I1116" s="213"/>
      <c r="J1116" s="213"/>
      <c r="K1116" s="213"/>
      <c r="L1116" s="213"/>
      <c r="N1116" s="525"/>
      <c r="O1116" s="525"/>
      <c r="P1116" s="525"/>
      <c r="Q1116" s="58"/>
      <c r="R1116" s="58"/>
      <c r="S1116" s="58"/>
    </row>
    <row r="1117" spans="2:19" x14ac:dyDescent="0.2">
      <c r="B1117" s="213"/>
      <c r="C1117" s="213"/>
      <c r="D1117" s="213"/>
      <c r="E1117" s="213"/>
      <c r="F1117" s="213"/>
      <c r="G1117" s="525"/>
      <c r="H1117" s="213"/>
      <c r="I1117" s="213"/>
      <c r="J1117" s="213"/>
      <c r="K1117" s="213"/>
      <c r="L1117" s="213"/>
      <c r="N1117" s="525"/>
      <c r="O1117" s="525"/>
      <c r="P1117" s="525"/>
      <c r="Q1117" s="58"/>
      <c r="R1117" s="58"/>
      <c r="S1117" s="58"/>
    </row>
    <row r="1118" spans="2:19" x14ac:dyDescent="0.2">
      <c r="B1118" s="213"/>
      <c r="C1118" s="213"/>
      <c r="D1118" s="213"/>
      <c r="E1118" s="213"/>
      <c r="F1118" s="213"/>
      <c r="G1118" s="525"/>
      <c r="H1118" s="213"/>
      <c r="I1118" s="213"/>
      <c r="J1118" s="213"/>
      <c r="K1118" s="213"/>
      <c r="L1118" s="213"/>
      <c r="N1118" s="525"/>
      <c r="O1118" s="525"/>
      <c r="P1118" s="525"/>
      <c r="Q1118" s="58"/>
      <c r="R1118" s="58"/>
      <c r="S1118" s="58"/>
    </row>
    <row r="1119" spans="2:19" x14ac:dyDescent="0.2">
      <c r="B1119" s="213"/>
      <c r="C1119" s="213"/>
      <c r="D1119" s="213"/>
      <c r="E1119" s="213"/>
      <c r="F1119" s="213"/>
      <c r="G1119" s="525"/>
      <c r="H1119" s="213"/>
      <c r="I1119" s="213"/>
      <c r="J1119" s="213"/>
      <c r="K1119" s="213"/>
      <c r="L1119" s="213"/>
      <c r="N1119" s="525"/>
      <c r="O1119" s="525"/>
      <c r="P1119" s="525"/>
      <c r="Q1119" s="58"/>
      <c r="R1119" s="58"/>
      <c r="S1119" s="58"/>
    </row>
    <row r="1120" spans="2:19" x14ac:dyDescent="0.2">
      <c r="B1120" s="213"/>
      <c r="C1120" s="213"/>
      <c r="D1120" s="213"/>
      <c r="E1120" s="213"/>
      <c r="F1120" s="213"/>
      <c r="G1120" s="525"/>
      <c r="H1120" s="213"/>
      <c r="I1120" s="213"/>
      <c r="J1120" s="213"/>
      <c r="K1120" s="213"/>
      <c r="L1120" s="213"/>
      <c r="N1120" s="525"/>
      <c r="O1120" s="525"/>
      <c r="P1120" s="525"/>
      <c r="Q1120" s="58"/>
      <c r="R1120" s="58"/>
      <c r="S1120" s="58"/>
    </row>
    <row r="1121" spans="2:19" x14ac:dyDescent="0.2">
      <c r="B1121" s="213"/>
      <c r="C1121" s="213"/>
      <c r="D1121" s="213"/>
      <c r="E1121" s="213"/>
      <c r="F1121" s="213"/>
      <c r="G1121" s="525"/>
      <c r="H1121" s="213"/>
      <c r="I1121" s="213"/>
      <c r="J1121" s="213"/>
      <c r="K1121" s="213"/>
      <c r="L1121" s="213"/>
      <c r="N1121" s="525"/>
      <c r="O1121" s="525"/>
      <c r="P1121" s="525"/>
      <c r="Q1121" s="58"/>
      <c r="R1121" s="58"/>
      <c r="S1121" s="58"/>
    </row>
    <row r="1122" spans="2:19" x14ac:dyDescent="0.2">
      <c r="B1122" s="213"/>
      <c r="C1122" s="213"/>
      <c r="D1122" s="213"/>
      <c r="E1122" s="213"/>
      <c r="F1122" s="213"/>
      <c r="G1122" s="525"/>
      <c r="H1122" s="213"/>
      <c r="I1122" s="213"/>
      <c r="J1122" s="213"/>
      <c r="K1122" s="213"/>
      <c r="L1122" s="213"/>
      <c r="N1122" s="525"/>
      <c r="O1122" s="525"/>
      <c r="P1122" s="525"/>
      <c r="Q1122" s="58"/>
      <c r="R1122" s="58"/>
      <c r="S1122" s="58"/>
    </row>
    <row r="1123" spans="2:19" x14ac:dyDescent="0.2">
      <c r="B1123" s="213"/>
      <c r="C1123" s="213"/>
      <c r="D1123" s="213"/>
      <c r="E1123" s="213"/>
      <c r="F1123" s="213"/>
      <c r="G1123" s="525"/>
      <c r="H1123" s="213"/>
      <c r="I1123" s="213"/>
      <c r="J1123" s="213"/>
      <c r="K1123" s="213"/>
      <c r="L1123" s="213"/>
      <c r="N1123" s="525"/>
      <c r="O1123" s="525"/>
      <c r="P1123" s="525"/>
      <c r="Q1123" s="58"/>
      <c r="R1123" s="58"/>
      <c r="S1123" s="58"/>
    </row>
    <row r="1124" spans="2:19" x14ac:dyDescent="0.2">
      <c r="B1124" s="213"/>
      <c r="C1124" s="213"/>
      <c r="D1124" s="213"/>
      <c r="E1124" s="213"/>
      <c r="F1124" s="213"/>
      <c r="G1124" s="525"/>
      <c r="H1124" s="213"/>
      <c r="I1124" s="213"/>
      <c r="J1124" s="213"/>
      <c r="K1124" s="213"/>
      <c r="L1124" s="213"/>
      <c r="N1124" s="525"/>
      <c r="O1124" s="525"/>
      <c r="P1124" s="525"/>
      <c r="Q1124" s="58"/>
      <c r="R1124" s="58"/>
      <c r="S1124" s="58"/>
    </row>
    <row r="1125" spans="2:19" x14ac:dyDescent="0.2">
      <c r="B1125" s="213"/>
      <c r="C1125" s="213"/>
      <c r="D1125" s="213"/>
      <c r="E1125" s="213"/>
      <c r="F1125" s="213"/>
      <c r="G1125" s="525"/>
      <c r="H1125" s="213"/>
      <c r="I1125" s="213"/>
      <c r="J1125" s="213"/>
      <c r="K1125" s="213"/>
      <c r="L1125" s="213"/>
      <c r="N1125" s="525"/>
      <c r="O1125" s="525"/>
      <c r="P1125" s="525"/>
      <c r="Q1125" s="58"/>
      <c r="R1125" s="58"/>
      <c r="S1125" s="58"/>
    </row>
    <row r="1126" spans="2:19" x14ac:dyDescent="0.2">
      <c r="B1126" s="213"/>
      <c r="C1126" s="213"/>
      <c r="D1126" s="213"/>
      <c r="E1126" s="213"/>
      <c r="F1126" s="213"/>
      <c r="G1126" s="525"/>
      <c r="H1126" s="213"/>
      <c r="I1126" s="213"/>
      <c r="J1126" s="213"/>
      <c r="K1126" s="213"/>
      <c r="L1126" s="213"/>
      <c r="N1126" s="525"/>
      <c r="O1126" s="525"/>
      <c r="P1126" s="525"/>
      <c r="Q1126" s="58"/>
      <c r="R1126" s="58"/>
      <c r="S1126" s="58"/>
    </row>
    <row r="1127" spans="2:19" x14ac:dyDescent="0.2">
      <c r="B1127" s="213"/>
      <c r="C1127" s="213"/>
      <c r="D1127" s="213"/>
      <c r="E1127" s="213"/>
      <c r="F1127" s="213"/>
      <c r="G1127" s="525"/>
      <c r="H1127" s="213"/>
      <c r="I1127" s="213"/>
      <c r="J1127" s="213"/>
      <c r="K1127" s="213"/>
      <c r="L1127" s="213"/>
      <c r="N1127" s="525"/>
      <c r="O1127" s="525"/>
      <c r="P1127" s="525"/>
      <c r="Q1127" s="58"/>
      <c r="R1127" s="58"/>
      <c r="S1127" s="58"/>
    </row>
    <row r="1128" spans="2:19" x14ac:dyDescent="0.2">
      <c r="B1128" s="213"/>
      <c r="C1128" s="213"/>
      <c r="D1128" s="213"/>
      <c r="E1128" s="213"/>
      <c r="F1128" s="213"/>
      <c r="G1128" s="525"/>
      <c r="H1128" s="213"/>
      <c r="I1128" s="213"/>
      <c r="J1128" s="213"/>
      <c r="K1128" s="213"/>
      <c r="L1128" s="213"/>
      <c r="N1128" s="525"/>
      <c r="O1128" s="525"/>
      <c r="P1128" s="525"/>
      <c r="Q1128" s="58"/>
      <c r="R1128" s="58"/>
      <c r="S1128" s="58"/>
    </row>
    <row r="1129" spans="2:19" x14ac:dyDescent="0.2">
      <c r="B1129" s="213"/>
      <c r="C1129" s="213"/>
      <c r="D1129" s="213"/>
      <c r="E1129" s="213"/>
      <c r="F1129" s="213"/>
      <c r="G1129" s="525"/>
      <c r="H1129" s="213"/>
      <c r="I1129" s="213"/>
      <c r="J1129" s="213"/>
      <c r="K1129" s="213"/>
      <c r="L1129" s="213"/>
      <c r="N1129" s="525"/>
      <c r="O1129" s="525"/>
      <c r="P1129" s="525"/>
      <c r="Q1129" s="58"/>
      <c r="R1129" s="58"/>
      <c r="S1129" s="58"/>
    </row>
    <row r="1130" spans="2:19" x14ac:dyDescent="0.2">
      <c r="B1130" s="213"/>
      <c r="C1130" s="213"/>
      <c r="D1130" s="213"/>
      <c r="E1130" s="213"/>
      <c r="F1130" s="213"/>
      <c r="G1130" s="525"/>
      <c r="H1130" s="213"/>
      <c r="I1130" s="213"/>
      <c r="J1130" s="213"/>
      <c r="K1130" s="213"/>
      <c r="L1130" s="213"/>
      <c r="N1130" s="525"/>
      <c r="O1130" s="525"/>
      <c r="P1130" s="525"/>
      <c r="Q1130" s="58"/>
      <c r="R1130" s="58"/>
      <c r="S1130" s="58"/>
    </row>
    <row r="1131" spans="2:19" x14ac:dyDescent="0.2">
      <c r="B1131" s="213"/>
      <c r="C1131" s="213"/>
      <c r="D1131" s="213"/>
      <c r="E1131" s="213"/>
      <c r="F1131" s="213"/>
      <c r="G1131" s="525"/>
      <c r="H1131" s="213"/>
      <c r="I1131" s="213"/>
      <c r="J1131" s="213"/>
      <c r="K1131" s="213"/>
      <c r="L1131" s="213"/>
      <c r="N1131" s="525"/>
      <c r="O1131" s="525"/>
      <c r="P1131" s="525"/>
      <c r="Q1131" s="58"/>
      <c r="R1131" s="58"/>
      <c r="S1131" s="58"/>
    </row>
    <row r="1132" spans="2:19" x14ac:dyDescent="0.2">
      <c r="B1132" s="213"/>
      <c r="C1132" s="213"/>
      <c r="D1132" s="213"/>
      <c r="E1132" s="213"/>
      <c r="F1132" s="213"/>
      <c r="G1132" s="525"/>
      <c r="H1132" s="213"/>
      <c r="I1132" s="213"/>
      <c r="J1132" s="213"/>
      <c r="K1132" s="213"/>
      <c r="L1132" s="213"/>
      <c r="N1132" s="525"/>
      <c r="O1132" s="525"/>
      <c r="P1132" s="525"/>
      <c r="Q1132" s="58"/>
      <c r="R1132" s="58"/>
      <c r="S1132" s="58"/>
    </row>
    <row r="1133" spans="2:19" x14ac:dyDescent="0.2">
      <c r="B1133" s="213"/>
      <c r="C1133" s="213"/>
      <c r="D1133" s="213"/>
      <c r="E1133" s="213"/>
      <c r="F1133" s="213"/>
      <c r="G1133" s="525"/>
      <c r="H1133" s="213"/>
      <c r="I1133" s="213"/>
      <c r="J1133" s="213"/>
      <c r="K1133" s="213"/>
      <c r="L1133" s="213"/>
      <c r="N1133" s="525"/>
      <c r="O1133" s="525"/>
      <c r="P1133" s="525"/>
      <c r="Q1133" s="58"/>
      <c r="R1133" s="58"/>
      <c r="S1133" s="58"/>
    </row>
    <row r="1134" spans="2:19" x14ac:dyDescent="0.2">
      <c r="B1134" s="213"/>
      <c r="C1134" s="213"/>
      <c r="D1134" s="213"/>
      <c r="E1134" s="213"/>
      <c r="F1134" s="213"/>
      <c r="G1134" s="525"/>
      <c r="H1134" s="213"/>
      <c r="I1134" s="213"/>
      <c r="J1134" s="213"/>
      <c r="K1134" s="213"/>
      <c r="L1134" s="213"/>
      <c r="N1134" s="525"/>
      <c r="O1134" s="525"/>
      <c r="P1134" s="525"/>
      <c r="Q1134" s="58"/>
      <c r="R1134" s="58"/>
      <c r="S1134" s="58"/>
    </row>
    <row r="1135" spans="2:19" x14ac:dyDescent="0.2">
      <c r="B1135" s="213"/>
      <c r="C1135" s="213"/>
      <c r="D1135" s="213"/>
      <c r="E1135" s="213"/>
      <c r="F1135" s="213"/>
      <c r="G1135" s="525"/>
      <c r="H1135" s="213"/>
      <c r="I1135" s="213"/>
      <c r="J1135" s="213"/>
      <c r="K1135" s="213"/>
      <c r="L1135" s="213"/>
      <c r="N1135" s="525"/>
      <c r="O1135" s="525"/>
      <c r="P1135" s="525"/>
      <c r="Q1135" s="58"/>
      <c r="R1135" s="58"/>
      <c r="S1135" s="58"/>
    </row>
    <row r="1136" spans="2:19" x14ac:dyDescent="0.2">
      <c r="B1136" s="213"/>
      <c r="C1136" s="213"/>
      <c r="D1136" s="213"/>
      <c r="E1136" s="213"/>
      <c r="F1136" s="213"/>
      <c r="G1136" s="525"/>
      <c r="H1136" s="213"/>
      <c r="I1136" s="213"/>
      <c r="J1136" s="213"/>
      <c r="K1136" s="213"/>
      <c r="L1136" s="213"/>
      <c r="N1136" s="525"/>
      <c r="O1136" s="525"/>
      <c r="P1136" s="525"/>
      <c r="Q1136" s="58"/>
      <c r="R1136" s="58"/>
      <c r="S1136" s="58"/>
    </row>
    <row r="1137" spans="2:19" x14ac:dyDescent="0.2">
      <c r="B1137" s="213"/>
      <c r="C1137" s="213"/>
      <c r="D1137" s="213"/>
      <c r="E1137" s="213"/>
      <c r="F1137" s="213"/>
      <c r="G1137" s="525"/>
      <c r="H1137" s="213"/>
      <c r="I1137" s="213"/>
      <c r="J1137" s="213"/>
      <c r="K1137" s="213"/>
      <c r="L1137" s="213"/>
      <c r="N1137" s="525"/>
      <c r="O1137" s="525"/>
      <c r="P1137" s="525"/>
      <c r="Q1137" s="58"/>
      <c r="R1137" s="58"/>
      <c r="S1137" s="58"/>
    </row>
    <row r="1138" spans="2:19" x14ac:dyDescent="0.2">
      <c r="B1138" s="213"/>
      <c r="C1138" s="213"/>
      <c r="D1138" s="213"/>
      <c r="E1138" s="213"/>
      <c r="F1138" s="213"/>
      <c r="G1138" s="525"/>
      <c r="H1138" s="213"/>
      <c r="I1138" s="213"/>
      <c r="J1138" s="213"/>
      <c r="K1138" s="213"/>
      <c r="L1138" s="213"/>
      <c r="N1138" s="525"/>
      <c r="O1138" s="525"/>
      <c r="P1138" s="525"/>
      <c r="Q1138" s="58"/>
      <c r="R1138" s="58"/>
      <c r="S1138" s="58"/>
    </row>
    <row r="1139" spans="2:19" x14ac:dyDescent="0.2">
      <c r="B1139" s="213"/>
      <c r="C1139" s="213"/>
      <c r="D1139" s="213"/>
      <c r="E1139" s="213"/>
      <c r="F1139" s="213"/>
      <c r="G1139" s="525"/>
      <c r="H1139" s="213"/>
      <c r="I1139" s="213"/>
      <c r="J1139" s="213"/>
      <c r="K1139" s="213"/>
      <c r="L1139" s="213"/>
      <c r="N1139" s="525"/>
      <c r="O1139" s="525"/>
      <c r="P1139" s="525"/>
      <c r="Q1139" s="58"/>
      <c r="R1139" s="58"/>
      <c r="S1139" s="58"/>
    </row>
    <row r="1140" spans="2:19" x14ac:dyDescent="0.2">
      <c r="B1140" s="213"/>
      <c r="C1140" s="213"/>
      <c r="D1140" s="213"/>
      <c r="E1140" s="213"/>
      <c r="F1140" s="213"/>
      <c r="G1140" s="525"/>
      <c r="H1140" s="213"/>
      <c r="I1140" s="213"/>
      <c r="J1140" s="213"/>
      <c r="K1140" s="213"/>
      <c r="L1140" s="213"/>
      <c r="N1140" s="525"/>
      <c r="O1140" s="525"/>
      <c r="P1140" s="525"/>
      <c r="Q1140" s="58"/>
      <c r="R1140" s="58"/>
      <c r="S1140" s="58"/>
    </row>
    <row r="1141" spans="2:19" x14ac:dyDescent="0.2">
      <c r="B1141" s="213"/>
      <c r="C1141" s="213"/>
      <c r="D1141" s="213"/>
      <c r="E1141" s="213"/>
      <c r="F1141" s="213"/>
      <c r="G1141" s="525"/>
      <c r="H1141" s="213"/>
      <c r="I1141" s="213"/>
      <c r="J1141" s="213"/>
      <c r="K1141" s="213"/>
      <c r="L1141" s="213"/>
      <c r="N1141" s="525"/>
      <c r="O1141" s="525"/>
      <c r="P1141" s="525"/>
      <c r="Q1141" s="58"/>
      <c r="R1141" s="58"/>
      <c r="S1141" s="58"/>
    </row>
    <row r="1142" spans="2:19" x14ac:dyDescent="0.2">
      <c r="B1142" s="213"/>
      <c r="C1142" s="213"/>
      <c r="D1142" s="213"/>
      <c r="E1142" s="213"/>
      <c r="F1142" s="213"/>
      <c r="G1142" s="525"/>
      <c r="H1142" s="213"/>
      <c r="I1142" s="213"/>
      <c r="J1142" s="213"/>
      <c r="K1142" s="213"/>
      <c r="L1142" s="213"/>
      <c r="N1142" s="525"/>
      <c r="O1142" s="525"/>
      <c r="P1142" s="525"/>
      <c r="Q1142" s="58"/>
      <c r="R1142" s="58"/>
      <c r="S1142" s="58"/>
    </row>
    <row r="1143" spans="2:19" x14ac:dyDescent="0.2">
      <c r="B1143" s="213"/>
      <c r="C1143" s="213"/>
      <c r="D1143" s="213"/>
      <c r="E1143" s="213"/>
      <c r="F1143" s="213"/>
      <c r="G1143" s="525"/>
      <c r="H1143" s="213"/>
      <c r="I1143" s="213"/>
      <c r="J1143" s="213"/>
      <c r="K1143" s="213"/>
      <c r="L1143" s="213"/>
      <c r="N1143" s="525"/>
      <c r="O1143" s="525"/>
      <c r="P1143" s="525"/>
      <c r="Q1143" s="58"/>
      <c r="R1143" s="58"/>
      <c r="S1143" s="58"/>
    </row>
    <row r="1144" spans="2:19" x14ac:dyDescent="0.2">
      <c r="B1144" s="213"/>
      <c r="C1144" s="213"/>
      <c r="D1144" s="213"/>
      <c r="E1144" s="213"/>
      <c r="F1144" s="213"/>
      <c r="G1144" s="525"/>
      <c r="H1144" s="213"/>
      <c r="I1144" s="213"/>
      <c r="J1144" s="213"/>
      <c r="K1144" s="213"/>
      <c r="L1144" s="213"/>
      <c r="N1144" s="525"/>
      <c r="O1144" s="525"/>
      <c r="P1144" s="525"/>
      <c r="Q1144" s="58"/>
      <c r="R1144" s="58"/>
      <c r="S1144" s="58"/>
    </row>
    <row r="1145" spans="2:19" x14ac:dyDescent="0.2">
      <c r="B1145" s="213"/>
      <c r="C1145" s="213"/>
      <c r="D1145" s="213"/>
      <c r="E1145" s="213"/>
      <c r="F1145" s="213"/>
      <c r="G1145" s="525"/>
      <c r="H1145" s="213"/>
      <c r="I1145" s="213"/>
      <c r="J1145" s="213"/>
      <c r="K1145" s="213"/>
      <c r="L1145" s="213"/>
      <c r="N1145" s="525"/>
      <c r="O1145" s="525"/>
      <c r="P1145" s="525"/>
      <c r="Q1145" s="58"/>
      <c r="R1145" s="58"/>
      <c r="S1145" s="58"/>
    </row>
    <row r="1146" spans="2:19" x14ac:dyDescent="0.2">
      <c r="B1146" s="213"/>
      <c r="C1146" s="213"/>
      <c r="D1146" s="213"/>
      <c r="E1146" s="213"/>
      <c r="F1146" s="213"/>
      <c r="G1146" s="525"/>
      <c r="H1146" s="213"/>
      <c r="I1146" s="213"/>
      <c r="J1146" s="213"/>
      <c r="K1146" s="213"/>
      <c r="L1146" s="213"/>
      <c r="N1146" s="525"/>
      <c r="O1146" s="525"/>
      <c r="P1146" s="525"/>
      <c r="Q1146" s="58"/>
      <c r="R1146" s="58"/>
      <c r="S1146" s="58"/>
    </row>
    <row r="1147" spans="2:19" x14ac:dyDescent="0.2">
      <c r="B1147" s="213"/>
      <c r="C1147" s="213"/>
      <c r="D1147" s="213"/>
      <c r="E1147" s="213"/>
      <c r="F1147" s="213"/>
      <c r="G1147" s="525"/>
      <c r="H1147" s="213"/>
      <c r="I1147" s="213"/>
      <c r="J1147" s="213"/>
      <c r="K1147" s="213"/>
      <c r="L1147" s="213"/>
      <c r="N1147" s="525"/>
      <c r="O1147" s="525"/>
      <c r="P1147" s="525"/>
      <c r="Q1147" s="58"/>
      <c r="R1147" s="58"/>
      <c r="S1147" s="58"/>
    </row>
    <row r="1148" spans="2:19" x14ac:dyDescent="0.2">
      <c r="B1148" s="213"/>
      <c r="C1148" s="213"/>
      <c r="D1148" s="213"/>
      <c r="E1148" s="213"/>
      <c r="F1148" s="213"/>
      <c r="G1148" s="525"/>
      <c r="H1148" s="213"/>
      <c r="I1148" s="213"/>
      <c r="J1148" s="213"/>
      <c r="K1148" s="213"/>
      <c r="L1148" s="213"/>
      <c r="N1148" s="525"/>
      <c r="O1148" s="525"/>
      <c r="P1148" s="525"/>
      <c r="Q1148" s="58"/>
      <c r="R1148" s="58"/>
      <c r="S1148" s="58"/>
    </row>
    <row r="1149" spans="2:19" x14ac:dyDescent="0.2">
      <c r="B1149" s="213"/>
      <c r="C1149" s="213"/>
      <c r="D1149" s="213"/>
      <c r="E1149" s="213"/>
      <c r="F1149" s="213"/>
      <c r="G1149" s="525"/>
      <c r="H1149" s="213"/>
      <c r="I1149" s="213"/>
      <c r="J1149" s="213"/>
      <c r="K1149" s="213"/>
      <c r="L1149" s="213"/>
      <c r="N1149" s="525"/>
      <c r="O1149" s="525"/>
      <c r="P1149" s="525"/>
      <c r="Q1149" s="58"/>
      <c r="R1149" s="58"/>
      <c r="S1149" s="58"/>
    </row>
    <row r="1150" spans="2:19" x14ac:dyDescent="0.2">
      <c r="B1150" s="213"/>
      <c r="C1150" s="213"/>
      <c r="D1150" s="213"/>
      <c r="E1150" s="213"/>
      <c r="F1150" s="213"/>
      <c r="G1150" s="525"/>
      <c r="H1150" s="213"/>
      <c r="I1150" s="213"/>
      <c r="J1150" s="213"/>
      <c r="K1150" s="213"/>
      <c r="L1150" s="213"/>
      <c r="N1150" s="525"/>
      <c r="O1150" s="525"/>
      <c r="P1150" s="525"/>
      <c r="Q1150" s="58"/>
      <c r="R1150" s="58"/>
      <c r="S1150" s="58"/>
    </row>
    <row r="1151" spans="2:19" x14ac:dyDescent="0.2">
      <c r="B1151" s="213"/>
      <c r="C1151" s="213"/>
      <c r="D1151" s="213"/>
      <c r="E1151" s="213"/>
      <c r="F1151" s="213"/>
      <c r="G1151" s="525"/>
      <c r="H1151" s="213"/>
      <c r="I1151" s="213"/>
      <c r="J1151" s="213"/>
      <c r="K1151" s="213"/>
      <c r="L1151" s="213"/>
      <c r="N1151" s="525"/>
      <c r="O1151" s="525"/>
      <c r="P1151" s="525"/>
      <c r="Q1151" s="58"/>
      <c r="R1151" s="58"/>
      <c r="S1151" s="58"/>
    </row>
    <row r="1152" spans="2:19" x14ac:dyDescent="0.2">
      <c r="B1152" s="213"/>
      <c r="C1152" s="213"/>
      <c r="D1152" s="213"/>
      <c r="E1152" s="213"/>
      <c r="F1152" s="213"/>
      <c r="G1152" s="525"/>
      <c r="H1152" s="213"/>
      <c r="I1152" s="213"/>
      <c r="J1152" s="213"/>
      <c r="K1152" s="213"/>
      <c r="L1152" s="213"/>
      <c r="N1152" s="525"/>
      <c r="O1152" s="525"/>
      <c r="P1152" s="525"/>
      <c r="Q1152" s="58"/>
      <c r="R1152" s="58"/>
      <c r="S1152" s="58"/>
    </row>
    <row r="1153" spans="2:19" x14ac:dyDescent="0.2">
      <c r="B1153" s="213"/>
      <c r="C1153" s="213"/>
      <c r="D1153" s="213"/>
      <c r="E1153" s="213"/>
      <c r="F1153" s="213"/>
      <c r="G1153" s="525"/>
      <c r="H1153" s="213"/>
      <c r="I1153" s="213"/>
      <c r="J1153" s="213"/>
      <c r="K1153" s="213"/>
      <c r="L1153" s="213"/>
      <c r="N1153" s="525"/>
      <c r="O1153" s="525"/>
      <c r="P1153" s="525"/>
      <c r="Q1153" s="58"/>
      <c r="R1153" s="58"/>
      <c r="S1153" s="58"/>
    </row>
    <row r="1154" spans="2:19" x14ac:dyDescent="0.2">
      <c r="B1154" s="213"/>
      <c r="C1154" s="213"/>
      <c r="D1154" s="213"/>
      <c r="E1154" s="213"/>
      <c r="F1154" s="213"/>
      <c r="G1154" s="525"/>
      <c r="H1154" s="213"/>
      <c r="I1154" s="213"/>
      <c r="J1154" s="213"/>
      <c r="K1154" s="213"/>
      <c r="L1154" s="213"/>
      <c r="N1154" s="525"/>
      <c r="O1154" s="525"/>
      <c r="P1154" s="525"/>
      <c r="Q1154" s="58"/>
      <c r="R1154" s="58"/>
      <c r="S1154" s="58"/>
    </row>
    <row r="1155" spans="2:19" x14ac:dyDescent="0.2">
      <c r="B1155" s="213"/>
      <c r="C1155" s="213"/>
      <c r="D1155" s="213"/>
      <c r="E1155" s="213"/>
      <c r="F1155" s="213"/>
      <c r="G1155" s="525"/>
      <c r="H1155" s="213"/>
      <c r="I1155" s="213"/>
      <c r="J1155" s="213"/>
      <c r="K1155" s="213"/>
      <c r="L1155" s="213"/>
      <c r="N1155" s="525"/>
      <c r="O1155" s="525"/>
      <c r="P1155" s="525"/>
      <c r="Q1155" s="58"/>
      <c r="R1155" s="58"/>
      <c r="S1155" s="58"/>
    </row>
    <row r="1156" spans="2:19" x14ac:dyDescent="0.2">
      <c r="B1156" s="213"/>
      <c r="C1156" s="213"/>
      <c r="D1156" s="213"/>
      <c r="E1156" s="213"/>
      <c r="F1156" s="213"/>
      <c r="G1156" s="525"/>
      <c r="H1156" s="213"/>
      <c r="I1156" s="213"/>
      <c r="J1156" s="213"/>
      <c r="K1156" s="213"/>
      <c r="L1156" s="213"/>
      <c r="N1156" s="525"/>
      <c r="O1156" s="525"/>
      <c r="P1156" s="525"/>
      <c r="Q1156" s="58"/>
      <c r="R1156" s="58"/>
      <c r="S1156" s="58"/>
    </row>
    <row r="1157" spans="2:19" x14ac:dyDescent="0.2">
      <c r="B1157" s="213"/>
      <c r="C1157" s="213"/>
      <c r="D1157" s="213"/>
      <c r="E1157" s="213"/>
      <c r="F1157" s="213"/>
      <c r="G1157" s="525"/>
      <c r="H1157" s="213"/>
      <c r="I1157" s="213"/>
      <c r="J1157" s="213"/>
      <c r="K1157" s="213"/>
      <c r="L1157" s="213"/>
      <c r="N1157" s="525"/>
      <c r="O1157" s="525"/>
      <c r="P1157" s="525"/>
      <c r="Q1157" s="58"/>
      <c r="R1157" s="58"/>
      <c r="S1157" s="58"/>
    </row>
    <row r="1158" spans="2:19" x14ac:dyDescent="0.2">
      <c r="B1158" s="213"/>
      <c r="C1158" s="213"/>
      <c r="D1158" s="213"/>
      <c r="E1158" s="213"/>
      <c r="F1158" s="213"/>
      <c r="G1158" s="525"/>
      <c r="H1158" s="213"/>
      <c r="I1158" s="213"/>
      <c r="J1158" s="213"/>
      <c r="K1158" s="213"/>
      <c r="L1158" s="213"/>
      <c r="N1158" s="525"/>
      <c r="O1158" s="525"/>
      <c r="P1158" s="525"/>
      <c r="Q1158" s="58"/>
      <c r="R1158" s="58"/>
      <c r="S1158" s="58"/>
    </row>
    <row r="1159" spans="2:19" x14ac:dyDescent="0.2">
      <c r="B1159" s="213"/>
      <c r="C1159" s="213"/>
      <c r="D1159" s="213"/>
      <c r="E1159" s="213"/>
      <c r="F1159" s="213"/>
      <c r="G1159" s="525"/>
      <c r="H1159" s="213"/>
      <c r="I1159" s="213"/>
      <c r="J1159" s="213"/>
      <c r="K1159" s="213"/>
      <c r="L1159" s="213"/>
      <c r="N1159" s="525"/>
      <c r="O1159" s="525"/>
      <c r="P1159" s="525"/>
      <c r="Q1159" s="58"/>
      <c r="R1159" s="58"/>
      <c r="S1159" s="58"/>
    </row>
    <row r="1160" spans="2:19" x14ac:dyDescent="0.2">
      <c r="B1160" s="213"/>
      <c r="C1160" s="213"/>
      <c r="D1160" s="213"/>
      <c r="E1160" s="213"/>
      <c r="F1160" s="213"/>
      <c r="G1160" s="525"/>
      <c r="H1160" s="213"/>
      <c r="I1160" s="213"/>
      <c r="J1160" s="213"/>
      <c r="K1160" s="213"/>
      <c r="L1160" s="213"/>
      <c r="N1160" s="525"/>
      <c r="O1160" s="525"/>
      <c r="P1160" s="525"/>
      <c r="Q1160" s="58"/>
      <c r="R1160" s="58"/>
      <c r="S1160" s="58"/>
    </row>
    <row r="1161" spans="2:19" x14ac:dyDescent="0.2">
      <c r="B1161" s="213"/>
      <c r="C1161" s="213"/>
      <c r="D1161" s="213"/>
      <c r="E1161" s="213"/>
      <c r="F1161" s="213"/>
      <c r="G1161" s="525"/>
      <c r="H1161" s="213"/>
      <c r="I1161" s="213"/>
      <c r="J1161" s="213"/>
      <c r="K1161" s="213"/>
      <c r="L1161" s="213"/>
      <c r="N1161" s="525"/>
      <c r="O1161" s="525"/>
      <c r="P1161" s="525"/>
      <c r="Q1161" s="58"/>
      <c r="R1161" s="58"/>
      <c r="S1161" s="58"/>
    </row>
    <row r="1162" spans="2:19" x14ac:dyDescent="0.2">
      <c r="B1162" s="213"/>
      <c r="C1162" s="213"/>
      <c r="D1162" s="213"/>
      <c r="E1162" s="213"/>
      <c r="F1162" s="213"/>
      <c r="G1162" s="525"/>
      <c r="H1162" s="213"/>
      <c r="I1162" s="213"/>
      <c r="J1162" s="213"/>
      <c r="K1162" s="213"/>
      <c r="L1162" s="213"/>
      <c r="N1162" s="525"/>
      <c r="O1162" s="525"/>
      <c r="P1162" s="525"/>
      <c r="Q1162" s="58"/>
      <c r="R1162" s="58"/>
      <c r="S1162" s="58"/>
    </row>
    <row r="1163" spans="2:19" x14ac:dyDescent="0.2">
      <c r="B1163" s="213"/>
      <c r="C1163" s="213"/>
      <c r="D1163" s="213"/>
      <c r="E1163" s="213"/>
      <c r="F1163" s="213"/>
      <c r="G1163" s="525"/>
      <c r="H1163" s="213"/>
      <c r="I1163" s="213"/>
      <c r="J1163" s="213"/>
      <c r="K1163" s="213"/>
      <c r="L1163" s="213"/>
      <c r="N1163" s="525"/>
      <c r="O1163" s="525"/>
      <c r="P1163" s="525"/>
      <c r="Q1163" s="58"/>
      <c r="R1163" s="58"/>
      <c r="S1163" s="58"/>
    </row>
    <row r="1164" spans="2:19" x14ac:dyDescent="0.2">
      <c r="B1164" s="213"/>
      <c r="C1164" s="213"/>
      <c r="D1164" s="213"/>
      <c r="E1164" s="213"/>
      <c r="F1164" s="213"/>
      <c r="G1164" s="525"/>
      <c r="H1164" s="213"/>
      <c r="I1164" s="213"/>
      <c r="J1164" s="213"/>
      <c r="K1164" s="213"/>
      <c r="L1164" s="213"/>
      <c r="N1164" s="525"/>
      <c r="O1164" s="525"/>
      <c r="P1164" s="525"/>
      <c r="Q1164" s="58"/>
      <c r="R1164" s="58"/>
      <c r="S1164" s="58"/>
    </row>
    <row r="1165" spans="2:19" x14ac:dyDescent="0.2">
      <c r="B1165" s="213"/>
      <c r="C1165" s="213"/>
      <c r="D1165" s="213"/>
      <c r="E1165" s="213"/>
      <c r="F1165" s="213"/>
      <c r="G1165" s="525"/>
      <c r="H1165" s="213"/>
      <c r="I1165" s="213"/>
      <c r="J1165" s="213"/>
      <c r="K1165" s="213"/>
      <c r="L1165" s="213"/>
      <c r="N1165" s="525"/>
      <c r="O1165" s="525"/>
      <c r="P1165" s="525"/>
      <c r="Q1165" s="58"/>
      <c r="R1165" s="58"/>
      <c r="S1165" s="58"/>
    </row>
    <row r="1166" spans="2:19" x14ac:dyDescent="0.2">
      <c r="B1166" s="213"/>
      <c r="C1166" s="213"/>
      <c r="D1166" s="213"/>
      <c r="E1166" s="213"/>
      <c r="F1166" s="213"/>
      <c r="G1166" s="525"/>
      <c r="H1166" s="213"/>
      <c r="I1166" s="213"/>
      <c r="J1166" s="213"/>
      <c r="K1166" s="213"/>
      <c r="L1166" s="213"/>
      <c r="N1166" s="525"/>
      <c r="O1166" s="525"/>
      <c r="P1166" s="525"/>
      <c r="Q1166" s="58"/>
      <c r="R1166" s="58"/>
      <c r="S1166" s="58"/>
    </row>
    <row r="1167" spans="2:19" x14ac:dyDescent="0.2">
      <c r="B1167" s="213"/>
      <c r="C1167" s="213"/>
      <c r="D1167" s="213"/>
      <c r="E1167" s="213"/>
      <c r="F1167" s="213"/>
      <c r="G1167" s="525"/>
      <c r="H1167" s="213"/>
      <c r="I1167" s="213"/>
      <c r="J1167" s="213"/>
      <c r="K1167" s="213"/>
      <c r="L1167" s="213"/>
      <c r="N1167" s="525"/>
      <c r="O1167" s="525"/>
      <c r="P1167" s="525"/>
      <c r="Q1167" s="58"/>
      <c r="R1167" s="58"/>
      <c r="S1167" s="58"/>
    </row>
    <row r="1168" spans="2:19" x14ac:dyDescent="0.2">
      <c r="B1168" s="213"/>
      <c r="C1168" s="213"/>
      <c r="D1168" s="213"/>
      <c r="E1168" s="213"/>
      <c r="F1168" s="213"/>
      <c r="G1168" s="525"/>
      <c r="H1168" s="213"/>
      <c r="I1168" s="213"/>
      <c r="J1168" s="213"/>
      <c r="K1168" s="213"/>
      <c r="L1168" s="213"/>
      <c r="N1168" s="525"/>
      <c r="O1168" s="525"/>
      <c r="P1168" s="525"/>
      <c r="Q1168" s="58"/>
      <c r="R1168" s="58"/>
      <c r="S1168" s="58"/>
    </row>
    <row r="1169" spans="2:19" x14ac:dyDescent="0.2">
      <c r="B1169" s="213"/>
      <c r="C1169" s="213"/>
      <c r="D1169" s="213"/>
      <c r="E1169" s="213"/>
      <c r="F1169" s="213"/>
      <c r="G1169" s="525"/>
      <c r="H1169" s="213"/>
      <c r="I1169" s="213"/>
      <c r="J1169" s="213"/>
      <c r="K1169" s="213"/>
      <c r="L1169" s="213"/>
      <c r="N1169" s="525"/>
      <c r="O1169" s="525"/>
      <c r="P1169" s="525"/>
      <c r="Q1169" s="58"/>
      <c r="R1169" s="58"/>
      <c r="S1169" s="58"/>
    </row>
    <row r="1170" spans="2:19" x14ac:dyDescent="0.2">
      <c r="B1170" s="213"/>
      <c r="C1170" s="213"/>
      <c r="D1170" s="213"/>
      <c r="E1170" s="213"/>
      <c r="F1170" s="213"/>
      <c r="G1170" s="525"/>
      <c r="H1170" s="213"/>
      <c r="I1170" s="213"/>
      <c r="J1170" s="213"/>
      <c r="K1170" s="213"/>
      <c r="L1170" s="213"/>
      <c r="N1170" s="525"/>
      <c r="O1170" s="525"/>
      <c r="P1170" s="525"/>
      <c r="Q1170" s="58"/>
      <c r="R1170" s="58"/>
      <c r="S1170" s="58"/>
    </row>
    <row r="1171" spans="2:19" x14ac:dyDescent="0.2">
      <c r="B1171" s="213"/>
      <c r="C1171" s="213"/>
      <c r="D1171" s="213"/>
      <c r="E1171" s="213"/>
      <c r="F1171" s="213"/>
      <c r="G1171" s="525"/>
      <c r="H1171" s="213"/>
      <c r="I1171" s="213"/>
      <c r="J1171" s="213"/>
      <c r="K1171" s="213"/>
      <c r="L1171" s="213"/>
      <c r="N1171" s="525"/>
      <c r="O1171" s="525"/>
      <c r="P1171" s="525"/>
      <c r="Q1171" s="58"/>
      <c r="R1171" s="58"/>
      <c r="S1171" s="58"/>
    </row>
    <row r="1172" spans="2:19" x14ac:dyDescent="0.2">
      <c r="B1172" s="213"/>
      <c r="C1172" s="213"/>
      <c r="D1172" s="213"/>
      <c r="E1172" s="213"/>
      <c r="F1172" s="213"/>
      <c r="G1172" s="525"/>
      <c r="H1172" s="213"/>
      <c r="I1172" s="213"/>
      <c r="J1172" s="213"/>
      <c r="K1172" s="213"/>
      <c r="L1172" s="213"/>
      <c r="N1172" s="525"/>
      <c r="O1172" s="525"/>
      <c r="P1172" s="525"/>
      <c r="Q1172" s="58"/>
      <c r="R1172" s="58"/>
      <c r="S1172" s="58"/>
    </row>
    <row r="1173" spans="2:19" x14ac:dyDescent="0.2">
      <c r="B1173" s="213"/>
      <c r="C1173" s="213"/>
      <c r="D1173" s="213"/>
      <c r="E1173" s="213"/>
      <c r="F1173" s="213"/>
      <c r="G1173" s="525"/>
      <c r="H1173" s="213"/>
      <c r="I1173" s="213"/>
      <c r="J1173" s="213"/>
      <c r="K1173" s="213"/>
      <c r="L1173" s="213"/>
      <c r="N1173" s="525"/>
      <c r="O1173" s="525"/>
      <c r="P1173" s="525"/>
      <c r="Q1173" s="58"/>
      <c r="R1173" s="58"/>
      <c r="S1173" s="58"/>
    </row>
    <row r="1174" spans="2:19" x14ac:dyDescent="0.2">
      <c r="B1174" s="213"/>
      <c r="C1174" s="213"/>
      <c r="D1174" s="213"/>
      <c r="E1174" s="213"/>
      <c r="F1174" s="213"/>
      <c r="G1174" s="525"/>
      <c r="H1174" s="213"/>
      <c r="I1174" s="213"/>
      <c r="J1174" s="213"/>
      <c r="K1174" s="213"/>
      <c r="L1174" s="213"/>
      <c r="N1174" s="525"/>
      <c r="O1174" s="525"/>
      <c r="P1174" s="525"/>
      <c r="Q1174" s="58"/>
      <c r="R1174" s="58"/>
      <c r="S1174" s="58"/>
    </row>
    <row r="1175" spans="2:19" x14ac:dyDescent="0.2">
      <c r="B1175" s="213"/>
      <c r="C1175" s="213"/>
      <c r="D1175" s="213"/>
      <c r="E1175" s="213"/>
      <c r="F1175" s="213"/>
      <c r="G1175" s="525"/>
      <c r="H1175" s="213"/>
      <c r="I1175" s="213"/>
      <c r="J1175" s="213"/>
      <c r="K1175" s="213"/>
      <c r="L1175" s="213"/>
      <c r="N1175" s="525"/>
      <c r="O1175" s="525"/>
      <c r="P1175" s="525"/>
      <c r="Q1175" s="58"/>
      <c r="R1175" s="58"/>
      <c r="S1175" s="58"/>
    </row>
    <row r="1176" spans="2:19" x14ac:dyDescent="0.2">
      <c r="B1176" s="213"/>
      <c r="C1176" s="213"/>
      <c r="D1176" s="213"/>
      <c r="E1176" s="213"/>
      <c r="F1176" s="213"/>
      <c r="G1176" s="525"/>
      <c r="H1176" s="213"/>
      <c r="I1176" s="213"/>
      <c r="J1176" s="213"/>
      <c r="K1176" s="213"/>
      <c r="L1176" s="213"/>
      <c r="N1176" s="525"/>
      <c r="O1176" s="525"/>
      <c r="P1176" s="525"/>
      <c r="Q1176" s="58"/>
      <c r="R1176" s="58"/>
      <c r="S1176" s="58"/>
    </row>
    <row r="1177" spans="2:19" x14ac:dyDescent="0.2">
      <c r="B1177" s="213"/>
      <c r="C1177" s="213"/>
      <c r="D1177" s="213"/>
      <c r="E1177" s="213"/>
      <c r="F1177" s="213"/>
      <c r="G1177" s="525"/>
      <c r="H1177" s="213"/>
      <c r="I1177" s="213"/>
      <c r="J1177" s="213"/>
      <c r="K1177" s="213"/>
      <c r="L1177" s="213"/>
      <c r="N1177" s="525"/>
      <c r="O1177" s="525"/>
      <c r="P1177" s="525"/>
      <c r="Q1177" s="58"/>
      <c r="R1177" s="58"/>
      <c r="S1177" s="58"/>
    </row>
    <row r="1178" spans="2:19" x14ac:dyDescent="0.2">
      <c r="B1178" s="213"/>
      <c r="C1178" s="213"/>
      <c r="D1178" s="213"/>
      <c r="E1178" s="213"/>
      <c r="F1178" s="213"/>
      <c r="G1178" s="525"/>
      <c r="H1178" s="213"/>
      <c r="I1178" s="213"/>
      <c r="J1178" s="213"/>
      <c r="K1178" s="213"/>
      <c r="L1178" s="213"/>
      <c r="N1178" s="525"/>
      <c r="O1178" s="525"/>
      <c r="P1178" s="525"/>
      <c r="Q1178" s="58"/>
      <c r="R1178" s="58"/>
      <c r="S1178" s="58"/>
    </row>
    <row r="1179" spans="2:19" x14ac:dyDescent="0.2">
      <c r="B1179" s="213"/>
      <c r="C1179" s="213"/>
      <c r="D1179" s="213"/>
      <c r="E1179" s="213"/>
      <c r="F1179" s="213"/>
      <c r="G1179" s="525"/>
      <c r="H1179" s="213"/>
      <c r="I1179" s="213"/>
      <c r="J1179" s="213"/>
      <c r="K1179" s="213"/>
      <c r="L1179" s="213"/>
      <c r="N1179" s="525"/>
      <c r="O1179" s="525"/>
      <c r="P1179" s="525"/>
      <c r="Q1179" s="58"/>
      <c r="R1179" s="58"/>
      <c r="S1179" s="58"/>
    </row>
    <row r="1180" spans="2:19" x14ac:dyDescent="0.2">
      <c r="B1180" s="213"/>
      <c r="C1180" s="213"/>
      <c r="D1180" s="213"/>
      <c r="E1180" s="213"/>
      <c r="F1180" s="213"/>
      <c r="G1180" s="525"/>
      <c r="H1180" s="213"/>
      <c r="I1180" s="213"/>
      <c r="J1180" s="213"/>
      <c r="K1180" s="213"/>
      <c r="L1180" s="213"/>
      <c r="N1180" s="525"/>
      <c r="O1180" s="525"/>
      <c r="P1180" s="525"/>
      <c r="Q1180" s="58"/>
      <c r="R1180" s="58"/>
      <c r="S1180" s="58"/>
    </row>
    <row r="1181" spans="2:19" x14ac:dyDescent="0.2">
      <c r="B1181" s="213"/>
      <c r="C1181" s="213"/>
      <c r="D1181" s="213"/>
      <c r="E1181" s="213"/>
      <c r="F1181" s="213"/>
      <c r="G1181" s="525"/>
      <c r="H1181" s="213"/>
      <c r="I1181" s="213"/>
      <c r="J1181" s="213"/>
      <c r="K1181" s="213"/>
      <c r="L1181" s="213"/>
      <c r="N1181" s="525"/>
      <c r="O1181" s="525"/>
      <c r="P1181" s="525"/>
      <c r="Q1181" s="58"/>
      <c r="R1181" s="58"/>
      <c r="S1181" s="58"/>
    </row>
    <row r="1182" spans="2:19" x14ac:dyDescent="0.2">
      <c r="B1182" s="213"/>
      <c r="C1182" s="213"/>
      <c r="D1182" s="213"/>
      <c r="E1182" s="213"/>
      <c r="F1182" s="213"/>
      <c r="G1182" s="525"/>
      <c r="H1182" s="213"/>
      <c r="I1182" s="213"/>
      <c r="J1182" s="213"/>
      <c r="K1182" s="213"/>
      <c r="L1182" s="213"/>
      <c r="N1182" s="525"/>
      <c r="O1182" s="525"/>
      <c r="P1182" s="525"/>
      <c r="Q1182" s="58"/>
      <c r="R1182" s="58"/>
      <c r="S1182" s="58"/>
    </row>
    <row r="1183" spans="2:19" x14ac:dyDescent="0.2">
      <c r="B1183" s="213"/>
      <c r="C1183" s="213"/>
      <c r="D1183" s="213"/>
      <c r="E1183" s="213"/>
      <c r="F1183" s="213"/>
      <c r="G1183" s="525"/>
      <c r="H1183" s="213"/>
      <c r="I1183" s="213"/>
      <c r="J1183" s="213"/>
      <c r="K1183" s="213"/>
      <c r="L1183" s="213"/>
      <c r="N1183" s="525"/>
      <c r="O1183" s="525"/>
      <c r="P1183" s="525"/>
      <c r="Q1183" s="58"/>
      <c r="R1183" s="58"/>
      <c r="S1183" s="58"/>
    </row>
    <row r="1184" spans="2:19" x14ac:dyDescent="0.2">
      <c r="B1184" s="213"/>
      <c r="C1184" s="213"/>
      <c r="D1184" s="213"/>
      <c r="E1184" s="213"/>
      <c r="F1184" s="213"/>
      <c r="G1184" s="525"/>
      <c r="H1184" s="213"/>
      <c r="I1184" s="213"/>
      <c r="J1184" s="213"/>
      <c r="K1184" s="213"/>
      <c r="L1184" s="213"/>
      <c r="N1184" s="525"/>
      <c r="O1184" s="525"/>
      <c r="P1184" s="525"/>
      <c r="Q1184" s="58"/>
      <c r="R1184" s="58"/>
      <c r="S1184" s="58"/>
    </row>
    <row r="1185" spans="2:19" x14ac:dyDescent="0.2">
      <c r="B1185" s="213"/>
      <c r="C1185" s="213"/>
      <c r="D1185" s="213"/>
      <c r="E1185" s="213"/>
      <c r="F1185" s="213"/>
      <c r="G1185" s="525"/>
      <c r="H1185" s="213"/>
      <c r="I1185" s="213"/>
      <c r="J1185" s="213"/>
      <c r="K1185" s="213"/>
      <c r="L1185" s="213"/>
      <c r="N1185" s="525"/>
      <c r="O1185" s="525"/>
      <c r="P1185" s="525"/>
      <c r="Q1185" s="58"/>
      <c r="R1185" s="58"/>
      <c r="S1185" s="58"/>
    </row>
    <row r="1186" spans="2:19" x14ac:dyDescent="0.2">
      <c r="B1186" s="213"/>
      <c r="C1186" s="213"/>
      <c r="D1186" s="213"/>
      <c r="E1186" s="213"/>
      <c r="F1186" s="213"/>
      <c r="G1186" s="525"/>
      <c r="H1186" s="213"/>
      <c r="I1186" s="213"/>
      <c r="J1186" s="213"/>
      <c r="K1186" s="213"/>
      <c r="L1186" s="213"/>
      <c r="N1186" s="525"/>
      <c r="O1186" s="525"/>
      <c r="P1186" s="525"/>
      <c r="Q1186" s="58"/>
      <c r="R1186" s="58"/>
      <c r="S1186" s="58"/>
    </row>
    <row r="1187" spans="2:19" x14ac:dyDescent="0.2">
      <c r="B1187" s="213"/>
      <c r="C1187" s="213"/>
      <c r="D1187" s="213"/>
      <c r="E1187" s="213"/>
      <c r="F1187" s="213"/>
      <c r="G1187" s="525"/>
      <c r="H1187" s="213"/>
      <c r="I1187" s="213"/>
      <c r="J1187" s="213"/>
      <c r="K1187" s="213"/>
      <c r="L1187" s="213"/>
      <c r="N1187" s="525"/>
      <c r="O1187" s="525"/>
      <c r="P1187" s="525"/>
      <c r="Q1187" s="58"/>
      <c r="R1187" s="58"/>
      <c r="S1187" s="58"/>
    </row>
    <row r="1188" spans="2:19" x14ac:dyDescent="0.2">
      <c r="B1188" s="213"/>
      <c r="C1188" s="213"/>
      <c r="D1188" s="213"/>
      <c r="E1188" s="213"/>
      <c r="F1188" s="213"/>
      <c r="G1188" s="525"/>
      <c r="H1188" s="213"/>
      <c r="I1188" s="213"/>
      <c r="J1188" s="213"/>
      <c r="K1188" s="213"/>
      <c r="L1188" s="213"/>
      <c r="N1188" s="525"/>
      <c r="O1188" s="525"/>
      <c r="P1188" s="525"/>
      <c r="Q1188" s="58"/>
      <c r="R1188" s="58"/>
      <c r="S1188" s="58"/>
    </row>
    <row r="1189" spans="2:19" x14ac:dyDescent="0.2">
      <c r="B1189" s="213"/>
      <c r="C1189" s="213"/>
      <c r="D1189" s="213"/>
      <c r="E1189" s="213"/>
      <c r="F1189" s="213"/>
      <c r="G1189" s="525"/>
      <c r="H1189" s="213"/>
      <c r="I1189" s="213"/>
      <c r="J1189" s="213"/>
      <c r="K1189" s="213"/>
      <c r="L1189" s="213"/>
      <c r="N1189" s="525"/>
      <c r="O1189" s="525"/>
      <c r="P1189" s="525"/>
      <c r="Q1189" s="58"/>
      <c r="R1189" s="58"/>
      <c r="S1189" s="58"/>
    </row>
    <row r="1190" spans="2:19" x14ac:dyDescent="0.2">
      <c r="B1190" s="213"/>
      <c r="C1190" s="213"/>
      <c r="D1190" s="213"/>
      <c r="E1190" s="213"/>
      <c r="F1190" s="213"/>
      <c r="G1190" s="525"/>
      <c r="H1190" s="213"/>
      <c r="I1190" s="213"/>
      <c r="J1190" s="213"/>
      <c r="K1190" s="213"/>
      <c r="L1190" s="213"/>
      <c r="N1190" s="525"/>
      <c r="O1190" s="525"/>
      <c r="P1190" s="525"/>
      <c r="Q1190" s="58"/>
      <c r="R1190" s="58"/>
      <c r="S1190" s="58"/>
    </row>
    <row r="1191" spans="2:19" x14ac:dyDescent="0.2">
      <c r="B1191" s="213"/>
      <c r="C1191" s="213"/>
      <c r="D1191" s="213"/>
      <c r="E1191" s="213"/>
      <c r="F1191" s="213"/>
      <c r="G1191" s="525"/>
      <c r="H1191" s="213"/>
      <c r="I1191" s="213"/>
      <c r="J1191" s="213"/>
      <c r="K1191" s="213"/>
      <c r="L1191" s="213"/>
      <c r="N1191" s="525"/>
      <c r="O1191" s="525"/>
      <c r="P1191" s="525"/>
      <c r="Q1191" s="58"/>
      <c r="R1191" s="58"/>
      <c r="S1191" s="58"/>
    </row>
    <row r="1192" spans="2:19" x14ac:dyDescent="0.2">
      <c r="B1192" s="213"/>
      <c r="C1192" s="213"/>
      <c r="D1192" s="213"/>
      <c r="E1192" s="213"/>
      <c r="F1192" s="213"/>
      <c r="G1192" s="525"/>
      <c r="H1192" s="213"/>
      <c r="I1192" s="213"/>
      <c r="J1192" s="213"/>
      <c r="K1192" s="213"/>
      <c r="L1192" s="213"/>
      <c r="N1192" s="525"/>
      <c r="O1192" s="525"/>
      <c r="P1192" s="525"/>
      <c r="Q1192" s="58"/>
      <c r="R1192" s="58"/>
      <c r="S1192" s="58"/>
    </row>
    <row r="1193" spans="2:19" x14ac:dyDescent="0.2">
      <c r="B1193" s="213"/>
      <c r="C1193" s="213"/>
      <c r="D1193" s="213"/>
      <c r="E1193" s="213"/>
      <c r="F1193" s="213"/>
      <c r="G1193" s="525"/>
      <c r="H1193" s="213"/>
      <c r="I1193" s="213"/>
      <c r="J1193" s="213"/>
      <c r="K1193" s="213"/>
      <c r="L1193" s="213"/>
      <c r="N1193" s="525"/>
      <c r="O1193" s="525"/>
      <c r="P1193" s="525"/>
      <c r="Q1193" s="58"/>
      <c r="R1193" s="58"/>
      <c r="S1193" s="58"/>
    </row>
    <row r="1194" spans="2:19" x14ac:dyDescent="0.2">
      <c r="B1194" s="213"/>
      <c r="C1194" s="213"/>
      <c r="D1194" s="213"/>
      <c r="E1194" s="213"/>
      <c r="F1194" s="213"/>
      <c r="G1194" s="525"/>
      <c r="H1194" s="213"/>
      <c r="I1194" s="213"/>
      <c r="J1194" s="213"/>
      <c r="K1194" s="213"/>
      <c r="L1194" s="213"/>
      <c r="N1194" s="525"/>
      <c r="O1194" s="525"/>
      <c r="P1194" s="525"/>
      <c r="Q1194" s="58"/>
      <c r="R1194" s="58"/>
      <c r="S1194" s="58"/>
    </row>
    <row r="1195" spans="2:19" x14ac:dyDescent="0.2">
      <c r="B1195" s="213"/>
      <c r="C1195" s="213"/>
      <c r="D1195" s="213"/>
      <c r="E1195" s="213"/>
      <c r="F1195" s="213"/>
      <c r="G1195" s="525"/>
      <c r="H1195" s="213"/>
      <c r="I1195" s="213"/>
      <c r="J1195" s="213"/>
      <c r="K1195" s="213"/>
      <c r="L1195" s="213"/>
      <c r="N1195" s="525"/>
      <c r="O1195" s="525"/>
      <c r="P1195" s="525"/>
      <c r="Q1195" s="58"/>
      <c r="R1195" s="58"/>
      <c r="S1195" s="58"/>
    </row>
    <row r="1196" spans="2:19" x14ac:dyDescent="0.2">
      <c r="B1196" s="213"/>
      <c r="C1196" s="213"/>
      <c r="D1196" s="213"/>
      <c r="E1196" s="213"/>
      <c r="F1196" s="213"/>
      <c r="G1196" s="525"/>
      <c r="H1196" s="213"/>
      <c r="I1196" s="213"/>
      <c r="J1196" s="213"/>
      <c r="K1196" s="213"/>
      <c r="L1196" s="213"/>
      <c r="N1196" s="525"/>
      <c r="O1196" s="525"/>
      <c r="P1196" s="525"/>
      <c r="Q1196" s="58"/>
      <c r="R1196" s="58"/>
      <c r="S1196" s="58"/>
    </row>
    <row r="1197" spans="2:19" x14ac:dyDescent="0.2">
      <c r="B1197" s="213"/>
      <c r="C1197" s="213"/>
      <c r="D1197" s="213"/>
      <c r="E1197" s="213"/>
      <c r="F1197" s="213"/>
      <c r="G1197" s="525"/>
      <c r="H1197" s="213"/>
      <c r="I1197" s="213"/>
      <c r="J1197" s="213"/>
      <c r="K1197" s="213"/>
      <c r="L1197" s="213"/>
      <c r="N1197" s="525"/>
      <c r="O1197" s="525"/>
      <c r="P1197" s="525"/>
      <c r="Q1197" s="58"/>
      <c r="R1197" s="58"/>
      <c r="S1197" s="58"/>
    </row>
    <row r="1198" spans="2:19" x14ac:dyDescent="0.2">
      <c r="B1198" s="213"/>
      <c r="C1198" s="213"/>
      <c r="D1198" s="213"/>
      <c r="E1198" s="213"/>
      <c r="F1198" s="213"/>
      <c r="G1198" s="525"/>
      <c r="H1198" s="213"/>
      <c r="I1198" s="213"/>
      <c r="J1198" s="213"/>
      <c r="K1198" s="213"/>
      <c r="L1198" s="213"/>
      <c r="N1198" s="525"/>
      <c r="O1198" s="525"/>
      <c r="P1198" s="525"/>
      <c r="Q1198" s="58"/>
      <c r="R1198" s="58"/>
      <c r="S1198" s="58"/>
    </row>
    <row r="1199" spans="2:19" x14ac:dyDescent="0.2">
      <c r="B1199" s="213"/>
      <c r="C1199" s="213"/>
      <c r="D1199" s="213"/>
      <c r="E1199" s="213"/>
      <c r="F1199" s="213"/>
      <c r="G1199" s="525"/>
      <c r="H1199" s="213"/>
      <c r="I1199" s="213"/>
      <c r="J1199" s="213"/>
      <c r="K1199" s="213"/>
      <c r="L1199" s="213"/>
      <c r="N1199" s="525"/>
      <c r="O1199" s="525"/>
      <c r="P1199" s="525"/>
      <c r="Q1199" s="58"/>
      <c r="R1199" s="58"/>
      <c r="S1199" s="58"/>
    </row>
    <row r="1200" spans="2:19" x14ac:dyDescent="0.2">
      <c r="B1200" s="213"/>
      <c r="C1200" s="213"/>
      <c r="D1200" s="213"/>
      <c r="E1200" s="213"/>
      <c r="F1200" s="213"/>
      <c r="G1200" s="525"/>
      <c r="H1200" s="213"/>
      <c r="I1200" s="213"/>
      <c r="J1200" s="213"/>
      <c r="K1200" s="213"/>
      <c r="L1200" s="213"/>
      <c r="N1200" s="525"/>
      <c r="O1200" s="525"/>
      <c r="P1200" s="525"/>
      <c r="Q1200" s="58"/>
      <c r="R1200" s="58"/>
      <c r="S1200" s="58"/>
    </row>
    <row r="1201" spans="2:19" x14ac:dyDescent="0.2">
      <c r="B1201" s="213"/>
      <c r="C1201" s="213"/>
      <c r="D1201" s="213"/>
      <c r="E1201" s="213"/>
      <c r="F1201" s="213"/>
      <c r="G1201" s="525"/>
      <c r="H1201" s="213"/>
      <c r="I1201" s="213"/>
      <c r="J1201" s="213"/>
      <c r="K1201" s="213"/>
      <c r="L1201" s="213"/>
      <c r="N1201" s="525"/>
      <c r="O1201" s="525"/>
      <c r="P1201" s="525"/>
      <c r="Q1201" s="58"/>
      <c r="R1201" s="58"/>
      <c r="S1201" s="58"/>
    </row>
    <row r="1202" spans="2:19" x14ac:dyDescent="0.2">
      <c r="B1202" s="213"/>
      <c r="C1202" s="213"/>
      <c r="D1202" s="213"/>
      <c r="E1202" s="213"/>
      <c r="F1202" s="213"/>
      <c r="G1202" s="525"/>
      <c r="H1202" s="213"/>
      <c r="I1202" s="213"/>
      <c r="J1202" s="213"/>
      <c r="K1202" s="213"/>
      <c r="L1202" s="213"/>
      <c r="N1202" s="525"/>
      <c r="O1202" s="525"/>
      <c r="P1202" s="525"/>
      <c r="Q1202" s="58"/>
      <c r="R1202" s="58"/>
      <c r="S1202" s="58"/>
    </row>
    <row r="1203" spans="2:19" x14ac:dyDescent="0.2">
      <c r="B1203" s="213"/>
      <c r="C1203" s="213"/>
      <c r="D1203" s="213"/>
      <c r="E1203" s="213"/>
      <c r="F1203" s="213"/>
      <c r="G1203" s="525"/>
      <c r="H1203" s="213"/>
      <c r="I1203" s="213"/>
      <c r="J1203" s="213"/>
      <c r="K1203" s="213"/>
      <c r="L1203" s="213"/>
      <c r="N1203" s="525"/>
      <c r="O1203" s="525"/>
      <c r="P1203" s="525"/>
      <c r="Q1203" s="58"/>
      <c r="R1203" s="58"/>
      <c r="S1203" s="58"/>
    </row>
    <row r="1204" spans="2:19" x14ac:dyDescent="0.2">
      <c r="B1204" s="213"/>
      <c r="C1204" s="213"/>
      <c r="D1204" s="213"/>
      <c r="E1204" s="213"/>
      <c r="F1204" s="213"/>
      <c r="G1204" s="525"/>
      <c r="H1204" s="213"/>
      <c r="I1204" s="213"/>
      <c r="J1204" s="213"/>
      <c r="K1204" s="213"/>
      <c r="L1204" s="213"/>
      <c r="N1204" s="525"/>
      <c r="O1204" s="525"/>
      <c r="P1204" s="525"/>
      <c r="Q1204" s="58"/>
      <c r="R1204" s="58"/>
      <c r="S1204" s="58"/>
    </row>
    <row r="1205" spans="2:19" x14ac:dyDescent="0.2">
      <c r="B1205" s="213"/>
      <c r="C1205" s="213"/>
      <c r="D1205" s="213"/>
      <c r="E1205" s="213"/>
      <c r="F1205" s="213"/>
      <c r="G1205" s="525"/>
      <c r="H1205" s="213"/>
      <c r="I1205" s="213"/>
      <c r="J1205" s="213"/>
      <c r="K1205" s="213"/>
      <c r="L1205" s="213"/>
      <c r="N1205" s="525"/>
      <c r="O1205" s="525"/>
      <c r="P1205" s="525"/>
      <c r="Q1205" s="58"/>
      <c r="R1205" s="58"/>
      <c r="S1205" s="58"/>
    </row>
    <row r="1206" spans="2:19" x14ac:dyDescent="0.2">
      <c r="B1206" s="213"/>
      <c r="C1206" s="213"/>
      <c r="D1206" s="213"/>
      <c r="E1206" s="213"/>
      <c r="F1206" s="213"/>
      <c r="G1206" s="525"/>
      <c r="H1206" s="213"/>
      <c r="I1206" s="213"/>
      <c r="J1206" s="213"/>
      <c r="K1206" s="213"/>
      <c r="L1206" s="213"/>
      <c r="N1206" s="525"/>
      <c r="O1206" s="525"/>
      <c r="P1206" s="525"/>
      <c r="Q1206" s="58"/>
      <c r="R1206" s="58"/>
      <c r="S1206" s="58"/>
    </row>
    <row r="1207" spans="2:19" x14ac:dyDescent="0.2">
      <c r="B1207" s="213"/>
      <c r="C1207" s="213"/>
      <c r="D1207" s="213"/>
      <c r="E1207" s="213"/>
      <c r="F1207" s="213"/>
      <c r="G1207" s="525"/>
      <c r="H1207" s="213"/>
      <c r="I1207" s="213"/>
      <c r="J1207" s="213"/>
      <c r="K1207" s="213"/>
      <c r="L1207" s="213"/>
      <c r="N1207" s="525"/>
      <c r="O1207" s="525"/>
      <c r="P1207" s="525"/>
      <c r="Q1207" s="58"/>
      <c r="R1207" s="58"/>
      <c r="S1207" s="58"/>
    </row>
    <row r="1208" spans="2:19" x14ac:dyDescent="0.2">
      <c r="B1208" s="213"/>
      <c r="C1208" s="213"/>
      <c r="D1208" s="213"/>
      <c r="E1208" s="213"/>
      <c r="F1208" s="213"/>
      <c r="G1208" s="525"/>
      <c r="H1208" s="213"/>
      <c r="I1208" s="213"/>
      <c r="J1208" s="213"/>
      <c r="K1208" s="213"/>
      <c r="L1208" s="213"/>
      <c r="N1208" s="525"/>
      <c r="O1208" s="525"/>
      <c r="P1208" s="525"/>
      <c r="Q1208" s="58"/>
      <c r="R1208" s="58"/>
      <c r="S1208" s="58"/>
    </row>
    <row r="1209" spans="2:19" x14ac:dyDescent="0.2">
      <c r="B1209" s="213"/>
      <c r="C1209" s="213"/>
      <c r="D1209" s="213"/>
      <c r="E1209" s="213"/>
      <c r="F1209" s="213"/>
      <c r="G1209" s="525"/>
      <c r="H1209" s="213"/>
      <c r="I1209" s="213"/>
      <c r="J1209" s="213"/>
      <c r="K1209" s="213"/>
      <c r="L1209" s="213"/>
      <c r="N1209" s="525"/>
      <c r="O1209" s="525"/>
      <c r="P1209" s="525"/>
      <c r="Q1209" s="58"/>
      <c r="R1209" s="58"/>
      <c r="S1209" s="58"/>
    </row>
    <row r="1210" spans="2:19" x14ac:dyDescent="0.2">
      <c r="B1210" s="213"/>
      <c r="C1210" s="213"/>
      <c r="D1210" s="213"/>
      <c r="E1210" s="213"/>
      <c r="F1210" s="213"/>
      <c r="G1210" s="525"/>
      <c r="H1210" s="213"/>
      <c r="I1210" s="213"/>
      <c r="J1210" s="213"/>
      <c r="K1210" s="213"/>
      <c r="L1210" s="213"/>
      <c r="N1210" s="525"/>
      <c r="O1210" s="525"/>
      <c r="P1210" s="525"/>
      <c r="Q1210" s="58"/>
      <c r="R1210" s="58"/>
      <c r="S1210" s="58"/>
    </row>
    <row r="1211" spans="2:19" x14ac:dyDescent="0.2">
      <c r="B1211" s="213"/>
      <c r="C1211" s="213"/>
      <c r="D1211" s="213"/>
      <c r="E1211" s="213"/>
      <c r="F1211" s="213"/>
      <c r="G1211" s="525"/>
      <c r="H1211" s="213"/>
      <c r="I1211" s="213"/>
      <c r="J1211" s="213"/>
      <c r="K1211" s="213"/>
      <c r="L1211" s="213"/>
      <c r="N1211" s="525"/>
      <c r="O1211" s="525"/>
      <c r="P1211" s="525"/>
      <c r="Q1211" s="58"/>
      <c r="R1211" s="58"/>
      <c r="S1211" s="58"/>
    </row>
    <row r="1212" spans="2:19" x14ac:dyDescent="0.2">
      <c r="B1212" s="213"/>
      <c r="C1212" s="213"/>
      <c r="D1212" s="213"/>
      <c r="E1212" s="213"/>
      <c r="F1212" s="213"/>
      <c r="G1212" s="525"/>
      <c r="H1212" s="213"/>
      <c r="I1212" s="213"/>
      <c r="J1212" s="213"/>
      <c r="K1212" s="213"/>
      <c r="L1212" s="213"/>
      <c r="N1212" s="525"/>
      <c r="O1212" s="525"/>
      <c r="P1212" s="525"/>
      <c r="Q1212" s="58"/>
      <c r="R1212" s="58"/>
      <c r="S1212" s="58"/>
    </row>
    <row r="1213" spans="2:19" x14ac:dyDescent="0.2">
      <c r="B1213" s="213"/>
      <c r="C1213" s="213"/>
      <c r="D1213" s="213"/>
      <c r="E1213" s="213"/>
      <c r="F1213" s="213"/>
      <c r="G1213" s="525"/>
      <c r="H1213" s="213"/>
      <c r="I1213" s="213"/>
      <c r="J1213" s="213"/>
      <c r="K1213" s="213"/>
      <c r="L1213" s="213"/>
      <c r="N1213" s="525"/>
      <c r="O1213" s="525"/>
      <c r="P1213" s="525"/>
      <c r="Q1213" s="58"/>
      <c r="R1213" s="58"/>
      <c r="S1213" s="58"/>
    </row>
    <row r="1214" spans="2:19" x14ac:dyDescent="0.2">
      <c r="B1214" s="213"/>
      <c r="C1214" s="213"/>
      <c r="D1214" s="213"/>
      <c r="E1214" s="213"/>
      <c r="F1214" s="213"/>
      <c r="G1214" s="525"/>
      <c r="H1214" s="213"/>
      <c r="I1214" s="213"/>
      <c r="J1214" s="213"/>
      <c r="K1214" s="213"/>
      <c r="L1214" s="213"/>
      <c r="N1214" s="525"/>
      <c r="O1214" s="525"/>
      <c r="P1214" s="525"/>
      <c r="Q1214" s="58"/>
      <c r="R1214" s="58"/>
      <c r="S1214" s="58"/>
    </row>
    <row r="1215" spans="2:19" x14ac:dyDescent="0.2">
      <c r="B1215" s="213"/>
      <c r="C1215" s="213"/>
      <c r="D1215" s="213"/>
      <c r="E1215" s="213"/>
      <c r="F1215" s="213"/>
      <c r="G1215" s="525"/>
      <c r="H1215" s="213"/>
      <c r="I1215" s="213"/>
      <c r="J1215" s="213"/>
      <c r="K1215" s="213"/>
      <c r="L1215" s="213"/>
      <c r="N1215" s="525"/>
      <c r="O1215" s="525"/>
      <c r="P1215" s="525"/>
      <c r="Q1215" s="58"/>
      <c r="R1215" s="58"/>
      <c r="S1215" s="58"/>
    </row>
    <row r="1216" spans="2:19" x14ac:dyDescent="0.2">
      <c r="B1216" s="213"/>
      <c r="C1216" s="213"/>
      <c r="D1216" s="213"/>
      <c r="E1216" s="213"/>
      <c r="F1216" s="213"/>
      <c r="G1216" s="525"/>
      <c r="H1216" s="213"/>
      <c r="I1216" s="213"/>
      <c r="J1216" s="213"/>
      <c r="K1216" s="213"/>
      <c r="L1216" s="213"/>
      <c r="N1216" s="525"/>
      <c r="O1216" s="525"/>
      <c r="P1216" s="525"/>
      <c r="Q1216" s="58"/>
      <c r="R1216" s="58"/>
      <c r="S1216" s="58"/>
    </row>
    <row r="1217" spans="2:19" x14ac:dyDescent="0.2">
      <c r="B1217" s="213"/>
      <c r="C1217" s="213"/>
      <c r="D1217" s="213"/>
      <c r="E1217" s="213"/>
      <c r="F1217" s="213"/>
      <c r="G1217" s="525"/>
      <c r="H1217" s="213"/>
      <c r="I1217" s="213"/>
      <c r="J1217" s="213"/>
      <c r="K1217" s="213"/>
      <c r="L1217" s="213"/>
      <c r="N1217" s="525"/>
      <c r="O1217" s="525"/>
      <c r="P1217" s="525"/>
      <c r="Q1217" s="58"/>
      <c r="R1217" s="58"/>
      <c r="S1217" s="58"/>
    </row>
    <row r="1218" spans="2:19" x14ac:dyDescent="0.2">
      <c r="B1218" s="213"/>
      <c r="C1218" s="213"/>
      <c r="D1218" s="213"/>
      <c r="E1218" s="213"/>
      <c r="F1218" s="213"/>
      <c r="G1218" s="525"/>
      <c r="H1218" s="213"/>
      <c r="I1218" s="213"/>
      <c r="J1218" s="213"/>
      <c r="K1218" s="213"/>
      <c r="L1218" s="213"/>
      <c r="N1218" s="525"/>
      <c r="O1218" s="525"/>
      <c r="P1218" s="525"/>
      <c r="Q1218" s="58"/>
      <c r="R1218" s="58"/>
      <c r="S1218" s="58"/>
    </row>
    <row r="1219" spans="2:19" x14ac:dyDescent="0.2">
      <c r="B1219" s="213"/>
      <c r="C1219" s="213"/>
      <c r="D1219" s="213"/>
      <c r="E1219" s="213"/>
      <c r="F1219" s="213"/>
      <c r="G1219" s="525"/>
      <c r="H1219" s="213"/>
      <c r="I1219" s="213"/>
      <c r="J1219" s="213"/>
      <c r="K1219" s="213"/>
      <c r="L1219" s="213"/>
      <c r="N1219" s="525"/>
      <c r="O1219" s="525"/>
      <c r="P1219" s="525"/>
      <c r="Q1219" s="58"/>
      <c r="R1219" s="58"/>
      <c r="S1219" s="58"/>
    </row>
    <row r="1220" spans="2:19" x14ac:dyDescent="0.2">
      <c r="B1220" s="213"/>
      <c r="C1220" s="213"/>
      <c r="D1220" s="213"/>
      <c r="E1220" s="213"/>
      <c r="F1220" s="213"/>
      <c r="G1220" s="525"/>
      <c r="H1220" s="213"/>
      <c r="I1220" s="213"/>
      <c r="J1220" s="213"/>
      <c r="K1220" s="213"/>
      <c r="L1220" s="213"/>
      <c r="N1220" s="525"/>
      <c r="O1220" s="525"/>
      <c r="P1220" s="525"/>
      <c r="Q1220" s="58"/>
      <c r="R1220" s="58"/>
      <c r="S1220" s="58"/>
    </row>
    <row r="1221" spans="2:19" x14ac:dyDescent="0.2">
      <c r="B1221" s="213"/>
      <c r="C1221" s="213"/>
      <c r="D1221" s="213"/>
      <c r="E1221" s="213"/>
      <c r="F1221" s="213"/>
      <c r="G1221" s="525"/>
      <c r="H1221" s="213"/>
      <c r="I1221" s="213"/>
      <c r="J1221" s="213"/>
      <c r="K1221" s="213"/>
      <c r="L1221" s="213"/>
      <c r="N1221" s="525"/>
      <c r="O1221" s="525"/>
      <c r="P1221" s="525"/>
      <c r="Q1221" s="58"/>
      <c r="R1221" s="58"/>
      <c r="S1221" s="58"/>
    </row>
    <row r="1222" spans="2:19" x14ac:dyDescent="0.2">
      <c r="B1222" s="213"/>
      <c r="C1222" s="213"/>
      <c r="D1222" s="213"/>
      <c r="E1222" s="213"/>
      <c r="F1222" s="213"/>
      <c r="G1222" s="525"/>
      <c r="H1222" s="213"/>
      <c r="I1222" s="213"/>
      <c r="J1222" s="213"/>
      <c r="K1222" s="213"/>
      <c r="L1222" s="213"/>
      <c r="N1222" s="525"/>
      <c r="O1222" s="525"/>
      <c r="P1222" s="525"/>
      <c r="Q1222" s="58"/>
      <c r="R1222" s="58"/>
      <c r="S1222" s="58"/>
    </row>
    <row r="1223" spans="2:19" x14ac:dyDescent="0.2">
      <c r="B1223" s="213"/>
      <c r="C1223" s="213"/>
      <c r="D1223" s="213"/>
      <c r="E1223" s="213"/>
      <c r="F1223" s="213"/>
      <c r="G1223" s="525"/>
      <c r="H1223" s="213"/>
      <c r="I1223" s="213"/>
      <c r="J1223" s="213"/>
      <c r="K1223" s="213"/>
      <c r="L1223" s="213"/>
      <c r="N1223" s="525"/>
      <c r="O1223" s="525"/>
      <c r="P1223" s="525"/>
      <c r="Q1223" s="58"/>
      <c r="R1223" s="58"/>
      <c r="S1223" s="58"/>
    </row>
    <row r="1224" spans="2:19" x14ac:dyDescent="0.2">
      <c r="B1224" s="213"/>
      <c r="C1224" s="213"/>
      <c r="D1224" s="213"/>
      <c r="E1224" s="213"/>
      <c r="F1224" s="213"/>
      <c r="G1224" s="525"/>
      <c r="H1224" s="213"/>
      <c r="I1224" s="213"/>
      <c r="J1224" s="213"/>
      <c r="K1224" s="213"/>
      <c r="L1224" s="213"/>
      <c r="N1224" s="525"/>
      <c r="O1224" s="525"/>
      <c r="P1224" s="525"/>
      <c r="Q1224" s="58"/>
      <c r="R1224" s="58"/>
      <c r="S1224" s="58"/>
    </row>
    <row r="1225" spans="2:19" x14ac:dyDescent="0.2">
      <c r="B1225" s="213"/>
      <c r="C1225" s="213"/>
      <c r="D1225" s="213"/>
      <c r="E1225" s="213"/>
      <c r="F1225" s="213"/>
      <c r="G1225" s="525"/>
      <c r="H1225" s="213"/>
      <c r="I1225" s="213"/>
      <c r="J1225" s="213"/>
      <c r="K1225" s="213"/>
      <c r="L1225" s="213"/>
      <c r="N1225" s="525"/>
      <c r="O1225" s="525"/>
      <c r="P1225" s="525"/>
      <c r="Q1225" s="58"/>
      <c r="R1225" s="58"/>
      <c r="S1225" s="58"/>
    </row>
    <row r="1226" spans="2:19" x14ac:dyDescent="0.2">
      <c r="B1226" s="213"/>
      <c r="C1226" s="213"/>
      <c r="D1226" s="213"/>
      <c r="E1226" s="213"/>
      <c r="F1226" s="213"/>
      <c r="G1226" s="525"/>
      <c r="H1226" s="213"/>
      <c r="I1226" s="213"/>
      <c r="J1226" s="213"/>
      <c r="K1226" s="213"/>
      <c r="L1226" s="213"/>
      <c r="N1226" s="525"/>
      <c r="O1226" s="525"/>
      <c r="P1226" s="525"/>
      <c r="Q1226" s="58"/>
      <c r="R1226" s="58"/>
      <c r="S1226" s="58"/>
    </row>
    <row r="1227" spans="2:19" x14ac:dyDescent="0.2">
      <c r="B1227" s="213"/>
      <c r="C1227" s="213"/>
      <c r="D1227" s="213"/>
      <c r="E1227" s="213"/>
      <c r="F1227" s="213"/>
      <c r="G1227" s="525"/>
      <c r="H1227" s="213"/>
      <c r="I1227" s="213"/>
      <c r="J1227" s="213"/>
      <c r="K1227" s="213"/>
      <c r="L1227" s="213"/>
      <c r="N1227" s="525"/>
      <c r="O1227" s="525"/>
      <c r="P1227" s="525"/>
      <c r="Q1227" s="58"/>
      <c r="R1227" s="58"/>
      <c r="S1227" s="58"/>
    </row>
    <row r="1228" spans="2:19" x14ac:dyDescent="0.2">
      <c r="B1228" s="213"/>
      <c r="C1228" s="213"/>
      <c r="D1228" s="213"/>
      <c r="E1228" s="213"/>
      <c r="F1228" s="213"/>
      <c r="G1228" s="525"/>
      <c r="H1228" s="213"/>
      <c r="I1228" s="213"/>
      <c r="J1228" s="213"/>
      <c r="K1228" s="213"/>
      <c r="L1228" s="213"/>
      <c r="N1228" s="525"/>
      <c r="O1228" s="525"/>
      <c r="P1228" s="525"/>
      <c r="Q1228" s="58"/>
      <c r="R1228" s="58"/>
      <c r="S1228" s="58"/>
    </row>
    <row r="1229" spans="2:19" x14ac:dyDescent="0.2">
      <c r="B1229" s="213"/>
      <c r="C1229" s="213"/>
      <c r="D1229" s="213"/>
      <c r="E1229" s="213"/>
      <c r="F1229" s="213"/>
      <c r="G1229" s="525"/>
      <c r="H1229" s="213"/>
      <c r="I1229" s="213"/>
      <c r="J1229" s="213"/>
      <c r="K1229" s="213"/>
      <c r="L1229" s="213"/>
      <c r="N1229" s="525"/>
      <c r="O1229" s="525"/>
      <c r="P1229" s="525"/>
      <c r="Q1229" s="58"/>
      <c r="R1229" s="58"/>
      <c r="S1229" s="58"/>
    </row>
    <row r="1230" spans="2:19" x14ac:dyDescent="0.2">
      <c r="B1230" s="213"/>
      <c r="C1230" s="213"/>
      <c r="D1230" s="213"/>
      <c r="E1230" s="213"/>
      <c r="F1230" s="213"/>
      <c r="G1230" s="525"/>
      <c r="H1230" s="213"/>
      <c r="I1230" s="213"/>
      <c r="J1230" s="213"/>
      <c r="K1230" s="213"/>
      <c r="L1230" s="213"/>
      <c r="N1230" s="525"/>
      <c r="O1230" s="525"/>
      <c r="P1230" s="525"/>
      <c r="Q1230" s="58"/>
      <c r="R1230" s="58"/>
      <c r="S1230" s="58"/>
    </row>
    <row r="1231" spans="2:19" x14ac:dyDescent="0.2">
      <c r="B1231" s="213"/>
      <c r="C1231" s="213"/>
      <c r="D1231" s="213"/>
      <c r="E1231" s="213"/>
      <c r="F1231" s="213"/>
      <c r="G1231" s="525"/>
      <c r="H1231" s="213"/>
      <c r="I1231" s="213"/>
      <c r="J1231" s="213"/>
      <c r="K1231" s="213"/>
      <c r="L1231" s="213"/>
      <c r="N1231" s="525"/>
      <c r="O1231" s="525"/>
      <c r="P1231" s="525"/>
      <c r="Q1231" s="58"/>
      <c r="R1231" s="58"/>
      <c r="S1231" s="58"/>
    </row>
    <row r="1232" spans="2:19" x14ac:dyDescent="0.2">
      <c r="B1232" s="213"/>
      <c r="C1232" s="213"/>
      <c r="D1232" s="213"/>
      <c r="E1232" s="213"/>
      <c r="F1232" s="213"/>
      <c r="G1232" s="525"/>
      <c r="H1232" s="213"/>
      <c r="I1232" s="213"/>
      <c r="J1232" s="213"/>
      <c r="K1232" s="213"/>
      <c r="L1232" s="213"/>
      <c r="N1232" s="525"/>
      <c r="O1232" s="525"/>
      <c r="P1232" s="525"/>
      <c r="Q1232" s="58"/>
      <c r="R1232" s="58"/>
      <c r="S1232" s="58"/>
    </row>
    <row r="1233" spans="2:19" x14ac:dyDescent="0.2">
      <c r="B1233" s="213"/>
      <c r="C1233" s="213"/>
      <c r="D1233" s="213"/>
      <c r="E1233" s="213"/>
      <c r="F1233" s="213"/>
      <c r="G1233" s="525"/>
      <c r="H1233" s="213"/>
      <c r="I1233" s="213"/>
      <c r="J1233" s="213"/>
      <c r="K1233" s="213"/>
      <c r="L1233" s="213"/>
      <c r="N1233" s="525"/>
      <c r="O1233" s="525"/>
      <c r="P1233" s="525"/>
      <c r="Q1233" s="58"/>
      <c r="R1233" s="58"/>
      <c r="S1233" s="58"/>
    </row>
    <row r="1234" spans="2:19" x14ac:dyDescent="0.2">
      <c r="B1234" s="213"/>
      <c r="C1234" s="213"/>
      <c r="D1234" s="213"/>
      <c r="E1234" s="213"/>
      <c r="F1234" s="213"/>
      <c r="G1234" s="525"/>
      <c r="H1234" s="213"/>
      <c r="I1234" s="213"/>
      <c r="J1234" s="213"/>
      <c r="K1234" s="213"/>
      <c r="L1234" s="213"/>
      <c r="N1234" s="525"/>
      <c r="O1234" s="525"/>
      <c r="P1234" s="525"/>
      <c r="Q1234" s="58"/>
      <c r="R1234" s="58"/>
      <c r="S1234" s="58"/>
    </row>
    <row r="1235" spans="2:19" x14ac:dyDescent="0.2">
      <c r="B1235" s="213"/>
      <c r="C1235" s="213"/>
      <c r="D1235" s="213"/>
      <c r="E1235" s="213"/>
      <c r="F1235" s="213"/>
      <c r="G1235" s="525"/>
      <c r="H1235" s="213"/>
      <c r="I1235" s="213"/>
      <c r="J1235" s="213"/>
      <c r="K1235" s="213"/>
      <c r="L1235" s="213"/>
      <c r="N1235" s="525"/>
      <c r="O1235" s="525"/>
      <c r="P1235" s="525"/>
      <c r="Q1235" s="58"/>
      <c r="R1235" s="58"/>
      <c r="S1235" s="58"/>
    </row>
    <row r="1236" spans="2:19" x14ac:dyDescent="0.2">
      <c r="B1236" s="213"/>
      <c r="C1236" s="213"/>
      <c r="D1236" s="213"/>
      <c r="E1236" s="213"/>
      <c r="F1236" s="213"/>
      <c r="G1236" s="525"/>
      <c r="H1236" s="213"/>
      <c r="I1236" s="213"/>
      <c r="J1236" s="213"/>
      <c r="K1236" s="213"/>
      <c r="L1236" s="213"/>
      <c r="N1236" s="525"/>
      <c r="O1236" s="525"/>
      <c r="P1236" s="525"/>
      <c r="Q1236" s="58"/>
      <c r="R1236" s="58"/>
      <c r="S1236" s="58"/>
    </row>
    <row r="1237" spans="2:19" x14ac:dyDescent="0.2">
      <c r="B1237" s="213"/>
      <c r="C1237" s="213"/>
      <c r="D1237" s="213"/>
      <c r="E1237" s="213"/>
      <c r="F1237" s="213"/>
      <c r="G1237" s="525"/>
      <c r="H1237" s="213"/>
      <c r="I1237" s="213"/>
      <c r="J1237" s="213"/>
      <c r="K1237" s="213"/>
      <c r="L1237" s="213"/>
      <c r="N1237" s="525"/>
      <c r="O1237" s="525"/>
      <c r="P1237" s="525"/>
      <c r="Q1237" s="58"/>
      <c r="R1237" s="58"/>
      <c r="S1237" s="58"/>
    </row>
    <row r="1238" spans="2:19" x14ac:dyDescent="0.2">
      <c r="B1238" s="213"/>
      <c r="C1238" s="213"/>
      <c r="D1238" s="213"/>
      <c r="E1238" s="213"/>
      <c r="F1238" s="213"/>
      <c r="G1238" s="525"/>
      <c r="H1238" s="213"/>
      <c r="I1238" s="213"/>
      <c r="J1238" s="213"/>
      <c r="K1238" s="213"/>
      <c r="L1238" s="213"/>
      <c r="N1238" s="525"/>
      <c r="O1238" s="525"/>
      <c r="P1238" s="525"/>
      <c r="Q1238" s="58"/>
      <c r="R1238" s="58"/>
      <c r="S1238" s="58"/>
    </row>
    <row r="1239" spans="2:19" x14ac:dyDescent="0.2">
      <c r="B1239" s="213"/>
      <c r="C1239" s="213"/>
      <c r="D1239" s="213"/>
      <c r="E1239" s="213"/>
      <c r="F1239" s="213"/>
      <c r="G1239" s="525"/>
      <c r="H1239" s="213"/>
      <c r="I1239" s="213"/>
      <c r="J1239" s="213"/>
      <c r="K1239" s="213"/>
      <c r="L1239" s="213"/>
      <c r="N1239" s="525"/>
      <c r="O1239" s="525"/>
      <c r="P1239" s="525"/>
      <c r="Q1239" s="58"/>
      <c r="R1239" s="58"/>
      <c r="S1239" s="58"/>
    </row>
    <row r="1240" spans="2:19" x14ac:dyDescent="0.2">
      <c r="B1240" s="213"/>
      <c r="C1240" s="213"/>
      <c r="D1240" s="213"/>
      <c r="E1240" s="213"/>
      <c r="F1240" s="213"/>
      <c r="G1240" s="525"/>
      <c r="H1240" s="213"/>
      <c r="I1240" s="213"/>
      <c r="J1240" s="213"/>
      <c r="K1240" s="213"/>
      <c r="L1240" s="213"/>
      <c r="N1240" s="525"/>
      <c r="O1240" s="525"/>
      <c r="P1240" s="525"/>
      <c r="Q1240" s="58"/>
      <c r="R1240" s="58"/>
      <c r="S1240" s="58"/>
    </row>
    <row r="1241" spans="2:19" x14ac:dyDescent="0.2">
      <c r="B1241" s="213"/>
      <c r="C1241" s="213"/>
      <c r="D1241" s="213"/>
      <c r="E1241" s="213"/>
      <c r="F1241" s="213"/>
      <c r="G1241" s="525"/>
      <c r="H1241" s="213"/>
      <c r="I1241" s="213"/>
      <c r="J1241" s="213"/>
      <c r="K1241" s="213"/>
      <c r="L1241" s="213"/>
      <c r="N1241" s="525"/>
      <c r="O1241" s="525"/>
      <c r="P1241" s="525"/>
      <c r="Q1241" s="58"/>
      <c r="R1241" s="58"/>
      <c r="S1241" s="58"/>
    </row>
    <row r="1242" spans="2:19" x14ac:dyDescent="0.2">
      <c r="B1242" s="213"/>
      <c r="C1242" s="213"/>
      <c r="D1242" s="213"/>
      <c r="E1242" s="213"/>
      <c r="F1242" s="213"/>
      <c r="G1242" s="525"/>
      <c r="H1242" s="213"/>
      <c r="I1242" s="213"/>
      <c r="J1242" s="213"/>
      <c r="K1242" s="213"/>
      <c r="L1242" s="213"/>
      <c r="N1242" s="525"/>
      <c r="O1242" s="525"/>
      <c r="P1242" s="525"/>
      <c r="Q1242" s="58"/>
      <c r="R1242" s="58"/>
      <c r="S1242" s="58"/>
    </row>
    <row r="1243" spans="2:19" x14ac:dyDescent="0.2">
      <c r="B1243" s="213"/>
      <c r="C1243" s="213"/>
      <c r="D1243" s="213"/>
      <c r="E1243" s="213"/>
      <c r="F1243" s="213"/>
      <c r="G1243" s="525"/>
      <c r="H1243" s="213"/>
      <c r="I1243" s="213"/>
      <c r="J1243" s="213"/>
      <c r="K1243" s="213"/>
      <c r="L1243" s="213"/>
      <c r="N1243" s="525"/>
      <c r="O1243" s="525"/>
      <c r="P1243" s="525"/>
      <c r="Q1243" s="58"/>
      <c r="R1243" s="58"/>
      <c r="S1243" s="58"/>
    </row>
    <row r="1244" spans="2:19" x14ac:dyDescent="0.2">
      <c r="B1244" s="213"/>
      <c r="C1244" s="213"/>
      <c r="D1244" s="213"/>
      <c r="E1244" s="213"/>
      <c r="F1244" s="213"/>
      <c r="G1244" s="525"/>
      <c r="H1244" s="213"/>
      <c r="I1244" s="213"/>
      <c r="J1244" s="213"/>
      <c r="K1244" s="213"/>
      <c r="L1244" s="213"/>
      <c r="N1244" s="525"/>
      <c r="O1244" s="525"/>
      <c r="P1244" s="525"/>
      <c r="Q1244" s="58"/>
      <c r="R1244" s="58"/>
      <c r="S1244" s="58"/>
    </row>
    <row r="1245" spans="2:19" x14ac:dyDescent="0.2">
      <c r="B1245" s="213"/>
      <c r="C1245" s="213"/>
      <c r="D1245" s="213"/>
      <c r="E1245" s="213"/>
      <c r="F1245" s="213"/>
      <c r="G1245" s="525"/>
      <c r="H1245" s="213"/>
      <c r="I1245" s="213"/>
      <c r="J1245" s="213"/>
      <c r="K1245" s="213"/>
      <c r="L1245" s="213"/>
      <c r="N1245" s="525"/>
      <c r="O1245" s="525"/>
      <c r="P1245" s="525"/>
      <c r="Q1245" s="58"/>
      <c r="R1245" s="58"/>
      <c r="S1245" s="58"/>
    </row>
    <row r="1246" spans="2:19" x14ac:dyDescent="0.2">
      <c r="B1246" s="213"/>
      <c r="C1246" s="213"/>
      <c r="D1246" s="213"/>
      <c r="E1246" s="213"/>
      <c r="F1246" s="213"/>
      <c r="G1246" s="525"/>
      <c r="H1246" s="213"/>
      <c r="I1246" s="213"/>
      <c r="J1246" s="213"/>
      <c r="K1246" s="213"/>
      <c r="L1246" s="213"/>
      <c r="N1246" s="525"/>
      <c r="O1246" s="525"/>
      <c r="P1246" s="525"/>
      <c r="Q1246" s="58"/>
      <c r="R1246" s="58"/>
      <c r="S1246" s="58"/>
    </row>
    <row r="1247" spans="2:19" x14ac:dyDescent="0.2">
      <c r="B1247" s="213"/>
      <c r="C1247" s="213"/>
      <c r="D1247" s="213"/>
      <c r="E1247" s="213"/>
      <c r="F1247" s="213"/>
      <c r="G1247" s="525"/>
      <c r="H1247" s="213"/>
      <c r="I1247" s="213"/>
      <c r="J1247" s="213"/>
      <c r="K1247" s="213"/>
      <c r="L1247" s="213"/>
      <c r="N1247" s="525"/>
      <c r="O1247" s="525"/>
      <c r="P1247" s="525"/>
      <c r="Q1247" s="58"/>
      <c r="R1247" s="58"/>
      <c r="S1247" s="58"/>
    </row>
    <row r="1248" spans="2:19" x14ac:dyDescent="0.2">
      <c r="B1248" s="213"/>
      <c r="C1248" s="213"/>
      <c r="D1248" s="213"/>
      <c r="E1248" s="213"/>
      <c r="F1248" s="213"/>
      <c r="G1248" s="525"/>
      <c r="H1248" s="213"/>
      <c r="I1248" s="213"/>
      <c r="J1248" s="213"/>
      <c r="K1248" s="213"/>
      <c r="L1248" s="213"/>
      <c r="N1248" s="525"/>
      <c r="O1248" s="525"/>
      <c r="P1248" s="525"/>
      <c r="Q1248" s="58"/>
      <c r="R1248" s="58"/>
      <c r="S1248" s="58"/>
    </row>
    <row r="1249" spans="2:19" x14ac:dyDescent="0.2">
      <c r="B1249" s="213"/>
      <c r="C1249" s="213"/>
      <c r="D1249" s="213"/>
      <c r="E1249" s="213"/>
      <c r="F1249" s="213"/>
      <c r="G1249" s="525"/>
      <c r="H1249" s="213"/>
      <c r="I1249" s="213"/>
      <c r="J1249" s="213"/>
      <c r="K1249" s="213"/>
      <c r="L1249" s="213"/>
      <c r="N1249" s="525"/>
      <c r="O1249" s="525"/>
      <c r="P1249" s="525"/>
      <c r="Q1249" s="58"/>
      <c r="R1249" s="58"/>
      <c r="S1249" s="58"/>
    </row>
    <row r="1250" spans="2:19" x14ac:dyDescent="0.2">
      <c r="B1250" s="213"/>
      <c r="C1250" s="213"/>
      <c r="D1250" s="213"/>
      <c r="E1250" s="213"/>
      <c r="F1250" s="213"/>
      <c r="G1250" s="525"/>
      <c r="H1250" s="213"/>
      <c r="I1250" s="213"/>
      <c r="J1250" s="213"/>
      <c r="K1250" s="213"/>
      <c r="L1250" s="213"/>
      <c r="N1250" s="525"/>
      <c r="O1250" s="525"/>
      <c r="P1250" s="525"/>
      <c r="Q1250" s="58"/>
      <c r="R1250" s="58"/>
      <c r="S1250" s="58"/>
    </row>
    <row r="1251" spans="2:19" x14ac:dyDescent="0.2">
      <c r="B1251" s="213"/>
      <c r="C1251" s="213"/>
      <c r="D1251" s="213"/>
      <c r="E1251" s="213"/>
      <c r="F1251" s="213"/>
      <c r="G1251" s="525"/>
      <c r="H1251" s="213"/>
      <c r="I1251" s="213"/>
      <c r="J1251" s="213"/>
      <c r="K1251" s="213"/>
      <c r="L1251" s="213"/>
      <c r="N1251" s="525"/>
      <c r="O1251" s="525"/>
      <c r="P1251" s="525"/>
      <c r="Q1251" s="58"/>
      <c r="R1251" s="58"/>
      <c r="S1251" s="58"/>
    </row>
    <row r="1252" spans="2:19" x14ac:dyDescent="0.2">
      <c r="B1252" s="213"/>
      <c r="C1252" s="213"/>
      <c r="D1252" s="213"/>
      <c r="E1252" s="213"/>
      <c r="F1252" s="213"/>
      <c r="G1252" s="525"/>
      <c r="H1252" s="213"/>
      <c r="I1252" s="213"/>
      <c r="J1252" s="213"/>
      <c r="K1252" s="213"/>
      <c r="L1252" s="213"/>
      <c r="N1252" s="525"/>
      <c r="O1252" s="525"/>
      <c r="P1252" s="525"/>
      <c r="Q1252" s="58"/>
      <c r="R1252" s="58"/>
      <c r="S1252" s="58"/>
    </row>
    <row r="1253" spans="2:19" x14ac:dyDescent="0.2">
      <c r="B1253" s="213"/>
      <c r="C1253" s="213"/>
      <c r="D1253" s="213"/>
      <c r="E1253" s="213"/>
      <c r="F1253" s="213"/>
      <c r="G1253" s="525"/>
      <c r="H1253" s="213"/>
      <c r="I1253" s="213"/>
      <c r="J1253" s="213"/>
      <c r="K1253" s="213"/>
      <c r="L1253" s="213"/>
      <c r="N1253" s="525"/>
      <c r="O1253" s="525"/>
      <c r="P1253" s="525"/>
      <c r="Q1253" s="58"/>
      <c r="R1253" s="58"/>
      <c r="S1253" s="58"/>
    </row>
    <row r="1254" spans="2:19" x14ac:dyDescent="0.2">
      <c r="B1254" s="213"/>
      <c r="C1254" s="213"/>
      <c r="D1254" s="213"/>
      <c r="E1254" s="213"/>
      <c r="F1254" s="213"/>
      <c r="G1254" s="525"/>
      <c r="H1254" s="213"/>
      <c r="I1254" s="213"/>
      <c r="J1254" s="213"/>
      <c r="K1254" s="213"/>
      <c r="L1254" s="213"/>
      <c r="N1254" s="525"/>
      <c r="O1254" s="525"/>
      <c r="P1254" s="525"/>
      <c r="Q1254" s="58"/>
      <c r="R1254" s="58"/>
      <c r="S1254" s="58"/>
    </row>
    <row r="1255" spans="2:19" x14ac:dyDescent="0.2">
      <c r="B1255" s="213"/>
      <c r="C1255" s="213"/>
      <c r="D1255" s="213"/>
      <c r="E1255" s="213"/>
      <c r="F1255" s="213"/>
      <c r="G1255" s="525"/>
      <c r="H1255" s="213"/>
      <c r="I1255" s="213"/>
      <c r="J1255" s="213"/>
      <c r="K1255" s="213"/>
      <c r="L1255" s="213"/>
      <c r="N1255" s="525"/>
      <c r="O1255" s="525"/>
      <c r="P1255" s="525"/>
      <c r="Q1255" s="58"/>
      <c r="R1255" s="58"/>
      <c r="S1255" s="58"/>
    </row>
    <row r="1256" spans="2:19" x14ac:dyDescent="0.2">
      <c r="B1256" s="213"/>
      <c r="C1256" s="213"/>
      <c r="D1256" s="213"/>
      <c r="E1256" s="213"/>
      <c r="F1256" s="213"/>
      <c r="G1256" s="525"/>
      <c r="H1256" s="213"/>
      <c r="I1256" s="213"/>
      <c r="J1256" s="213"/>
      <c r="K1256" s="213"/>
      <c r="L1256" s="213"/>
      <c r="N1256" s="525"/>
      <c r="O1256" s="525"/>
      <c r="P1256" s="525"/>
      <c r="Q1256" s="58"/>
      <c r="R1256" s="58"/>
      <c r="S1256" s="58"/>
    </row>
    <row r="1257" spans="2:19" x14ac:dyDescent="0.2">
      <c r="B1257" s="213"/>
      <c r="C1257" s="213"/>
      <c r="D1257" s="213"/>
      <c r="E1257" s="213"/>
      <c r="F1257" s="213"/>
      <c r="G1257" s="525"/>
      <c r="H1257" s="213"/>
      <c r="I1257" s="213"/>
      <c r="J1257" s="213"/>
      <c r="K1257" s="213"/>
      <c r="L1257" s="213"/>
      <c r="N1257" s="525"/>
      <c r="O1257" s="525"/>
      <c r="P1257" s="525"/>
      <c r="Q1257" s="58"/>
      <c r="R1257" s="58"/>
      <c r="S1257" s="58"/>
    </row>
    <row r="1258" spans="2:19" x14ac:dyDescent="0.2">
      <c r="B1258" s="213"/>
      <c r="C1258" s="213"/>
      <c r="D1258" s="213"/>
      <c r="E1258" s="213"/>
      <c r="F1258" s="213"/>
      <c r="G1258" s="525"/>
      <c r="H1258" s="213"/>
      <c r="I1258" s="213"/>
      <c r="J1258" s="213"/>
      <c r="K1258" s="213"/>
      <c r="L1258" s="213"/>
      <c r="N1258" s="525"/>
      <c r="O1258" s="525"/>
      <c r="P1258" s="525"/>
      <c r="Q1258" s="58"/>
      <c r="R1258" s="58"/>
      <c r="S1258" s="58"/>
    </row>
    <row r="1259" spans="2:19" x14ac:dyDescent="0.2">
      <c r="B1259" s="213"/>
      <c r="C1259" s="213"/>
      <c r="D1259" s="213"/>
      <c r="E1259" s="213"/>
      <c r="F1259" s="213"/>
      <c r="G1259" s="525"/>
      <c r="H1259" s="213"/>
      <c r="I1259" s="213"/>
      <c r="J1259" s="213"/>
      <c r="K1259" s="213"/>
      <c r="L1259" s="213"/>
      <c r="N1259" s="525"/>
      <c r="O1259" s="525"/>
      <c r="P1259" s="525"/>
      <c r="Q1259" s="58"/>
      <c r="R1259" s="58"/>
      <c r="S1259" s="58"/>
    </row>
    <row r="1260" spans="2:19" x14ac:dyDescent="0.2">
      <c r="B1260" s="213"/>
      <c r="C1260" s="213"/>
      <c r="D1260" s="213"/>
      <c r="E1260" s="213"/>
      <c r="F1260" s="213"/>
      <c r="G1260" s="525"/>
      <c r="H1260" s="213"/>
      <c r="I1260" s="213"/>
      <c r="J1260" s="213"/>
      <c r="K1260" s="213"/>
      <c r="L1260" s="213"/>
      <c r="N1260" s="525"/>
      <c r="O1260" s="525"/>
      <c r="P1260" s="525"/>
      <c r="Q1260" s="58"/>
      <c r="R1260" s="58"/>
      <c r="S1260" s="58"/>
    </row>
    <row r="1261" spans="2:19" x14ac:dyDescent="0.2">
      <c r="B1261" s="213"/>
      <c r="C1261" s="213"/>
      <c r="D1261" s="213"/>
      <c r="E1261" s="213"/>
      <c r="F1261" s="213"/>
      <c r="G1261" s="525"/>
      <c r="H1261" s="213"/>
      <c r="I1261" s="213"/>
      <c r="J1261" s="213"/>
      <c r="K1261" s="213"/>
      <c r="L1261" s="213"/>
      <c r="N1261" s="525"/>
      <c r="O1261" s="525"/>
      <c r="P1261" s="525"/>
      <c r="Q1261" s="58"/>
      <c r="R1261" s="58"/>
      <c r="S1261" s="58"/>
    </row>
    <row r="1262" spans="2:19" x14ac:dyDescent="0.2">
      <c r="B1262" s="213"/>
      <c r="C1262" s="213"/>
      <c r="D1262" s="213"/>
      <c r="E1262" s="213"/>
      <c r="F1262" s="213"/>
      <c r="G1262" s="525"/>
      <c r="H1262" s="213"/>
      <c r="I1262" s="213"/>
      <c r="J1262" s="213"/>
      <c r="K1262" s="213"/>
      <c r="L1262" s="213"/>
      <c r="N1262" s="525"/>
      <c r="O1262" s="525"/>
      <c r="P1262" s="525"/>
      <c r="Q1262" s="58"/>
      <c r="R1262" s="58"/>
      <c r="S1262" s="58"/>
    </row>
    <row r="1263" spans="2:19" x14ac:dyDescent="0.2">
      <c r="B1263" s="213"/>
      <c r="C1263" s="213"/>
      <c r="D1263" s="213"/>
      <c r="E1263" s="213"/>
      <c r="F1263" s="213"/>
      <c r="G1263" s="525"/>
      <c r="H1263" s="213"/>
      <c r="I1263" s="213"/>
      <c r="J1263" s="213"/>
      <c r="K1263" s="213"/>
      <c r="L1263" s="213"/>
      <c r="N1263" s="525"/>
      <c r="O1263" s="525"/>
      <c r="P1263" s="525"/>
      <c r="Q1263" s="58"/>
      <c r="R1263" s="58"/>
      <c r="S1263" s="58"/>
    </row>
    <row r="1264" spans="2:19" x14ac:dyDescent="0.2">
      <c r="B1264" s="213"/>
      <c r="C1264" s="213"/>
      <c r="D1264" s="213"/>
      <c r="E1264" s="213"/>
      <c r="F1264" s="213"/>
      <c r="G1264" s="525"/>
      <c r="H1264" s="213"/>
      <c r="I1264" s="213"/>
      <c r="J1264" s="213"/>
      <c r="K1264" s="213"/>
      <c r="L1264" s="213"/>
      <c r="N1264" s="525"/>
      <c r="O1264" s="525"/>
      <c r="P1264" s="525"/>
      <c r="Q1264" s="58"/>
      <c r="R1264" s="58"/>
      <c r="S1264" s="58"/>
    </row>
    <row r="1265" spans="2:19" x14ac:dyDescent="0.2">
      <c r="B1265" s="213"/>
      <c r="C1265" s="213"/>
      <c r="D1265" s="213"/>
      <c r="E1265" s="213"/>
      <c r="F1265" s="213"/>
      <c r="G1265" s="525"/>
      <c r="H1265" s="213"/>
      <c r="I1265" s="213"/>
      <c r="J1265" s="213"/>
      <c r="K1265" s="213"/>
      <c r="L1265" s="213"/>
      <c r="N1265" s="525"/>
      <c r="O1265" s="525"/>
      <c r="P1265" s="525"/>
      <c r="Q1265" s="58"/>
      <c r="R1265" s="58"/>
      <c r="S1265" s="58"/>
    </row>
    <row r="1266" spans="2:19" x14ac:dyDescent="0.2">
      <c r="B1266" s="213"/>
      <c r="C1266" s="213"/>
      <c r="D1266" s="213"/>
      <c r="E1266" s="213"/>
      <c r="F1266" s="213"/>
      <c r="G1266" s="525"/>
      <c r="H1266" s="213"/>
      <c r="I1266" s="213"/>
      <c r="J1266" s="213"/>
      <c r="K1266" s="213"/>
      <c r="L1266" s="213"/>
      <c r="N1266" s="525"/>
      <c r="O1266" s="525"/>
      <c r="P1266" s="525"/>
      <c r="Q1266" s="58"/>
      <c r="R1266" s="58"/>
      <c r="S1266" s="58"/>
    </row>
    <row r="1267" spans="2:19" x14ac:dyDescent="0.2">
      <c r="B1267" s="213"/>
      <c r="C1267" s="213"/>
      <c r="D1267" s="213"/>
      <c r="E1267" s="213"/>
      <c r="F1267" s="213"/>
      <c r="G1267" s="525"/>
      <c r="H1267" s="213"/>
      <c r="I1267" s="213"/>
      <c r="J1267" s="213"/>
      <c r="K1267" s="213"/>
      <c r="L1267" s="213"/>
      <c r="N1267" s="525"/>
      <c r="O1267" s="525"/>
      <c r="P1267" s="525"/>
      <c r="Q1267" s="58"/>
      <c r="R1267" s="58"/>
      <c r="S1267" s="58"/>
    </row>
    <row r="1268" spans="2:19" x14ac:dyDescent="0.2">
      <c r="B1268" s="213"/>
      <c r="C1268" s="213"/>
      <c r="D1268" s="213"/>
      <c r="E1268" s="213"/>
      <c r="F1268" s="213"/>
      <c r="G1268" s="525"/>
      <c r="H1268" s="213"/>
      <c r="I1268" s="213"/>
      <c r="J1268" s="213"/>
      <c r="K1268" s="213"/>
      <c r="L1268" s="213"/>
      <c r="N1268" s="525"/>
      <c r="O1268" s="525"/>
      <c r="P1268" s="525"/>
      <c r="Q1268" s="58"/>
      <c r="R1268" s="58"/>
      <c r="S1268" s="58"/>
    </row>
    <row r="1269" spans="2:19" x14ac:dyDescent="0.2">
      <c r="B1269" s="213"/>
      <c r="C1269" s="213"/>
      <c r="D1269" s="213"/>
      <c r="E1269" s="213"/>
      <c r="F1269" s="213"/>
      <c r="G1269" s="525"/>
      <c r="H1269" s="213"/>
      <c r="I1269" s="213"/>
      <c r="J1269" s="213"/>
      <c r="K1269" s="213"/>
      <c r="L1269" s="213"/>
      <c r="N1269" s="525"/>
      <c r="O1269" s="525"/>
      <c r="P1269" s="525"/>
      <c r="Q1269" s="58"/>
      <c r="R1269" s="58"/>
      <c r="S1269" s="58"/>
    </row>
    <row r="1270" spans="2:19" x14ac:dyDescent="0.2">
      <c r="B1270" s="213"/>
      <c r="C1270" s="213"/>
      <c r="D1270" s="213"/>
      <c r="E1270" s="213"/>
      <c r="F1270" s="213"/>
      <c r="G1270" s="525"/>
      <c r="H1270" s="213"/>
      <c r="I1270" s="213"/>
      <c r="J1270" s="213"/>
      <c r="K1270" s="213"/>
      <c r="L1270" s="213"/>
      <c r="N1270" s="525"/>
      <c r="O1270" s="525"/>
      <c r="P1270" s="525"/>
      <c r="Q1270" s="58"/>
      <c r="R1270" s="58"/>
      <c r="S1270" s="58"/>
    </row>
    <row r="1271" spans="2:19" x14ac:dyDescent="0.2">
      <c r="B1271" s="213"/>
      <c r="C1271" s="213"/>
      <c r="D1271" s="213"/>
      <c r="E1271" s="213"/>
      <c r="F1271" s="213"/>
      <c r="G1271" s="525"/>
      <c r="H1271" s="213"/>
      <c r="I1271" s="213"/>
      <c r="J1271" s="213"/>
      <c r="K1271" s="213"/>
      <c r="L1271" s="213"/>
      <c r="N1271" s="525"/>
      <c r="O1271" s="525"/>
      <c r="P1271" s="525"/>
      <c r="Q1271" s="58"/>
      <c r="R1271" s="58"/>
      <c r="S1271" s="58"/>
    </row>
    <row r="1272" spans="2:19" x14ac:dyDescent="0.2">
      <c r="B1272" s="213"/>
      <c r="C1272" s="213"/>
      <c r="D1272" s="213"/>
      <c r="E1272" s="213"/>
      <c r="F1272" s="213"/>
      <c r="G1272" s="525"/>
      <c r="H1272" s="213"/>
      <c r="I1272" s="213"/>
      <c r="J1272" s="213"/>
      <c r="K1272" s="213"/>
      <c r="L1272" s="213"/>
      <c r="N1272" s="525"/>
      <c r="O1272" s="525"/>
      <c r="P1272" s="525"/>
      <c r="Q1272" s="58"/>
      <c r="R1272" s="58"/>
      <c r="S1272" s="58"/>
    </row>
    <row r="1273" spans="2:19" x14ac:dyDescent="0.2">
      <c r="B1273" s="213"/>
      <c r="C1273" s="213"/>
      <c r="D1273" s="213"/>
      <c r="E1273" s="213"/>
      <c r="F1273" s="213"/>
      <c r="G1273" s="525"/>
      <c r="H1273" s="213"/>
      <c r="I1273" s="213"/>
      <c r="J1273" s="213"/>
      <c r="K1273" s="213"/>
      <c r="L1273" s="213"/>
      <c r="N1273" s="525"/>
      <c r="O1273" s="525"/>
      <c r="P1273" s="525"/>
      <c r="Q1273" s="58"/>
      <c r="R1273" s="58"/>
      <c r="S1273" s="58"/>
    </row>
    <row r="1274" spans="2:19" x14ac:dyDescent="0.2">
      <c r="B1274" s="213"/>
      <c r="C1274" s="213"/>
      <c r="D1274" s="213"/>
      <c r="E1274" s="213"/>
      <c r="F1274" s="213"/>
      <c r="G1274" s="525"/>
      <c r="H1274" s="213"/>
      <c r="I1274" s="213"/>
      <c r="J1274" s="213"/>
      <c r="K1274" s="213"/>
      <c r="L1274" s="213"/>
      <c r="N1274" s="525"/>
      <c r="O1274" s="525"/>
      <c r="P1274" s="525"/>
      <c r="Q1274" s="58"/>
      <c r="R1274" s="58"/>
      <c r="S1274" s="58"/>
    </row>
    <row r="1275" spans="2:19" x14ac:dyDescent="0.2">
      <c r="B1275" s="213"/>
      <c r="C1275" s="213"/>
      <c r="D1275" s="213"/>
      <c r="E1275" s="213"/>
      <c r="F1275" s="213"/>
      <c r="G1275" s="525"/>
      <c r="H1275" s="213"/>
      <c r="I1275" s="213"/>
      <c r="J1275" s="213"/>
      <c r="K1275" s="213"/>
      <c r="L1275" s="213"/>
      <c r="N1275" s="525"/>
      <c r="O1275" s="525"/>
      <c r="P1275" s="525"/>
      <c r="Q1275" s="58"/>
      <c r="R1275" s="58"/>
      <c r="S1275" s="58"/>
    </row>
    <row r="1276" spans="2:19" x14ac:dyDescent="0.2">
      <c r="B1276" s="213"/>
      <c r="C1276" s="213"/>
      <c r="D1276" s="213"/>
      <c r="E1276" s="213"/>
      <c r="F1276" s="213"/>
      <c r="G1276" s="525"/>
      <c r="H1276" s="213"/>
      <c r="I1276" s="213"/>
      <c r="J1276" s="213"/>
      <c r="K1276" s="213"/>
      <c r="L1276" s="213"/>
      <c r="N1276" s="525"/>
      <c r="O1276" s="525"/>
      <c r="P1276" s="525"/>
      <c r="Q1276" s="58"/>
      <c r="R1276" s="58"/>
      <c r="S1276" s="58"/>
    </row>
    <row r="1277" spans="2:19" x14ac:dyDescent="0.2">
      <c r="B1277" s="213"/>
      <c r="C1277" s="213"/>
      <c r="D1277" s="213"/>
      <c r="E1277" s="213"/>
      <c r="F1277" s="213"/>
      <c r="G1277" s="525"/>
      <c r="H1277" s="213"/>
      <c r="I1277" s="213"/>
      <c r="J1277" s="213"/>
      <c r="K1277" s="213"/>
      <c r="L1277" s="213"/>
      <c r="N1277" s="525"/>
      <c r="O1277" s="525"/>
      <c r="P1277" s="525"/>
      <c r="Q1277" s="58"/>
      <c r="R1277" s="58"/>
      <c r="S1277" s="58"/>
    </row>
    <row r="1278" spans="2:19" x14ac:dyDescent="0.2">
      <c r="B1278" s="213"/>
      <c r="C1278" s="213"/>
      <c r="D1278" s="213"/>
      <c r="E1278" s="213"/>
      <c r="F1278" s="213"/>
      <c r="G1278" s="525"/>
      <c r="H1278" s="213"/>
      <c r="I1278" s="213"/>
      <c r="J1278" s="213"/>
      <c r="K1278" s="213"/>
      <c r="L1278" s="213"/>
      <c r="N1278" s="525"/>
      <c r="O1278" s="525"/>
      <c r="P1278" s="525"/>
      <c r="Q1278" s="58"/>
      <c r="R1278" s="58"/>
      <c r="S1278" s="58"/>
    </row>
    <row r="1279" spans="2:19" x14ac:dyDescent="0.2">
      <c r="B1279" s="213"/>
      <c r="C1279" s="213"/>
      <c r="D1279" s="213"/>
      <c r="E1279" s="213"/>
      <c r="F1279" s="213"/>
      <c r="G1279" s="525"/>
      <c r="H1279" s="213"/>
      <c r="I1279" s="213"/>
      <c r="J1279" s="213"/>
      <c r="K1279" s="213"/>
      <c r="L1279" s="213"/>
      <c r="N1279" s="525"/>
      <c r="O1279" s="525"/>
      <c r="P1279" s="525"/>
      <c r="Q1279" s="58"/>
      <c r="R1279" s="58"/>
      <c r="S1279" s="58"/>
    </row>
    <row r="1280" spans="2:19" x14ac:dyDescent="0.2">
      <c r="B1280" s="213"/>
      <c r="C1280" s="213"/>
      <c r="D1280" s="213"/>
      <c r="E1280" s="213"/>
      <c r="F1280" s="213"/>
      <c r="G1280" s="525"/>
      <c r="H1280" s="213"/>
      <c r="I1280" s="213"/>
      <c r="J1280" s="213"/>
      <c r="K1280" s="213"/>
      <c r="L1280" s="213"/>
      <c r="N1280" s="525"/>
      <c r="O1280" s="525"/>
      <c r="P1280" s="525"/>
      <c r="Q1280" s="58"/>
      <c r="R1280" s="58"/>
      <c r="S1280" s="58"/>
    </row>
    <row r="1281" spans="2:19" x14ac:dyDescent="0.2">
      <c r="B1281" s="213"/>
      <c r="C1281" s="213"/>
      <c r="D1281" s="213"/>
      <c r="E1281" s="213"/>
      <c r="F1281" s="213"/>
      <c r="G1281" s="525"/>
      <c r="H1281" s="213"/>
      <c r="I1281" s="213"/>
      <c r="J1281" s="213"/>
      <c r="K1281" s="213"/>
      <c r="L1281" s="213"/>
      <c r="N1281" s="525"/>
      <c r="O1281" s="525"/>
      <c r="P1281" s="525"/>
      <c r="Q1281" s="58"/>
      <c r="R1281" s="58"/>
      <c r="S1281" s="58"/>
    </row>
    <row r="1282" spans="2:19" x14ac:dyDescent="0.2">
      <c r="B1282" s="213"/>
      <c r="C1282" s="213"/>
      <c r="D1282" s="213"/>
      <c r="E1282" s="213"/>
      <c r="F1282" s="213"/>
      <c r="G1282" s="525"/>
      <c r="H1282" s="213"/>
      <c r="I1282" s="213"/>
      <c r="J1282" s="213"/>
      <c r="K1282" s="213"/>
      <c r="L1282" s="213"/>
      <c r="N1282" s="525"/>
      <c r="O1282" s="525"/>
      <c r="P1282" s="525"/>
      <c r="Q1282" s="58"/>
      <c r="R1282" s="58"/>
      <c r="S1282" s="58"/>
    </row>
    <row r="1283" spans="2:19" x14ac:dyDescent="0.2">
      <c r="B1283" s="213"/>
      <c r="C1283" s="213"/>
      <c r="D1283" s="213"/>
      <c r="E1283" s="213"/>
      <c r="F1283" s="213"/>
      <c r="G1283" s="525"/>
      <c r="H1283" s="213"/>
      <c r="I1283" s="213"/>
      <c r="J1283" s="213"/>
      <c r="K1283" s="213"/>
      <c r="L1283" s="213"/>
      <c r="N1283" s="525"/>
      <c r="O1283" s="525"/>
      <c r="P1283" s="525"/>
      <c r="Q1283" s="58"/>
      <c r="R1283" s="58"/>
      <c r="S1283" s="58"/>
    </row>
    <row r="1284" spans="2:19" x14ac:dyDescent="0.2">
      <c r="B1284" s="213"/>
      <c r="C1284" s="213"/>
      <c r="D1284" s="213"/>
      <c r="E1284" s="213"/>
      <c r="F1284" s="213"/>
      <c r="G1284" s="525"/>
      <c r="H1284" s="213"/>
      <c r="I1284" s="213"/>
      <c r="J1284" s="213"/>
      <c r="K1284" s="213"/>
      <c r="L1284" s="213"/>
      <c r="N1284" s="525"/>
      <c r="O1284" s="525"/>
      <c r="P1284" s="525"/>
      <c r="Q1284" s="58"/>
      <c r="R1284" s="58"/>
      <c r="S1284" s="58"/>
    </row>
    <row r="1285" spans="2:19" x14ac:dyDescent="0.2">
      <c r="B1285" s="213"/>
      <c r="C1285" s="213"/>
      <c r="D1285" s="213"/>
      <c r="E1285" s="213"/>
      <c r="F1285" s="213"/>
      <c r="G1285" s="525"/>
      <c r="H1285" s="213"/>
      <c r="I1285" s="213"/>
      <c r="J1285" s="213"/>
      <c r="K1285" s="213"/>
      <c r="L1285" s="213"/>
      <c r="N1285" s="525"/>
      <c r="O1285" s="525"/>
      <c r="P1285" s="525"/>
      <c r="Q1285" s="58"/>
      <c r="R1285" s="58"/>
      <c r="S1285" s="58"/>
    </row>
    <row r="1286" spans="2:19" x14ac:dyDescent="0.2">
      <c r="B1286" s="213"/>
      <c r="C1286" s="213"/>
      <c r="D1286" s="213"/>
      <c r="E1286" s="213"/>
      <c r="F1286" s="213"/>
      <c r="G1286" s="525"/>
      <c r="H1286" s="213"/>
      <c r="I1286" s="213"/>
      <c r="J1286" s="213"/>
      <c r="K1286" s="213"/>
      <c r="L1286" s="213"/>
      <c r="N1286" s="525"/>
      <c r="O1286" s="525"/>
      <c r="P1286" s="525"/>
      <c r="Q1286" s="58"/>
      <c r="R1286" s="58"/>
      <c r="S1286" s="58"/>
    </row>
    <row r="1287" spans="2:19" x14ac:dyDescent="0.2">
      <c r="B1287" s="213"/>
      <c r="C1287" s="213"/>
      <c r="D1287" s="213"/>
      <c r="E1287" s="213"/>
      <c r="F1287" s="213"/>
      <c r="G1287" s="525"/>
      <c r="H1287" s="213"/>
      <c r="I1287" s="213"/>
      <c r="J1287" s="213"/>
      <c r="K1287" s="213"/>
      <c r="L1287" s="213"/>
      <c r="N1287" s="525"/>
      <c r="O1287" s="525"/>
      <c r="P1287" s="525"/>
      <c r="Q1287" s="58"/>
      <c r="R1287" s="58"/>
      <c r="S1287" s="58"/>
    </row>
    <row r="1288" spans="2:19" x14ac:dyDescent="0.2">
      <c r="B1288" s="213"/>
      <c r="C1288" s="213"/>
      <c r="D1288" s="213"/>
      <c r="E1288" s="213"/>
      <c r="F1288" s="213"/>
      <c r="G1288" s="525"/>
      <c r="H1288" s="213"/>
      <c r="I1288" s="213"/>
      <c r="J1288" s="213"/>
      <c r="K1288" s="213"/>
      <c r="L1288" s="213"/>
      <c r="N1288" s="525"/>
      <c r="O1288" s="525"/>
      <c r="P1288" s="525"/>
      <c r="Q1288" s="58"/>
      <c r="R1288" s="58"/>
      <c r="S1288" s="58"/>
    </row>
    <row r="1289" spans="2:19" x14ac:dyDescent="0.2">
      <c r="B1289" s="213"/>
      <c r="C1289" s="213"/>
      <c r="D1289" s="213"/>
      <c r="E1289" s="213"/>
      <c r="F1289" s="213"/>
      <c r="G1289" s="525"/>
      <c r="H1289" s="213"/>
      <c r="I1289" s="213"/>
      <c r="J1289" s="213"/>
      <c r="K1289" s="213"/>
      <c r="L1289" s="213"/>
      <c r="N1289" s="525"/>
      <c r="O1289" s="525"/>
      <c r="P1289" s="525"/>
      <c r="Q1289" s="58"/>
      <c r="R1289" s="58"/>
      <c r="S1289" s="58"/>
    </row>
    <row r="1290" spans="2:19" x14ac:dyDescent="0.2">
      <c r="B1290" s="213"/>
      <c r="C1290" s="213"/>
      <c r="D1290" s="213"/>
      <c r="E1290" s="213"/>
      <c r="F1290" s="213"/>
      <c r="G1290" s="525"/>
      <c r="H1290" s="213"/>
      <c r="I1290" s="213"/>
      <c r="J1290" s="213"/>
      <c r="K1290" s="213"/>
      <c r="L1290" s="213"/>
      <c r="N1290" s="525"/>
      <c r="O1290" s="525"/>
      <c r="P1290" s="525"/>
      <c r="Q1290" s="58"/>
      <c r="R1290" s="58"/>
      <c r="S1290" s="58"/>
    </row>
    <row r="1291" spans="2:19" x14ac:dyDescent="0.2">
      <c r="B1291" s="213"/>
      <c r="C1291" s="213"/>
      <c r="D1291" s="213"/>
      <c r="E1291" s="213"/>
      <c r="F1291" s="213"/>
      <c r="G1291" s="525"/>
      <c r="H1291" s="213"/>
      <c r="I1291" s="213"/>
      <c r="J1291" s="213"/>
      <c r="K1291" s="213"/>
      <c r="L1291" s="213"/>
      <c r="N1291" s="525"/>
      <c r="O1291" s="525"/>
      <c r="P1291" s="525"/>
      <c r="Q1291" s="58"/>
      <c r="R1291" s="58"/>
      <c r="S1291" s="58"/>
    </row>
    <row r="1292" spans="2:19" x14ac:dyDescent="0.2">
      <c r="B1292" s="213"/>
      <c r="C1292" s="213"/>
      <c r="D1292" s="213"/>
      <c r="E1292" s="213"/>
      <c r="F1292" s="213"/>
      <c r="G1292" s="525"/>
      <c r="H1292" s="213"/>
      <c r="I1292" s="213"/>
      <c r="J1292" s="213"/>
      <c r="K1292" s="213"/>
      <c r="L1292" s="213"/>
      <c r="N1292" s="525"/>
      <c r="O1292" s="525"/>
      <c r="P1292" s="525"/>
      <c r="Q1292" s="58"/>
      <c r="R1292" s="58"/>
      <c r="S1292" s="58"/>
    </row>
    <row r="1293" spans="2:19" x14ac:dyDescent="0.2">
      <c r="B1293" s="213"/>
      <c r="C1293" s="213"/>
      <c r="D1293" s="213"/>
      <c r="E1293" s="213"/>
      <c r="F1293" s="213"/>
      <c r="G1293" s="525"/>
      <c r="H1293" s="213"/>
      <c r="I1293" s="213"/>
      <c r="J1293" s="213"/>
      <c r="K1293" s="213"/>
      <c r="L1293" s="213"/>
      <c r="N1293" s="525"/>
      <c r="O1293" s="525"/>
      <c r="P1293" s="525"/>
      <c r="Q1293" s="58"/>
      <c r="R1293" s="58"/>
      <c r="S1293" s="58"/>
    </row>
    <row r="1294" spans="2:19" x14ac:dyDescent="0.2">
      <c r="B1294" s="213"/>
      <c r="C1294" s="213"/>
      <c r="D1294" s="213"/>
      <c r="E1294" s="213"/>
      <c r="F1294" s="213"/>
      <c r="G1294" s="525"/>
      <c r="H1294" s="213"/>
      <c r="I1294" s="213"/>
      <c r="J1294" s="213"/>
      <c r="K1294" s="213"/>
      <c r="L1294" s="213"/>
      <c r="N1294" s="525"/>
      <c r="O1294" s="525"/>
      <c r="P1294" s="525"/>
      <c r="Q1294" s="58"/>
      <c r="R1294" s="58"/>
      <c r="S1294" s="58"/>
    </row>
    <row r="1295" spans="2:19" x14ac:dyDescent="0.2">
      <c r="B1295" s="213"/>
      <c r="C1295" s="213"/>
      <c r="D1295" s="213"/>
      <c r="E1295" s="213"/>
      <c r="F1295" s="213"/>
      <c r="G1295" s="525"/>
      <c r="H1295" s="213"/>
      <c r="I1295" s="213"/>
      <c r="J1295" s="213"/>
      <c r="K1295" s="213"/>
      <c r="L1295" s="213"/>
      <c r="N1295" s="525"/>
      <c r="O1295" s="525"/>
      <c r="P1295" s="525"/>
      <c r="Q1295" s="58"/>
      <c r="R1295" s="58"/>
      <c r="S1295" s="58"/>
    </row>
    <row r="1296" spans="2:19" x14ac:dyDescent="0.2">
      <c r="B1296" s="213"/>
      <c r="C1296" s="213"/>
      <c r="D1296" s="213"/>
      <c r="E1296" s="213"/>
      <c r="F1296" s="213"/>
      <c r="G1296" s="525"/>
      <c r="H1296" s="213"/>
      <c r="I1296" s="213"/>
      <c r="J1296" s="213"/>
      <c r="K1296" s="213"/>
      <c r="L1296" s="213"/>
      <c r="N1296" s="525"/>
      <c r="O1296" s="525"/>
      <c r="P1296" s="525"/>
      <c r="Q1296" s="58"/>
      <c r="R1296" s="58"/>
      <c r="S1296" s="58"/>
    </row>
    <row r="1297" spans="2:19" x14ac:dyDescent="0.2">
      <c r="B1297" s="213"/>
      <c r="C1297" s="213"/>
      <c r="D1297" s="213"/>
      <c r="E1297" s="213"/>
      <c r="F1297" s="213"/>
      <c r="G1297" s="525"/>
      <c r="H1297" s="213"/>
      <c r="I1297" s="213"/>
      <c r="J1297" s="213"/>
      <c r="K1297" s="213"/>
      <c r="L1297" s="213"/>
      <c r="N1297" s="525"/>
      <c r="O1297" s="525"/>
      <c r="P1297" s="525"/>
      <c r="Q1297" s="58"/>
      <c r="R1297" s="58"/>
      <c r="S1297" s="58"/>
    </row>
    <row r="1298" spans="2:19" x14ac:dyDescent="0.2">
      <c r="B1298" s="213"/>
      <c r="C1298" s="213"/>
      <c r="D1298" s="213"/>
      <c r="E1298" s="213"/>
      <c r="F1298" s="213"/>
      <c r="G1298" s="525"/>
      <c r="H1298" s="213"/>
      <c r="I1298" s="213"/>
      <c r="J1298" s="213"/>
      <c r="K1298" s="213"/>
      <c r="L1298" s="213"/>
      <c r="N1298" s="525"/>
      <c r="O1298" s="525"/>
      <c r="P1298" s="525"/>
      <c r="Q1298" s="58"/>
      <c r="R1298" s="58"/>
      <c r="S1298" s="58"/>
    </row>
    <row r="1299" spans="2:19" x14ac:dyDescent="0.2">
      <c r="B1299" s="213"/>
      <c r="C1299" s="213"/>
      <c r="D1299" s="213"/>
      <c r="E1299" s="213"/>
      <c r="F1299" s="213"/>
      <c r="G1299" s="525"/>
      <c r="H1299" s="213"/>
      <c r="I1299" s="213"/>
      <c r="J1299" s="213"/>
      <c r="K1299" s="213"/>
      <c r="L1299" s="213"/>
      <c r="N1299" s="525"/>
      <c r="O1299" s="525"/>
      <c r="P1299" s="525"/>
      <c r="Q1299" s="58"/>
      <c r="R1299" s="58"/>
      <c r="S1299" s="58"/>
    </row>
    <row r="1300" spans="2:19" x14ac:dyDescent="0.2">
      <c r="B1300" s="213"/>
      <c r="C1300" s="213"/>
      <c r="D1300" s="213"/>
      <c r="E1300" s="213"/>
      <c r="F1300" s="213"/>
      <c r="G1300" s="525"/>
      <c r="H1300" s="213"/>
      <c r="I1300" s="213"/>
      <c r="J1300" s="213"/>
      <c r="K1300" s="213"/>
      <c r="L1300" s="213"/>
      <c r="N1300" s="525"/>
      <c r="O1300" s="525"/>
      <c r="P1300" s="525"/>
      <c r="Q1300" s="58"/>
      <c r="R1300" s="58"/>
      <c r="S1300" s="58"/>
    </row>
    <row r="1301" spans="2:19" x14ac:dyDescent="0.2">
      <c r="B1301" s="213"/>
      <c r="C1301" s="213"/>
      <c r="D1301" s="213"/>
      <c r="E1301" s="213"/>
      <c r="F1301" s="213"/>
      <c r="G1301" s="525"/>
      <c r="H1301" s="213"/>
      <c r="I1301" s="213"/>
      <c r="J1301" s="213"/>
      <c r="K1301" s="213"/>
      <c r="L1301" s="213"/>
      <c r="N1301" s="525"/>
      <c r="O1301" s="525"/>
      <c r="P1301" s="525"/>
      <c r="Q1301" s="58"/>
      <c r="R1301" s="58"/>
      <c r="S1301" s="58"/>
    </row>
    <row r="1302" spans="2:19" x14ac:dyDescent="0.2">
      <c r="B1302" s="213"/>
      <c r="C1302" s="213"/>
      <c r="D1302" s="213"/>
      <c r="E1302" s="213"/>
      <c r="F1302" s="213"/>
      <c r="G1302" s="525"/>
      <c r="H1302" s="213"/>
      <c r="I1302" s="213"/>
      <c r="J1302" s="213"/>
      <c r="K1302" s="213"/>
      <c r="L1302" s="213"/>
      <c r="N1302" s="525"/>
      <c r="O1302" s="525"/>
      <c r="P1302" s="525"/>
      <c r="Q1302" s="58"/>
      <c r="R1302" s="58"/>
      <c r="S1302" s="58"/>
    </row>
    <row r="1303" spans="2:19" x14ac:dyDescent="0.2">
      <c r="B1303" s="213"/>
      <c r="C1303" s="213"/>
      <c r="D1303" s="213"/>
      <c r="E1303" s="213"/>
      <c r="F1303" s="213"/>
      <c r="G1303" s="525"/>
      <c r="H1303" s="213"/>
      <c r="I1303" s="213"/>
      <c r="J1303" s="213"/>
      <c r="K1303" s="213"/>
      <c r="L1303" s="213"/>
      <c r="N1303" s="525"/>
      <c r="O1303" s="525"/>
      <c r="P1303" s="525"/>
      <c r="Q1303" s="58"/>
      <c r="R1303" s="58"/>
      <c r="S1303" s="58"/>
    </row>
    <row r="1304" spans="2:19" x14ac:dyDescent="0.2">
      <c r="B1304" s="213"/>
      <c r="C1304" s="213"/>
      <c r="D1304" s="213"/>
      <c r="E1304" s="213"/>
      <c r="F1304" s="213"/>
      <c r="G1304" s="525"/>
      <c r="H1304" s="213"/>
      <c r="I1304" s="213"/>
      <c r="J1304" s="213"/>
      <c r="K1304" s="213"/>
      <c r="L1304" s="213"/>
      <c r="N1304" s="525"/>
      <c r="O1304" s="525"/>
      <c r="P1304" s="525"/>
      <c r="Q1304" s="58"/>
      <c r="R1304" s="58"/>
      <c r="S1304" s="58"/>
    </row>
    <row r="1305" spans="2:19" x14ac:dyDescent="0.2">
      <c r="B1305" s="213"/>
      <c r="C1305" s="213"/>
      <c r="D1305" s="213"/>
      <c r="E1305" s="213"/>
      <c r="F1305" s="213"/>
      <c r="G1305" s="525"/>
      <c r="H1305" s="213"/>
      <c r="I1305" s="213"/>
      <c r="J1305" s="213"/>
      <c r="K1305" s="213"/>
      <c r="L1305" s="213"/>
      <c r="N1305" s="525"/>
      <c r="O1305" s="525"/>
      <c r="P1305" s="525"/>
      <c r="Q1305" s="58"/>
      <c r="R1305" s="58"/>
      <c r="S1305" s="58"/>
    </row>
    <row r="1306" spans="2:19" x14ac:dyDescent="0.2">
      <c r="B1306" s="213"/>
      <c r="C1306" s="213"/>
      <c r="D1306" s="213"/>
      <c r="E1306" s="213"/>
      <c r="F1306" s="213"/>
      <c r="G1306" s="525"/>
      <c r="H1306" s="213"/>
      <c r="I1306" s="213"/>
      <c r="J1306" s="213"/>
      <c r="K1306" s="213"/>
      <c r="L1306" s="213"/>
      <c r="N1306" s="525"/>
      <c r="O1306" s="525"/>
      <c r="P1306" s="525"/>
      <c r="Q1306" s="58"/>
      <c r="R1306" s="58"/>
      <c r="S1306" s="58"/>
    </row>
    <row r="1307" spans="2:19" x14ac:dyDescent="0.2">
      <c r="B1307" s="213"/>
      <c r="C1307" s="213"/>
      <c r="D1307" s="213"/>
      <c r="E1307" s="213"/>
      <c r="F1307" s="213"/>
      <c r="G1307" s="525"/>
      <c r="H1307" s="213"/>
      <c r="I1307" s="213"/>
      <c r="J1307" s="213"/>
      <c r="K1307" s="213"/>
      <c r="L1307" s="213"/>
      <c r="N1307" s="525"/>
      <c r="O1307" s="525"/>
      <c r="P1307" s="525"/>
      <c r="Q1307" s="58"/>
      <c r="R1307" s="58"/>
      <c r="S1307" s="58"/>
    </row>
    <row r="1308" spans="2:19" x14ac:dyDescent="0.2">
      <c r="B1308" s="213"/>
      <c r="C1308" s="213"/>
      <c r="D1308" s="213"/>
      <c r="E1308" s="213"/>
      <c r="F1308" s="213"/>
      <c r="G1308" s="525"/>
      <c r="H1308" s="213"/>
      <c r="I1308" s="213"/>
      <c r="J1308" s="213"/>
      <c r="K1308" s="213"/>
      <c r="L1308" s="213"/>
      <c r="N1308" s="525"/>
      <c r="O1308" s="525"/>
      <c r="P1308" s="525"/>
      <c r="Q1308" s="58"/>
      <c r="R1308" s="58"/>
      <c r="S1308" s="58"/>
    </row>
    <row r="1309" spans="2:19" x14ac:dyDescent="0.2">
      <c r="B1309" s="213"/>
      <c r="C1309" s="213"/>
      <c r="D1309" s="213"/>
      <c r="E1309" s="213"/>
      <c r="F1309" s="213"/>
      <c r="G1309" s="525"/>
      <c r="H1309" s="213"/>
      <c r="I1309" s="213"/>
      <c r="J1309" s="213"/>
      <c r="K1309" s="213"/>
      <c r="L1309" s="213"/>
      <c r="N1309" s="525"/>
      <c r="O1309" s="525"/>
      <c r="P1309" s="525"/>
      <c r="Q1309" s="58"/>
      <c r="R1309" s="58"/>
      <c r="S1309" s="58"/>
    </row>
    <row r="1310" spans="2:19" x14ac:dyDescent="0.2">
      <c r="B1310" s="213"/>
      <c r="C1310" s="213"/>
      <c r="D1310" s="213"/>
      <c r="E1310" s="213"/>
      <c r="F1310" s="213"/>
      <c r="G1310" s="525"/>
      <c r="H1310" s="213"/>
      <c r="I1310" s="213"/>
      <c r="J1310" s="213"/>
      <c r="K1310" s="213"/>
      <c r="L1310" s="213"/>
      <c r="N1310" s="525"/>
      <c r="O1310" s="525"/>
      <c r="P1310" s="525"/>
      <c r="Q1310" s="58"/>
      <c r="R1310" s="58"/>
      <c r="S1310" s="58"/>
    </row>
    <row r="1311" spans="2:19" x14ac:dyDescent="0.2">
      <c r="B1311" s="213"/>
      <c r="C1311" s="213"/>
      <c r="D1311" s="213"/>
      <c r="E1311" s="213"/>
      <c r="F1311" s="213"/>
      <c r="G1311" s="525"/>
      <c r="H1311" s="213"/>
      <c r="I1311" s="213"/>
      <c r="J1311" s="213"/>
      <c r="K1311" s="213"/>
      <c r="L1311" s="213"/>
      <c r="N1311" s="525"/>
      <c r="O1311" s="525"/>
      <c r="P1311" s="525"/>
      <c r="Q1311" s="58"/>
      <c r="R1311" s="58"/>
      <c r="S1311" s="58"/>
    </row>
    <row r="1312" spans="2:19" x14ac:dyDescent="0.2">
      <c r="B1312" s="213"/>
      <c r="C1312" s="213"/>
      <c r="D1312" s="213"/>
      <c r="E1312" s="213"/>
      <c r="F1312" s="213"/>
      <c r="G1312" s="525"/>
      <c r="H1312" s="213"/>
      <c r="I1312" s="213"/>
      <c r="J1312" s="213"/>
      <c r="K1312" s="213"/>
      <c r="L1312" s="213"/>
      <c r="N1312" s="525"/>
      <c r="O1312" s="525"/>
      <c r="P1312" s="525"/>
      <c r="Q1312" s="58"/>
      <c r="R1312" s="58"/>
      <c r="S1312" s="58"/>
    </row>
    <row r="1313" spans="2:19" x14ac:dyDescent="0.2">
      <c r="B1313" s="213"/>
      <c r="C1313" s="213"/>
      <c r="D1313" s="213"/>
      <c r="E1313" s="213"/>
      <c r="F1313" s="213"/>
      <c r="G1313" s="525"/>
      <c r="H1313" s="213"/>
      <c r="I1313" s="213"/>
      <c r="J1313" s="213"/>
      <c r="K1313" s="213"/>
      <c r="L1313" s="213"/>
      <c r="N1313" s="525"/>
      <c r="O1313" s="525"/>
      <c r="P1313" s="525"/>
      <c r="Q1313" s="58"/>
      <c r="R1313" s="58"/>
      <c r="S1313" s="58"/>
    </row>
    <row r="1314" spans="2:19" x14ac:dyDescent="0.2">
      <c r="B1314" s="213"/>
      <c r="C1314" s="213"/>
      <c r="D1314" s="213"/>
      <c r="E1314" s="213"/>
      <c r="F1314" s="213"/>
      <c r="G1314" s="525"/>
      <c r="H1314" s="213"/>
      <c r="I1314" s="213"/>
      <c r="J1314" s="213"/>
      <c r="K1314" s="213"/>
      <c r="L1314" s="213"/>
      <c r="N1314" s="525"/>
      <c r="O1314" s="525"/>
      <c r="P1314" s="525"/>
      <c r="Q1314" s="58"/>
      <c r="R1314" s="58"/>
      <c r="S1314" s="58"/>
    </row>
    <row r="1315" spans="2:19" x14ac:dyDescent="0.2">
      <c r="B1315" s="213"/>
      <c r="C1315" s="213"/>
      <c r="D1315" s="213"/>
      <c r="E1315" s="213"/>
      <c r="F1315" s="213"/>
      <c r="G1315" s="525"/>
      <c r="H1315" s="213"/>
      <c r="I1315" s="213"/>
      <c r="J1315" s="213"/>
      <c r="K1315" s="213"/>
      <c r="L1315" s="213"/>
      <c r="N1315" s="525"/>
      <c r="O1315" s="525"/>
      <c r="P1315" s="525"/>
      <c r="Q1315" s="58"/>
      <c r="R1315" s="58"/>
      <c r="S1315" s="58"/>
    </row>
    <row r="1316" spans="2:19" x14ac:dyDescent="0.2">
      <c r="B1316" s="213"/>
      <c r="C1316" s="213"/>
      <c r="D1316" s="213"/>
      <c r="E1316" s="213"/>
      <c r="F1316" s="213"/>
      <c r="G1316" s="525"/>
      <c r="H1316" s="213"/>
      <c r="I1316" s="213"/>
      <c r="J1316" s="213"/>
      <c r="K1316" s="213"/>
      <c r="L1316" s="213"/>
      <c r="N1316" s="525"/>
      <c r="O1316" s="525"/>
      <c r="P1316" s="525"/>
      <c r="Q1316" s="58"/>
      <c r="R1316" s="58"/>
      <c r="S1316" s="58"/>
    </row>
    <row r="1317" spans="2:19" x14ac:dyDescent="0.2">
      <c r="B1317" s="213"/>
      <c r="C1317" s="213"/>
      <c r="D1317" s="213"/>
      <c r="E1317" s="213"/>
      <c r="F1317" s="213"/>
      <c r="G1317" s="525"/>
      <c r="H1317" s="213"/>
      <c r="I1317" s="213"/>
      <c r="J1317" s="213"/>
      <c r="K1317" s="213"/>
      <c r="L1317" s="213"/>
      <c r="N1317" s="525"/>
      <c r="O1317" s="525"/>
      <c r="P1317" s="525"/>
      <c r="Q1317" s="58"/>
      <c r="R1317" s="58"/>
      <c r="S1317" s="58"/>
    </row>
    <row r="1318" spans="2:19" x14ac:dyDescent="0.2">
      <c r="B1318" s="213"/>
      <c r="C1318" s="213"/>
      <c r="D1318" s="213"/>
      <c r="E1318" s="213"/>
      <c r="F1318" s="213"/>
      <c r="G1318" s="525"/>
      <c r="H1318" s="213"/>
      <c r="I1318" s="213"/>
      <c r="J1318" s="213"/>
      <c r="K1318" s="213"/>
      <c r="L1318" s="213"/>
      <c r="N1318" s="525"/>
      <c r="O1318" s="525"/>
      <c r="P1318" s="525"/>
      <c r="Q1318" s="58"/>
      <c r="R1318" s="58"/>
      <c r="S1318" s="58"/>
    </row>
    <row r="1319" spans="2:19" x14ac:dyDescent="0.2">
      <c r="B1319" s="213"/>
      <c r="C1319" s="213"/>
      <c r="D1319" s="213"/>
      <c r="E1319" s="213"/>
      <c r="F1319" s="213"/>
      <c r="G1319" s="525"/>
      <c r="H1319" s="213"/>
      <c r="I1319" s="213"/>
      <c r="J1319" s="213"/>
      <c r="K1319" s="213"/>
      <c r="L1319" s="213"/>
      <c r="N1319" s="525"/>
      <c r="O1319" s="525"/>
      <c r="P1319" s="525"/>
      <c r="Q1319" s="58"/>
      <c r="R1319" s="58"/>
      <c r="S1319" s="58"/>
    </row>
    <row r="1320" spans="2:19" x14ac:dyDescent="0.2">
      <c r="B1320" s="213"/>
      <c r="C1320" s="213"/>
      <c r="D1320" s="213"/>
      <c r="E1320" s="213"/>
      <c r="F1320" s="213"/>
      <c r="G1320" s="525"/>
      <c r="H1320" s="213"/>
      <c r="I1320" s="213"/>
      <c r="J1320" s="213"/>
      <c r="K1320" s="213"/>
      <c r="L1320" s="213"/>
      <c r="N1320" s="525"/>
      <c r="O1320" s="525"/>
      <c r="P1320" s="525"/>
      <c r="Q1320" s="58"/>
      <c r="R1320" s="58"/>
      <c r="S1320" s="58"/>
    </row>
    <row r="1321" spans="2:19" x14ac:dyDescent="0.2">
      <c r="B1321" s="213"/>
      <c r="C1321" s="213"/>
      <c r="D1321" s="213"/>
      <c r="E1321" s="213"/>
      <c r="F1321" s="213"/>
      <c r="G1321" s="525"/>
      <c r="H1321" s="213"/>
      <c r="I1321" s="213"/>
      <c r="J1321" s="213"/>
      <c r="K1321" s="213"/>
      <c r="L1321" s="213"/>
      <c r="N1321" s="525"/>
      <c r="O1321" s="525"/>
      <c r="P1321" s="525"/>
      <c r="Q1321" s="58"/>
      <c r="R1321" s="58"/>
      <c r="S1321" s="58"/>
    </row>
    <row r="1322" spans="2:19" x14ac:dyDescent="0.2">
      <c r="B1322" s="213"/>
      <c r="C1322" s="213"/>
      <c r="D1322" s="213"/>
      <c r="E1322" s="213"/>
      <c r="F1322" s="213"/>
      <c r="G1322" s="525"/>
      <c r="H1322" s="213"/>
      <c r="I1322" s="213"/>
      <c r="J1322" s="213"/>
      <c r="K1322" s="213"/>
      <c r="L1322" s="213"/>
      <c r="N1322" s="525"/>
      <c r="O1322" s="525"/>
      <c r="P1322" s="525"/>
      <c r="Q1322" s="58"/>
      <c r="R1322" s="58"/>
      <c r="S1322" s="58"/>
    </row>
    <row r="1323" spans="2:19" x14ac:dyDescent="0.2">
      <c r="B1323" s="213"/>
      <c r="C1323" s="213"/>
      <c r="D1323" s="213"/>
      <c r="E1323" s="213"/>
      <c r="F1323" s="213"/>
      <c r="G1323" s="525"/>
      <c r="H1323" s="213"/>
      <c r="I1323" s="213"/>
      <c r="J1323" s="213"/>
      <c r="K1323" s="213"/>
      <c r="L1323" s="213"/>
      <c r="N1323" s="525"/>
      <c r="O1323" s="525"/>
      <c r="P1323" s="525"/>
      <c r="Q1323" s="58"/>
      <c r="R1323" s="58"/>
      <c r="S1323" s="58"/>
    </row>
    <row r="1324" spans="2:19" x14ac:dyDescent="0.2">
      <c r="B1324" s="213"/>
      <c r="C1324" s="213"/>
      <c r="D1324" s="213"/>
      <c r="E1324" s="213"/>
      <c r="F1324" s="213"/>
      <c r="G1324" s="525"/>
      <c r="H1324" s="213"/>
      <c r="I1324" s="213"/>
      <c r="J1324" s="213"/>
      <c r="K1324" s="213"/>
      <c r="L1324" s="213"/>
      <c r="N1324" s="525"/>
      <c r="O1324" s="525"/>
      <c r="P1324" s="525"/>
      <c r="Q1324" s="58"/>
      <c r="R1324" s="58"/>
      <c r="S1324" s="58"/>
    </row>
    <row r="1325" spans="2:19" x14ac:dyDescent="0.2">
      <c r="B1325" s="213"/>
      <c r="C1325" s="213"/>
      <c r="D1325" s="213"/>
      <c r="E1325" s="213"/>
      <c r="F1325" s="213"/>
      <c r="G1325" s="525"/>
      <c r="H1325" s="213"/>
      <c r="I1325" s="213"/>
      <c r="J1325" s="213"/>
      <c r="K1325" s="213"/>
      <c r="L1325" s="213"/>
      <c r="N1325" s="525"/>
      <c r="O1325" s="525"/>
      <c r="P1325" s="525"/>
      <c r="Q1325" s="58"/>
      <c r="R1325" s="58"/>
      <c r="S1325" s="58"/>
    </row>
    <row r="1326" spans="2:19" x14ac:dyDescent="0.2">
      <c r="B1326" s="213"/>
      <c r="C1326" s="213"/>
      <c r="D1326" s="213"/>
      <c r="E1326" s="213"/>
      <c r="F1326" s="213"/>
      <c r="G1326" s="525"/>
      <c r="H1326" s="213"/>
      <c r="I1326" s="213"/>
      <c r="J1326" s="213"/>
      <c r="K1326" s="213"/>
      <c r="L1326" s="213"/>
      <c r="N1326" s="525"/>
      <c r="O1326" s="525"/>
      <c r="P1326" s="525"/>
      <c r="Q1326" s="58"/>
      <c r="R1326" s="58"/>
      <c r="S1326" s="58"/>
    </row>
    <row r="1327" spans="2:19" x14ac:dyDescent="0.2">
      <c r="B1327" s="213"/>
      <c r="C1327" s="213"/>
      <c r="D1327" s="213"/>
      <c r="E1327" s="213"/>
      <c r="F1327" s="213"/>
      <c r="G1327" s="525"/>
      <c r="H1327" s="213"/>
      <c r="I1327" s="213"/>
      <c r="J1327" s="213"/>
      <c r="K1327" s="213"/>
      <c r="L1327" s="213"/>
      <c r="N1327" s="525"/>
      <c r="O1327" s="525"/>
      <c r="P1327" s="525"/>
      <c r="Q1327" s="58"/>
      <c r="R1327" s="58"/>
      <c r="S1327" s="58"/>
    </row>
    <row r="1328" spans="2:19" x14ac:dyDescent="0.2">
      <c r="B1328" s="213"/>
      <c r="C1328" s="213"/>
      <c r="D1328" s="213"/>
      <c r="E1328" s="213"/>
      <c r="F1328" s="213"/>
      <c r="G1328" s="525"/>
      <c r="H1328" s="213"/>
      <c r="I1328" s="213"/>
      <c r="J1328" s="213"/>
      <c r="K1328" s="213"/>
      <c r="L1328" s="213"/>
      <c r="N1328" s="525"/>
      <c r="O1328" s="525"/>
      <c r="P1328" s="525"/>
      <c r="Q1328" s="58"/>
      <c r="R1328" s="58"/>
      <c r="S1328" s="58"/>
    </row>
    <row r="1329" spans="2:19" x14ac:dyDescent="0.2">
      <c r="B1329" s="213"/>
      <c r="C1329" s="213"/>
      <c r="D1329" s="213"/>
      <c r="E1329" s="213"/>
      <c r="F1329" s="213"/>
      <c r="G1329" s="525"/>
      <c r="H1329" s="213"/>
      <c r="I1329" s="213"/>
      <c r="J1329" s="213"/>
      <c r="K1329" s="213"/>
      <c r="L1329" s="213"/>
      <c r="N1329" s="525"/>
      <c r="O1329" s="525"/>
      <c r="P1329" s="525"/>
      <c r="Q1329" s="58"/>
      <c r="R1329" s="58"/>
      <c r="S1329" s="58"/>
    </row>
    <row r="1330" spans="2:19" x14ac:dyDescent="0.2">
      <c r="B1330" s="213"/>
      <c r="C1330" s="213"/>
      <c r="D1330" s="213"/>
      <c r="E1330" s="213"/>
      <c r="F1330" s="213"/>
      <c r="G1330" s="525"/>
      <c r="H1330" s="213"/>
      <c r="I1330" s="213"/>
      <c r="J1330" s="213"/>
      <c r="K1330" s="213"/>
      <c r="L1330" s="213"/>
      <c r="N1330" s="525"/>
      <c r="O1330" s="525"/>
      <c r="P1330" s="525"/>
      <c r="Q1330" s="58"/>
      <c r="R1330" s="58"/>
      <c r="S1330" s="58"/>
    </row>
    <row r="1331" spans="2:19" x14ac:dyDescent="0.2">
      <c r="B1331" s="213"/>
      <c r="C1331" s="213"/>
      <c r="D1331" s="213"/>
      <c r="E1331" s="213"/>
      <c r="F1331" s="213"/>
      <c r="G1331" s="525"/>
      <c r="H1331" s="213"/>
      <c r="I1331" s="213"/>
      <c r="J1331" s="213"/>
      <c r="K1331" s="213"/>
      <c r="L1331" s="213"/>
      <c r="N1331" s="525"/>
      <c r="O1331" s="525"/>
      <c r="P1331" s="525"/>
      <c r="Q1331" s="58"/>
      <c r="R1331" s="58"/>
      <c r="S1331" s="58"/>
    </row>
    <row r="1332" spans="2:19" x14ac:dyDescent="0.2">
      <c r="B1332" s="213"/>
      <c r="C1332" s="213"/>
      <c r="D1332" s="213"/>
      <c r="E1332" s="213"/>
      <c r="F1332" s="213"/>
      <c r="G1332" s="525"/>
      <c r="H1332" s="213"/>
      <c r="I1332" s="213"/>
      <c r="J1332" s="213"/>
      <c r="K1332" s="213"/>
      <c r="L1332" s="213"/>
      <c r="N1332" s="525"/>
      <c r="O1332" s="525"/>
      <c r="P1332" s="525"/>
      <c r="Q1332" s="58"/>
      <c r="R1332" s="58"/>
      <c r="S1332" s="58"/>
    </row>
    <row r="1333" spans="2:19" x14ac:dyDescent="0.2">
      <c r="B1333" s="213"/>
      <c r="C1333" s="213"/>
      <c r="D1333" s="213"/>
      <c r="E1333" s="213"/>
      <c r="F1333" s="213"/>
      <c r="G1333" s="525"/>
      <c r="H1333" s="213"/>
      <c r="I1333" s="213"/>
      <c r="J1333" s="213"/>
      <c r="K1333" s="213"/>
      <c r="L1333" s="213"/>
      <c r="N1333" s="525"/>
      <c r="O1333" s="525"/>
      <c r="P1333" s="525"/>
      <c r="Q1333" s="58"/>
      <c r="R1333" s="58"/>
      <c r="S1333" s="58"/>
    </row>
    <row r="1334" spans="2:19" x14ac:dyDescent="0.2">
      <c r="B1334" s="213"/>
      <c r="C1334" s="213"/>
      <c r="D1334" s="213"/>
      <c r="E1334" s="213"/>
      <c r="F1334" s="213"/>
      <c r="G1334" s="525"/>
      <c r="H1334" s="213"/>
      <c r="I1334" s="213"/>
      <c r="J1334" s="213"/>
      <c r="K1334" s="213"/>
      <c r="L1334" s="213"/>
      <c r="N1334" s="525"/>
      <c r="O1334" s="525"/>
      <c r="P1334" s="525"/>
      <c r="Q1334" s="58"/>
      <c r="R1334" s="58"/>
      <c r="S1334" s="58"/>
    </row>
    <row r="1335" spans="2:19" x14ac:dyDescent="0.2">
      <c r="B1335" s="213"/>
      <c r="C1335" s="213"/>
      <c r="D1335" s="213"/>
      <c r="E1335" s="213"/>
      <c r="F1335" s="213"/>
      <c r="G1335" s="525"/>
      <c r="H1335" s="213"/>
      <c r="I1335" s="213"/>
      <c r="J1335" s="213"/>
      <c r="K1335" s="213"/>
      <c r="L1335" s="213"/>
      <c r="N1335" s="525"/>
      <c r="O1335" s="525"/>
      <c r="P1335" s="525"/>
      <c r="Q1335" s="58"/>
      <c r="R1335" s="58"/>
      <c r="S1335" s="58"/>
    </row>
    <row r="1336" spans="2:19" x14ac:dyDescent="0.2">
      <c r="B1336" s="213"/>
      <c r="C1336" s="213"/>
      <c r="D1336" s="213"/>
      <c r="E1336" s="213"/>
      <c r="F1336" s="213"/>
      <c r="G1336" s="525"/>
      <c r="H1336" s="213"/>
      <c r="I1336" s="213"/>
      <c r="J1336" s="213"/>
      <c r="K1336" s="213"/>
      <c r="L1336" s="213"/>
      <c r="N1336" s="525"/>
      <c r="O1336" s="525"/>
      <c r="P1336" s="525"/>
      <c r="Q1336" s="58"/>
      <c r="R1336" s="58"/>
      <c r="S1336" s="58"/>
    </row>
    <row r="1337" spans="2:19" x14ac:dyDescent="0.2">
      <c r="B1337" s="213"/>
      <c r="C1337" s="213"/>
      <c r="D1337" s="213"/>
      <c r="E1337" s="213"/>
      <c r="F1337" s="213"/>
      <c r="G1337" s="525"/>
      <c r="H1337" s="213"/>
      <c r="I1337" s="213"/>
      <c r="J1337" s="213"/>
      <c r="K1337" s="213"/>
      <c r="L1337" s="213"/>
      <c r="N1337" s="525"/>
      <c r="O1337" s="525"/>
      <c r="P1337" s="525"/>
      <c r="Q1337" s="58"/>
      <c r="R1337" s="58"/>
      <c r="S1337" s="58"/>
    </row>
    <row r="1338" spans="2:19" x14ac:dyDescent="0.2">
      <c r="B1338" s="213"/>
      <c r="C1338" s="213"/>
      <c r="D1338" s="213"/>
      <c r="E1338" s="213"/>
      <c r="F1338" s="213"/>
      <c r="G1338" s="525"/>
      <c r="H1338" s="213"/>
      <c r="I1338" s="213"/>
      <c r="J1338" s="213"/>
      <c r="K1338" s="213"/>
      <c r="L1338" s="213"/>
      <c r="N1338" s="525"/>
      <c r="O1338" s="525"/>
      <c r="P1338" s="525"/>
      <c r="Q1338" s="58"/>
      <c r="R1338" s="58"/>
      <c r="S1338" s="58"/>
    </row>
    <row r="1339" spans="2:19" x14ac:dyDescent="0.2">
      <c r="B1339" s="213"/>
      <c r="C1339" s="213"/>
      <c r="D1339" s="213"/>
      <c r="E1339" s="213"/>
      <c r="F1339" s="213"/>
      <c r="G1339" s="525"/>
      <c r="H1339" s="213"/>
      <c r="I1339" s="213"/>
      <c r="J1339" s="213"/>
      <c r="K1339" s="213"/>
      <c r="L1339" s="213"/>
      <c r="N1339" s="525"/>
      <c r="O1339" s="525"/>
      <c r="P1339" s="525"/>
      <c r="Q1339" s="58"/>
      <c r="R1339" s="58"/>
      <c r="S1339" s="58"/>
    </row>
    <row r="1340" spans="2:19" x14ac:dyDescent="0.2">
      <c r="B1340" s="213"/>
      <c r="C1340" s="213"/>
      <c r="D1340" s="213"/>
      <c r="E1340" s="213"/>
      <c r="F1340" s="213"/>
      <c r="G1340" s="525"/>
      <c r="H1340" s="213"/>
      <c r="I1340" s="213"/>
      <c r="J1340" s="213"/>
      <c r="K1340" s="213"/>
      <c r="L1340" s="213"/>
      <c r="N1340" s="525"/>
      <c r="O1340" s="525"/>
      <c r="P1340" s="525"/>
      <c r="Q1340" s="58"/>
      <c r="R1340" s="58"/>
      <c r="S1340" s="58"/>
    </row>
    <row r="1341" spans="2:19" x14ac:dyDescent="0.2">
      <c r="B1341" s="213"/>
      <c r="C1341" s="213"/>
      <c r="D1341" s="213"/>
      <c r="E1341" s="213"/>
      <c r="F1341" s="213"/>
      <c r="G1341" s="525"/>
      <c r="H1341" s="213"/>
      <c r="I1341" s="213"/>
      <c r="J1341" s="213"/>
      <c r="K1341" s="213"/>
      <c r="L1341" s="213"/>
      <c r="N1341" s="525"/>
      <c r="O1341" s="525"/>
      <c r="P1341" s="525"/>
      <c r="Q1341" s="58"/>
      <c r="R1341" s="58"/>
      <c r="S1341" s="58"/>
    </row>
    <row r="1342" spans="2:19" x14ac:dyDescent="0.2">
      <c r="B1342" s="213"/>
      <c r="C1342" s="213"/>
      <c r="D1342" s="213"/>
      <c r="E1342" s="213"/>
      <c r="F1342" s="213"/>
      <c r="G1342" s="525"/>
      <c r="H1342" s="213"/>
      <c r="I1342" s="213"/>
      <c r="J1342" s="213"/>
      <c r="K1342" s="213"/>
      <c r="L1342" s="213"/>
      <c r="N1342" s="525"/>
      <c r="O1342" s="525"/>
      <c r="P1342" s="525"/>
      <c r="Q1342" s="58"/>
      <c r="R1342" s="58"/>
      <c r="S1342" s="58"/>
    </row>
    <row r="1343" spans="2:19" x14ac:dyDescent="0.2">
      <c r="B1343" s="213"/>
      <c r="C1343" s="213"/>
      <c r="D1343" s="213"/>
      <c r="E1343" s="213"/>
      <c r="F1343" s="213"/>
      <c r="G1343" s="525"/>
      <c r="H1343" s="213"/>
      <c r="I1343" s="213"/>
      <c r="J1343" s="213"/>
      <c r="K1343" s="213"/>
      <c r="L1343" s="213"/>
      <c r="N1343" s="525"/>
      <c r="O1343" s="525"/>
      <c r="P1343" s="525"/>
      <c r="Q1343" s="58"/>
      <c r="R1343" s="58"/>
      <c r="S1343" s="58"/>
    </row>
    <row r="1344" spans="2:19" x14ac:dyDescent="0.2">
      <c r="B1344" s="213"/>
      <c r="C1344" s="213"/>
      <c r="D1344" s="213"/>
      <c r="E1344" s="213"/>
      <c r="F1344" s="213"/>
      <c r="G1344" s="525"/>
      <c r="H1344" s="213"/>
      <c r="I1344" s="213"/>
      <c r="J1344" s="213"/>
      <c r="K1344" s="213"/>
      <c r="L1344" s="213"/>
      <c r="N1344" s="525"/>
      <c r="O1344" s="525"/>
      <c r="P1344" s="525"/>
      <c r="Q1344" s="58"/>
      <c r="R1344" s="58"/>
      <c r="S1344" s="58"/>
    </row>
    <row r="1345" spans="2:19" x14ac:dyDescent="0.2">
      <c r="B1345" s="213"/>
      <c r="C1345" s="213"/>
      <c r="D1345" s="213"/>
      <c r="E1345" s="213"/>
      <c r="F1345" s="213"/>
      <c r="G1345" s="525"/>
      <c r="H1345" s="213"/>
      <c r="I1345" s="213"/>
      <c r="J1345" s="213"/>
      <c r="K1345" s="213"/>
      <c r="L1345" s="213"/>
      <c r="N1345" s="525"/>
      <c r="O1345" s="525"/>
      <c r="P1345" s="525"/>
      <c r="Q1345" s="58"/>
      <c r="R1345" s="58"/>
      <c r="S1345" s="58"/>
    </row>
    <row r="1346" spans="2:19" x14ac:dyDescent="0.2">
      <c r="B1346" s="213"/>
      <c r="C1346" s="213"/>
      <c r="D1346" s="213"/>
      <c r="E1346" s="213"/>
      <c r="F1346" s="213"/>
      <c r="G1346" s="525"/>
      <c r="H1346" s="213"/>
      <c r="I1346" s="213"/>
      <c r="J1346" s="213"/>
      <c r="K1346" s="213"/>
      <c r="L1346" s="213"/>
      <c r="N1346" s="525"/>
      <c r="O1346" s="525"/>
      <c r="P1346" s="525"/>
      <c r="Q1346" s="58"/>
      <c r="R1346" s="58"/>
      <c r="S1346" s="58"/>
    </row>
    <row r="1347" spans="2:19" x14ac:dyDescent="0.2">
      <c r="B1347" s="213"/>
      <c r="C1347" s="213"/>
      <c r="D1347" s="213"/>
      <c r="E1347" s="213"/>
      <c r="F1347" s="213"/>
      <c r="G1347" s="525"/>
      <c r="H1347" s="213"/>
      <c r="I1347" s="213"/>
      <c r="J1347" s="213"/>
      <c r="K1347" s="213"/>
      <c r="L1347" s="213"/>
      <c r="N1347" s="525"/>
      <c r="O1347" s="525"/>
      <c r="P1347" s="525"/>
      <c r="Q1347" s="58"/>
      <c r="R1347" s="58"/>
      <c r="S1347" s="58"/>
    </row>
    <row r="1348" spans="2:19" x14ac:dyDescent="0.2">
      <c r="B1348" s="213"/>
      <c r="C1348" s="213"/>
      <c r="D1348" s="213"/>
      <c r="E1348" s="213"/>
      <c r="F1348" s="213"/>
      <c r="G1348" s="525"/>
      <c r="H1348" s="213"/>
      <c r="I1348" s="213"/>
      <c r="J1348" s="213"/>
      <c r="K1348" s="213"/>
      <c r="L1348" s="213"/>
      <c r="N1348" s="525"/>
      <c r="O1348" s="525"/>
      <c r="P1348" s="525"/>
      <c r="Q1348" s="58"/>
      <c r="R1348" s="58"/>
      <c r="S1348" s="58"/>
    </row>
    <row r="1349" spans="2:19" x14ac:dyDescent="0.2">
      <c r="B1349" s="213"/>
      <c r="C1349" s="213"/>
      <c r="D1349" s="213"/>
      <c r="E1349" s="213"/>
      <c r="F1349" s="213"/>
      <c r="G1349" s="525"/>
      <c r="H1349" s="213"/>
      <c r="I1349" s="213"/>
      <c r="J1349" s="213"/>
      <c r="K1349" s="213"/>
      <c r="L1349" s="213"/>
      <c r="N1349" s="525"/>
      <c r="O1349" s="525"/>
      <c r="P1349" s="525"/>
      <c r="Q1349" s="58"/>
      <c r="R1349" s="58"/>
      <c r="S1349" s="58"/>
    </row>
    <row r="1350" spans="2:19" x14ac:dyDescent="0.2">
      <c r="B1350" s="213"/>
      <c r="C1350" s="213"/>
      <c r="D1350" s="213"/>
      <c r="E1350" s="213"/>
      <c r="F1350" s="213"/>
      <c r="G1350" s="525"/>
      <c r="H1350" s="213"/>
      <c r="I1350" s="213"/>
      <c r="J1350" s="213"/>
      <c r="K1350" s="213"/>
      <c r="L1350" s="213"/>
      <c r="N1350" s="525"/>
      <c r="O1350" s="525"/>
      <c r="P1350" s="525"/>
      <c r="Q1350" s="58"/>
      <c r="R1350" s="58"/>
      <c r="S1350" s="58"/>
    </row>
    <row r="1351" spans="2:19" x14ac:dyDescent="0.2">
      <c r="B1351" s="213"/>
      <c r="C1351" s="213"/>
      <c r="D1351" s="213"/>
      <c r="E1351" s="213"/>
      <c r="F1351" s="213"/>
      <c r="G1351" s="525"/>
      <c r="H1351" s="213"/>
      <c r="I1351" s="213"/>
      <c r="J1351" s="213"/>
      <c r="K1351" s="213"/>
      <c r="L1351" s="213"/>
      <c r="N1351" s="525"/>
      <c r="O1351" s="525"/>
      <c r="P1351" s="525"/>
      <c r="Q1351" s="58"/>
      <c r="R1351" s="58"/>
      <c r="S1351" s="58"/>
    </row>
    <row r="1352" spans="2:19" x14ac:dyDescent="0.2">
      <c r="B1352" s="213"/>
      <c r="C1352" s="213"/>
      <c r="D1352" s="213"/>
      <c r="E1352" s="213"/>
      <c r="F1352" s="213"/>
      <c r="G1352" s="525"/>
      <c r="H1352" s="213"/>
      <c r="I1352" s="213"/>
      <c r="J1352" s="213"/>
      <c r="K1352" s="213"/>
      <c r="L1352" s="213"/>
      <c r="N1352" s="525"/>
      <c r="O1352" s="525"/>
      <c r="P1352" s="525"/>
      <c r="Q1352" s="58"/>
      <c r="R1352" s="58"/>
      <c r="S1352" s="58"/>
    </row>
    <row r="1353" spans="2:19" x14ac:dyDescent="0.2">
      <c r="B1353" s="213"/>
      <c r="C1353" s="213"/>
      <c r="D1353" s="213"/>
      <c r="E1353" s="213"/>
      <c r="F1353" s="213"/>
      <c r="G1353" s="525"/>
      <c r="H1353" s="213"/>
      <c r="I1353" s="213"/>
      <c r="J1353" s="213"/>
      <c r="K1353" s="213"/>
      <c r="L1353" s="213"/>
      <c r="N1353" s="525"/>
      <c r="O1353" s="525"/>
      <c r="P1353" s="525"/>
      <c r="Q1353" s="58"/>
      <c r="R1353" s="58"/>
      <c r="S1353" s="58"/>
    </row>
    <row r="1354" spans="2:19" x14ac:dyDescent="0.2">
      <c r="B1354" s="213"/>
      <c r="C1354" s="213"/>
      <c r="D1354" s="213"/>
      <c r="E1354" s="213"/>
      <c r="F1354" s="213"/>
      <c r="G1354" s="525"/>
      <c r="H1354" s="213"/>
      <c r="I1354" s="213"/>
      <c r="J1354" s="213"/>
      <c r="K1354" s="213"/>
      <c r="L1354" s="213"/>
      <c r="N1354" s="525"/>
      <c r="O1354" s="525"/>
      <c r="P1354" s="525"/>
      <c r="Q1354" s="58"/>
      <c r="R1354" s="58"/>
      <c r="S1354" s="58"/>
    </row>
    <row r="1355" spans="2:19" x14ac:dyDescent="0.2">
      <c r="B1355" s="213"/>
      <c r="C1355" s="213"/>
      <c r="D1355" s="213"/>
      <c r="E1355" s="213"/>
      <c r="F1355" s="213"/>
      <c r="G1355" s="525"/>
      <c r="H1355" s="213"/>
      <c r="I1355" s="213"/>
      <c r="J1355" s="213"/>
      <c r="K1355" s="213"/>
      <c r="L1355" s="213"/>
      <c r="N1355" s="525"/>
      <c r="O1355" s="525"/>
      <c r="P1355" s="525"/>
      <c r="Q1355" s="58"/>
      <c r="R1355" s="58"/>
      <c r="S1355" s="58"/>
    </row>
    <row r="1356" spans="2:19" x14ac:dyDescent="0.2">
      <c r="B1356" s="213"/>
      <c r="C1356" s="213"/>
      <c r="D1356" s="213"/>
      <c r="E1356" s="213"/>
      <c r="F1356" s="213"/>
      <c r="G1356" s="525"/>
      <c r="H1356" s="213"/>
      <c r="I1356" s="213"/>
      <c r="J1356" s="213"/>
      <c r="K1356" s="213"/>
      <c r="L1356" s="213"/>
      <c r="N1356" s="525"/>
      <c r="O1356" s="525"/>
      <c r="P1356" s="525"/>
      <c r="Q1356" s="58"/>
      <c r="R1356" s="58"/>
      <c r="S1356" s="58"/>
    </row>
    <row r="1357" spans="2:19" x14ac:dyDescent="0.2">
      <c r="B1357" s="213"/>
      <c r="C1357" s="213"/>
      <c r="D1357" s="213"/>
      <c r="E1357" s="213"/>
      <c r="F1357" s="213"/>
      <c r="G1357" s="525"/>
      <c r="H1357" s="213"/>
      <c r="I1357" s="213"/>
      <c r="J1357" s="213"/>
      <c r="K1357" s="213"/>
      <c r="L1357" s="213"/>
      <c r="N1357" s="525"/>
      <c r="O1357" s="525"/>
      <c r="P1357" s="525"/>
      <c r="Q1357" s="58"/>
      <c r="R1357" s="58"/>
      <c r="S1357" s="58"/>
    </row>
    <row r="1358" spans="2:19" x14ac:dyDescent="0.2">
      <c r="B1358" s="213"/>
      <c r="C1358" s="213"/>
      <c r="D1358" s="213"/>
      <c r="E1358" s="213"/>
      <c r="F1358" s="213"/>
      <c r="G1358" s="525"/>
      <c r="H1358" s="213"/>
      <c r="I1358" s="213"/>
      <c r="J1358" s="213"/>
      <c r="K1358" s="213"/>
      <c r="L1358" s="213"/>
      <c r="N1358" s="525"/>
      <c r="O1358" s="525"/>
      <c r="P1358" s="525"/>
      <c r="Q1358" s="58"/>
      <c r="R1358" s="58"/>
      <c r="S1358" s="58"/>
    </row>
    <row r="1359" spans="2:19" x14ac:dyDescent="0.2">
      <c r="B1359" s="213"/>
      <c r="C1359" s="213"/>
      <c r="D1359" s="213"/>
      <c r="E1359" s="213"/>
      <c r="F1359" s="213"/>
      <c r="G1359" s="525"/>
      <c r="H1359" s="213"/>
      <c r="I1359" s="213"/>
      <c r="J1359" s="213"/>
      <c r="K1359" s="213"/>
      <c r="L1359" s="213"/>
      <c r="N1359" s="525"/>
      <c r="O1359" s="525"/>
      <c r="P1359" s="525"/>
      <c r="Q1359" s="58"/>
      <c r="R1359" s="58"/>
      <c r="S1359" s="58"/>
    </row>
    <row r="1360" spans="2:19" x14ac:dyDescent="0.2">
      <c r="B1360" s="213"/>
      <c r="C1360" s="213"/>
      <c r="D1360" s="213"/>
      <c r="E1360" s="213"/>
      <c r="F1360" s="213"/>
      <c r="G1360" s="525"/>
      <c r="H1360" s="213"/>
      <c r="I1360" s="213"/>
      <c r="J1360" s="213"/>
      <c r="K1360" s="213"/>
      <c r="L1360" s="213"/>
      <c r="N1360" s="525"/>
      <c r="O1360" s="525"/>
      <c r="P1360" s="525"/>
      <c r="Q1360" s="58"/>
      <c r="R1360" s="58"/>
      <c r="S1360" s="58"/>
    </row>
    <row r="1361" spans="2:19" x14ac:dyDescent="0.2">
      <c r="B1361" s="213"/>
      <c r="C1361" s="213"/>
      <c r="D1361" s="213"/>
      <c r="E1361" s="213"/>
      <c r="F1361" s="213"/>
      <c r="G1361" s="525"/>
      <c r="H1361" s="213"/>
      <c r="I1361" s="213"/>
      <c r="J1361" s="213"/>
      <c r="K1361" s="213"/>
      <c r="L1361" s="213"/>
      <c r="N1361" s="525"/>
      <c r="O1361" s="525"/>
      <c r="P1361" s="525"/>
      <c r="Q1361" s="58"/>
      <c r="R1361" s="58"/>
      <c r="S1361" s="58"/>
    </row>
    <row r="1362" spans="2:19" x14ac:dyDescent="0.2">
      <c r="B1362" s="213"/>
      <c r="C1362" s="213"/>
      <c r="D1362" s="213"/>
      <c r="E1362" s="213"/>
      <c r="F1362" s="213"/>
      <c r="G1362" s="525"/>
      <c r="H1362" s="213"/>
      <c r="I1362" s="213"/>
      <c r="J1362" s="213"/>
      <c r="K1362" s="213"/>
      <c r="L1362" s="213"/>
      <c r="N1362" s="525"/>
      <c r="O1362" s="525"/>
      <c r="P1362" s="525"/>
      <c r="Q1362" s="58"/>
      <c r="R1362" s="58"/>
      <c r="S1362" s="58"/>
    </row>
    <row r="1363" spans="2:19" x14ac:dyDescent="0.2">
      <c r="B1363" s="213"/>
      <c r="C1363" s="213"/>
      <c r="D1363" s="213"/>
      <c r="E1363" s="213"/>
      <c r="F1363" s="213"/>
      <c r="G1363" s="525"/>
      <c r="H1363" s="213"/>
      <c r="I1363" s="213"/>
      <c r="J1363" s="213"/>
      <c r="K1363" s="213"/>
      <c r="L1363" s="213"/>
      <c r="N1363" s="525"/>
      <c r="O1363" s="525"/>
      <c r="P1363" s="525"/>
      <c r="Q1363" s="58"/>
      <c r="R1363" s="58"/>
      <c r="S1363" s="58"/>
    </row>
    <row r="1364" spans="2:19" x14ac:dyDescent="0.2">
      <c r="B1364" s="213"/>
      <c r="C1364" s="213"/>
      <c r="D1364" s="213"/>
      <c r="E1364" s="213"/>
      <c r="F1364" s="213"/>
      <c r="G1364" s="525"/>
      <c r="H1364" s="213"/>
      <c r="I1364" s="213"/>
      <c r="J1364" s="213"/>
      <c r="K1364" s="213"/>
      <c r="L1364" s="213"/>
      <c r="N1364" s="525"/>
      <c r="O1364" s="525"/>
      <c r="P1364" s="525"/>
      <c r="Q1364" s="58"/>
      <c r="R1364" s="58"/>
      <c r="S1364" s="58"/>
    </row>
    <row r="1365" spans="2:19" x14ac:dyDescent="0.2">
      <c r="B1365" s="213"/>
      <c r="C1365" s="213"/>
      <c r="D1365" s="213"/>
      <c r="E1365" s="213"/>
      <c r="F1365" s="213"/>
      <c r="G1365" s="525"/>
      <c r="H1365" s="213"/>
      <c r="I1365" s="213"/>
      <c r="J1365" s="213"/>
      <c r="K1365" s="213"/>
      <c r="L1365" s="213"/>
      <c r="N1365" s="525"/>
      <c r="O1365" s="525"/>
      <c r="P1365" s="525"/>
      <c r="Q1365" s="58"/>
      <c r="R1365" s="58"/>
      <c r="S1365" s="58"/>
    </row>
    <row r="1366" spans="2:19" x14ac:dyDescent="0.2">
      <c r="B1366" s="213"/>
      <c r="C1366" s="213"/>
      <c r="D1366" s="213"/>
      <c r="E1366" s="213"/>
      <c r="F1366" s="213"/>
      <c r="G1366" s="525"/>
      <c r="H1366" s="213"/>
      <c r="I1366" s="213"/>
      <c r="J1366" s="213"/>
      <c r="K1366" s="213"/>
      <c r="L1366" s="213"/>
      <c r="N1366" s="525"/>
      <c r="O1366" s="525"/>
      <c r="P1366" s="525"/>
      <c r="Q1366" s="58"/>
      <c r="R1366" s="58"/>
      <c r="S1366" s="58"/>
    </row>
    <row r="1367" spans="2:19" x14ac:dyDescent="0.2">
      <c r="B1367" s="213"/>
      <c r="C1367" s="213"/>
      <c r="D1367" s="213"/>
      <c r="E1367" s="213"/>
      <c r="F1367" s="213"/>
      <c r="G1367" s="525"/>
      <c r="H1367" s="213"/>
      <c r="I1367" s="213"/>
      <c r="J1367" s="213"/>
      <c r="K1367" s="213"/>
      <c r="L1367" s="213"/>
      <c r="N1367" s="525"/>
      <c r="O1367" s="525"/>
      <c r="P1367" s="525"/>
      <c r="Q1367" s="58"/>
      <c r="R1367" s="58"/>
      <c r="S1367" s="58"/>
    </row>
    <row r="1368" spans="2:19" x14ac:dyDescent="0.2">
      <c r="B1368" s="213"/>
      <c r="C1368" s="213"/>
      <c r="D1368" s="213"/>
      <c r="E1368" s="213"/>
      <c r="F1368" s="213"/>
      <c r="G1368" s="525"/>
      <c r="H1368" s="213"/>
      <c r="I1368" s="213"/>
      <c r="J1368" s="213"/>
      <c r="K1368" s="213"/>
      <c r="L1368" s="213"/>
      <c r="N1368" s="525"/>
      <c r="O1368" s="525"/>
      <c r="P1368" s="525"/>
      <c r="Q1368" s="58"/>
      <c r="R1368" s="58"/>
      <c r="S1368" s="58"/>
    </row>
    <row r="1369" spans="2:19" x14ac:dyDescent="0.2">
      <c r="B1369" s="213"/>
      <c r="C1369" s="213"/>
      <c r="D1369" s="213"/>
      <c r="E1369" s="213"/>
      <c r="F1369" s="213"/>
      <c r="G1369" s="525"/>
      <c r="H1369" s="213"/>
      <c r="I1369" s="213"/>
      <c r="J1369" s="213"/>
      <c r="K1369" s="213"/>
      <c r="L1369" s="213"/>
      <c r="N1369" s="525"/>
      <c r="O1369" s="525"/>
      <c r="P1369" s="525"/>
      <c r="Q1369" s="58"/>
      <c r="R1369" s="58"/>
      <c r="S1369" s="58"/>
    </row>
    <row r="1370" spans="2:19" x14ac:dyDescent="0.2">
      <c r="B1370" s="213"/>
      <c r="C1370" s="213"/>
      <c r="D1370" s="213"/>
      <c r="E1370" s="213"/>
      <c r="F1370" s="213"/>
      <c r="G1370" s="525"/>
      <c r="H1370" s="213"/>
      <c r="I1370" s="213"/>
      <c r="J1370" s="213"/>
      <c r="K1370" s="213"/>
      <c r="L1370" s="213"/>
      <c r="N1370" s="525"/>
      <c r="O1370" s="525"/>
      <c r="P1370" s="525"/>
      <c r="Q1370" s="58"/>
      <c r="R1370" s="58"/>
      <c r="S1370" s="58"/>
    </row>
    <row r="1371" spans="2:19" x14ac:dyDescent="0.2">
      <c r="B1371" s="213"/>
      <c r="C1371" s="213"/>
      <c r="D1371" s="213"/>
      <c r="E1371" s="213"/>
      <c r="F1371" s="213"/>
      <c r="G1371" s="525"/>
      <c r="H1371" s="213"/>
      <c r="I1371" s="213"/>
      <c r="J1371" s="213"/>
      <c r="K1371" s="213"/>
      <c r="L1371" s="213"/>
      <c r="N1371" s="525"/>
      <c r="O1371" s="525"/>
      <c r="P1371" s="525"/>
      <c r="Q1371" s="58"/>
      <c r="R1371" s="58"/>
      <c r="S1371" s="58"/>
    </row>
    <row r="1372" spans="2:19" x14ac:dyDescent="0.2">
      <c r="B1372" s="213"/>
      <c r="C1372" s="213"/>
      <c r="D1372" s="213"/>
      <c r="E1372" s="213"/>
      <c r="F1372" s="213"/>
      <c r="G1372" s="525"/>
      <c r="H1372" s="213"/>
      <c r="I1372" s="213"/>
      <c r="J1372" s="213"/>
      <c r="K1372" s="213"/>
      <c r="L1372" s="213"/>
      <c r="N1372" s="525"/>
      <c r="O1372" s="525"/>
      <c r="P1372" s="525"/>
      <c r="Q1372" s="58"/>
      <c r="R1372" s="58"/>
      <c r="S1372" s="58"/>
    </row>
    <row r="1373" spans="2:19" x14ac:dyDescent="0.2">
      <c r="B1373" s="213"/>
      <c r="C1373" s="213"/>
      <c r="D1373" s="213"/>
      <c r="E1373" s="213"/>
      <c r="F1373" s="213"/>
      <c r="G1373" s="525"/>
      <c r="H1373" s="213"/>
      <c r="I1373" s="213"/>
      <c r="J1373" s="213"/>
      <c r="K1373" s="213"/>
      <c r="L1373" s="213"/>
      <c r="N1373" s="525"/>
      <c r="O1373" s="525"/>
      <c r="P1373" s="525"/>
      <c r="Q1373" s="58"/>
      <c r="R1373" s="58"/>
      <c r="S1373" s="58"/>
    </row>
    <row r="1374" spans="2:19" x14ac:dyDescent="0.2">
      <c r="B1374" s="213"/>
      <c r="C1374" s="213"/>
      <c r="D1374" s="213"/>
      <c r="E1374" s="213"/>
      <c r="F1374" s="213"/>
      <c r="G1374" s="525"/>
      <c r="H1374" s="213"/>
      <c r="I1374" s="213"/>
      <c r="J1374" s="213"/>
      <c r="K1374" s="213"/>
      <c r="L1374" s="213"/>
      <c r="N1374" s="525"/>
      <c r="O1374" s="525"/>
      <c r="P1374" s="525"/>
      <c r="Q1374" s="58"/>
      <c r="R1374" s="58"/>
      <c r="S1374" s="58"/>
    </row>
    <row r="1375" spans="2:19" x14ac:dyDescent="0.2">
      <c r="B1375" s="213"/>
      <c r="C1375" s="213"/>
      <c r="D1375" s="213"/>
      <c r="E1375" s="213"/>
      <c r="F1375" s="213"/>
      <c r="G1375" s="525"/>
      <c r="H1375" s="213"/>
      <c r="I1375" s="213"/>
      <c r="J1375" s="213"/>
      <c r="K1375" s="213"/>
      <c r="L1375" s="213"/>
      <c r="N1375" s="525"/>
      <c r="O1375" s="525"/>
      <c r="P1375" s="525"/>
      <c r="Q1375" s="58"/>
      <c r="R1375" s="58"/>
      <c r="S1375" s="58"/>
    </row>
    <row r="1376" spans="2:19" x14ac:dyDescent="0.2">
      <c r="B1376" s="213"/>
      <c r="C1376" s="213"/>
      <c r="D1376" s="213"/>
      <c r="E1376" s="213"/>
      <c r="F1376" s="213"/>
      <c r="G1376" s="525"/>
      <c r="H1376" s="213"/>
      <c r="I1376" s="213"/>
      <c r="J1376" s="213"/>
      <c r="K1376" s="213"/>
      <c r="L1376" s="213"/>
      <c r="N1376" s="525"/>
      <c r="O1376" s="525"/>
      <c r="P1376" s="525"/>
      <c r="Q1376" s="58"/>
      <c r="R1376" s="58"/>
      <c r="S1376" s="58"/>
    </row>
    <row r="1377" spans="2:19" x14ac:dyDescent="0.2">
      <c r="B1377" s="213"/>
      <c r="C1377" s="213"/>
      <c r="D1377" s="213"/>
      <c r="E1377" s="213"/>
      <c r="F1377" s="213"/>
      <c r="G1377" s="525"/>
      <c r="H1377" s="213"/>
      <c r="I1377" s="213"/>
      <c r="J1377" s="213"/>
      <c r="K1377" s="213"/>
      <c r="L1377" s="213"/>
      <c r="N1377" s="525"/>
      <c r="O1377" s="525"/>
      <c r="P1377" s="525"/>
      <c r="Q1377" s="58"/>
      <c r="R1377" s="58"/>
      <c r="S1377" s="58"/>
    </row>
    <row r="1378" spans="2:19" x14ac:dyDescent="0.2">
      <c r="B1378" s="213"/>
      <c r="C1378" s="213"/>
      <c r="D1378" s="213"/>
      <c r="E1378" s="213"/>
      <c r="F1378" s="213"/>
      <c r="G1378" s="525"/>
      <c r="H1378" s="213"/>
      <c r="I1378" s="213"/>
      <c r="J1378" s="213"/>
      <c r="K1378" s="213"/>
      <c r="L1378" s="213"/>
      <c r="N1378" s="525"/>
      <c r="O1378" s="525"/>
      <c r="P1378" s="525"/>
      <c r="Q1378" s="58"/>
      <c r="R1378" s="58"/>
      <c r="S1378" s="58"/>
    </row>
    <row r="1379" spans="2:19" x14ac:dyDescent="0.2">
      <c r="B1379" s="213"/>
      <c r="C1379" s="213"/>
      <c r="D1379" s="213"/>
      <c r="E1379" s="213"/>
      <c r="F1379" s="213"/>
      <c r="G1379" s="525"/>
      <c r="H1379" s="213"/>
      <c r="I1379" s="213"/>
      <c r="J1379" s="213"/>
      <c r="K1379" s="213"/>
      <c r="L1379" s="213"/>
      <c r="N1379" s="525"/>
      <c r="O1379" s="525"/>
      <c r="P1379" s="525"/>
      <c r="Q1379" s="58"/>
      <c r="R1379" s="58"/>
      <c r="S1379" s="58"/>
    </row>
    <row r="1380" spans="2:19" x14ac:dyDescent="0.2">
      <c r="B1380" s="213"/>
      <c r="C1380" s="213"/>
      <c r="D1380" s="213"/>
      <c r="E1380" s="213"/>
      <c r="F1380" s="213"/>
      <c r="G1380" s="525"/>
      <c r="H1380" s="213"/>
      <c r="I1380" s="213"/>
      <c r="J1380" s="213"/>
      <c r="K1380" s="213"/>
      <c r="L1380" s="213"/>
      <c r="N1380" s="525"/>
      <c r="O1380" s="525"/>
      <c r="P1380" s="525"/>
      <c r="Q1380" s="58"/>
      <c r="R1380" s="58"/>
      <c r="S1380" s="58"/>
    </row>
    <row r="1381" spans="2:19" x14ac:dyDescent="0.2">
      <c r="B1381" s="213"/>
      <c r="C1381" s="213"/>
      <c r="D1381" s="213"/>
      <c r="E1381" s="213"/>
      <c r="F1381" s="213"/>
      <c r="G1381" s="525"/>
      <c r="H1381" s="213"/>
      <c r="I1381" s="213"/>
      <c r="J1381" s="213"/>
      <c r="K1381" s="213"/>
      <c r="L1381" s="213"/>
      <c r="N1381" s="525"/>
      <c r="O1381" s="525"/>
      <c r="P1381" s="525"/>
      <c r="Q1381" s="58"/>
      <c r="R1381" s="58"/>
      <c r="S1381" s="58"/>
    </row>
    <row r="1382" spans="2:19" x14ac:dyDescent="0.2">
      <c r="B1382" s="213"/>
      <c r="C1382" s="213"/>
      <c r="D1382" s="213"/>
      <c r="E1382" s="213"/>
      <c r="F1382" s="213"/>
      <c r="G1382" s="525"/>
      <c r="H1382" s="213"/>
      <c r="I1382" s="213"/>
      <c r="J1382" s="213"/>
      <c r="K1382" s="213"/>
      <c r="L1382" s="213"/>
      <c r="N1382" s="525"/>
      <c r="O1382" s="525"/>
      <c r="P1382" s="525"/>
      <c r="Q1382" s="58"/>
      <c r="R1382" s="58"/>
      <c r="S1382" s="58"/>
    </row>
    <row r="1383" spans="2:19" x14ac:dyDescent="0.2">
      <c r="B1383" s="213"/>
      <c r="C1383" s="213"/>
      <c r="D1383" s="213"/>
      <c r="E1383" s="213"/>
      <c r="F1383" s="213"/>
      <c r="G1383" s="525"/>
      <c r="H1383" s="213"/>
      <c r="I1383" s="213"/>
      <c r="J1383" s="213"/>
      <c r="K1383" s="213"/>
      <c r="L1383" s="213"/>
      <c r="N1383" s="525"/>
      <c r="O1383" s="525"/>
      <c r="P1383" s="525"/>
      <c r="Q1383" s="58"/>
      <c r="R1383" s="58"/>
      <c r="S1383" s="58"/>
    </row>
    <row r="1384" spans="2:19" x14ac:dyDescent="0.2">
      <c r="B1384" s="213"/>
      <c r="C1384" s="213"/>
      <c r="D1384" s="213"/>
      <c r="E1384" s="213"/>
      <c r="F1384" s="213"/>
      <c r="G1384" s="525"/>
      <c r="H1384" s="213"/>
      <c r="I1384" s="213"/>
      <c r="J1384" s="213"/>
      <c r="K1384" s="213"/>
      <c r="L1384" s="213"/>
      <c r="N1384" s="525"/>
      <c r="O1384" s="525"/>
      <c r="P1384" s="525"/>
      <c r="Q1384" s="58"/>
      <c r="R1384" s="58"/>
      <c r="S1384" s="58"/>
    </row>
    <row r="1385" spans="2:19" x14ac:dyDescent="0.2">
      <c r="B1385" s="213"/>
      <c r="C1385" s="213"/>
      <c r="D1385" s="213"/>
      <c r="E1385" s="213"/>
      <c r="F1385" s="213"/>
      <c r="G1385" s="525"/>
      <c r="H1385" s="213"/>
      <c r="I1385" s="213"/>
      <c r="J1385" s="213"/>
      <c r="K1385" s="213"/>
      <c r="L1385" s="213"/>
      <c r="N1385" s="525"/>
      <c r="O1385" s="525"/>
      <c r="P1385" s="525"/>
      <c r="Q1385" s="58"/>
      <c r="R1385" s="58"/>
      <c r="S1385" s="58"/>
    </row>
    <row r="1386" spans="2:19" x14ac:dyDescent="0.2">
      <c r="B1386" s="213"/>
      <c r="C1386" s="213"/>
      <c r="D1386" s="213"/>
      <c r="E1386" s="213"/>
      <c r="F1386" s="213"/>
      <c r="G1386" s="525"/>
      <c r="H1386" s="213"/>
      <c r="I1386" s="213"/>
      <c r="J1386" s="213"/>
      <c r="K1386" s="213"/>
      <c r="L1386" s="213"/>
      <c r="N1386" s="525"/>
      <c r="O1386" s="525"/>
      <c r="P1386" s="525"/>
      <c r="Q1386" s="58"/>
      <c r="R1386" s="58"/>
      <c r="S1386" s="58"/>
    </row>
    <row r="1387" spans="2:19" x14ac:dyDescent="0.2">
      <c r="B1387" s="213"/>
      <c r="C1387" s="213"/>
      <c r="D1387" s="213"/>
      <c r="E1387" s="213"/>
      <c r="F1387" s="213"/>
      <c r="G1387" s="525"/>
      <c r="H1387" s="213"/>
      <c r="I1387" s="213"/>
      <c r="J1387" s="213"/>
      <c r="K1387" s="213"/>
      <c r="L1387" s="213"/>
      <c r="N1387" s="525"/>
      <c r="O1387" s="525"/>
      <c r="P1387" s="525"/>
      <c r="Q1387" s="58"/>
      <c r="R1387" s="58"/>
      <c r="S1387" s="58"/>
    </row>
    <row r="1388" spans="2:19" x14ac:dyDescent="0.2">
      <c r="B1388" s="213"/>
      <c r="C1388" s="213"/>
      <c r="D1388" s="213"/>
      <c r="E1388" s="213"/>
      <c r="F1388" s="213"/>
      <c r="G1388" s="525"/>
      <c r="H1388" s="213"/>
      <c r="I1388" s="213"/>
      <c r="J1388" s="213"/>
      <c r="K1388" s="213"/>
      <c r="L1388" s="213"/>
      <c r="N1388" s="525"/>
      <c r="O1388" s="525"/>
      <c r="P1388" s="525"/>
      <c r="Q1388" s="58"/>
      <c r="R1388" s="58"/>
      <c r="S1388" s="58"/>
    </row>
    <row r="1389" spans="2:19" x14ac:dyDescent="0.2">
      <c r="B1389" s="213"/>
      <c r="C1389" s="213"/>
      <c r="D1389" s="213"/>
      <c r="E1389" s="213"/>
      <c r="F1389" s="213"/>
      <c r="G1389" s="525"/>
      <c r="H1389" s="213"/>
      <c r="I1389" s="213"/>
      <c r="J1389" s="213"/>
      <c r="K1389" s="213"/>
      <c r="L1389" s="213"/>
      <c r="N1389" s="525"/>
      <c r="O1389" s="525"/>
      <c r="P1389" s="525"/>
      <c r="Q1389" s="58"/>
      <c r="R1389" s="58"/>
      <c r="S1389" s="58"/>
    </row>
    <row r="1390" spans="2:19" x14ac:dyDescent="0.2">
      <c r="B1390" s="213"/>
      <c r="C1390" s="213"/>
      <c r="D1390" s="213"/>
      <c r="E1390" s="213"/>
      <c r="F1390" s="213"/>
      <c r="G1390" s="525"/>
      <c r="H1390" s="213"/>
      <c r="I1390" s="213"/>
      <c r="J1390" s="213"/>
      <c r="K1390" s="213"/>
      <c r="L1390" s="213"/>
      <c r="N1390" s="525"/>
      <c r="O1390" s="525"/>
      <c r="P1390" s="525"/>
      <c r="Q1390" s="58"/>
      <c r="R1390" s="58"/>
      <c r="S1390" s="58"/>
    </row>
    <row r="1391" spans="2:19" x14ac:dyDescent="0.2">
      <c r="B1391" s="213"/>
      <c r="C1391" s="213"/>
      <c r="D1391" s="213"/>
      <c r="E1391" s="213"/>
      <c r="F1391" s="213"/>
      <c r="G1391" s="525"/>
      <c r="H1391" s="213"/>
      <c r="I1391" s="213"/>
      <c r="J1391" s="213"/>
      <c r="K1391" s="213"/>
      <c r="L1391" s="213"/>
      <c r="N1391" s="525"/>
      <c r="O1391" s="525"/>
      <c r="P1391" s="525"/>
      <c r="Q1391" s="58"/>
      <c r="R1391" s="58"/>
      <c r="S1391" s="58"/>
    </row>
    <row r="1392" spans="2:19" x14ac:dyDescent="0.2">
      <c r="B1392" s="213"/>
      <c r="C1392" s="213"/>
      <c r="D1392" s="213"/>
      <c r="E1392" s="213"/>
      <c r="F1392" s="213"/>
      <c r="G1392" s="525"/>
      <c r="H1392" s="213"/>
      <c r="I1392" s="213"/>
      <c r="J1392" s="213"/>
      <c r="K1392" s="213"/>
      <c r="L1392" s="213"/>
      <c r="N1392" s="525"/>
      <c r="O1392" s="525"/>
      <c r="P1392" s="525"/>
      <c r="Q1392" s="58"/>
      <c r="R1392" s="58"/>
      <c r="S1392" s="58"/>
    </row>
    <row r="1393" spans="2:19" x14ac:dyDescent="0.2">
      <c r="B1393" s="213"/>
      <c r="C1393" s="213"/>
      <c r="D1393" s="213"/>
      <c r="E1393" s="213"/>
      <c r="F1393" s="213"/>
      <c r="G1393" s="525"/>
      <c r="H1393" s="213"/>
      <c r="I1393" s="213"/>
      <c r="J1393" s="213"/>
      <c r="K1393" s="213"/>
      <c r="L1393" s="213"/>
      <c r="N1393" s="525"/>
      <c r="O1393" s="525"/>
      <c r="P1393" s="525"/>
      <c r="Q1393" s="58"/>
      <c r="R1393" s="58"/>
      <c r="S1393" s="58"/>
    </row>
    <row r="1394" spans="2:19" x14ac:dyDescent="0.2">
      <c r="B1394" s="213"/>
      <c r="C1394" s="213"/>
      <c r="D1394" s="213"/>
      <c r="E1394" s="213"/>
      <c r="F1394" s="213"/>
      <c r="G1394" s="525"/>
      <c r="H1394" s="213"/>
      <c r="I1394" s="213"/>
      <c r="J1394" s="213"/>
      <c r="K1394" s="213"/>
      <c r="L1394" s="213"/>
      <c r="N1394" s="525"/>
      <c r="O1394" s="525"/>
      <c r="P1394" s="525"/>
      <c r="Q1394" s="58"/>
      <c r="R1394" s="58"/>
      <c r="S1394" s="58"/>
    </row>
    <row r="1395" spans="2:19" x14ac:dyDescent="0.2">
      <c r="B1395" s="213"/>
      <c r="C1395" s="213"/>
      <c r="D1395" s="213"/>
      <c r="E1395" s="213"/>
      <c r="F1395" s="213"/>
      <c r="G1395" s="525"/>
      <c r="H1395" s="213"/>
      <c r="I1395" s="213"/>
      <c r="J1395" s="213"/>
      <c r="K1395" s="213"/>
      <c r="L1395" s="213"/>
      <c r="N1395" s="525"/>
      <c r="O1395" s="525"/>
      <c r="P1395" s="525"/>
      <c r="Q1395" s="58"/>
      <c r="R1395" s="58"/>
      <c r="S1395" s="58"/>
    </row>
    <row r="1396" spans="2:19" x14ac:dyDescent="0.2">
      <c r="B1396" s="213"/>
      <c r="C1396" s="213"/>
      <c r="D1396" s="213"/>
      <c r="E1396" s="213"/>
      <c r="F1396" s="213"/>
      <c r="G1396" s="525"/>
      <c r="H1396" s="213"/>
      <c r="I1396" s="213"/>
      <c r="J1396" s="213"/>
      <c r="K1396" s="213"/>
      <c r="L1396" s="213"/>
      <c r="N1396" s="525"/>
      <c r="O1396" s="525"/>
      <c r="P1396" s="525"/>
      <c r="Q1396" s="58"/>
      <c r="R1396" s="58"/>
      <c r="S1396" s="58"/>
    </row>
    <row r="1397" spans="2:19" x14ac:dyDescent="0.2">
      <c r="B1397" s="213"/>
      <c r="C1397" s="213"/>
      <c r="D1397" s="213"/>
      <c r="E1397" s="213"/>
      <c r="F1397" s="213"/>
      <c r="G1397" s="525"/>
      <c r="H1397" s="213"/>
      <c r="I1397" s="213"/>
      <c r="J1397" s="213"/>
      <c r="K1397" s="213"/>
      <c r="L1397" s="213"/>
      <c r="N1397" s="525"/>
      <c r="O1397" s="525"/>
      <c r="P1397" s="525"/>
      <c r="Q1397" s="58"/>
      <c r="R1397" s="58"/>
      <c r="S1397" s="58"/>
    </row>
    <row r="1398" spans="2:19" x14ac:dyDescent="0.2">
      <c r="B1398" s="213"/>
      <c r="C1398" s="213"/>
      <c r="D1398" s="213"/>
      <c r="E1398" s="213"/>
      <c r="F1398" s="213"/>
      <c r="G1398" s="525"/>
      <c r="H1398" s="213"/>
      <c r="I1398" s="213"/>
      <c r="J1398" s="213"/>
      <c r="K1398" s="213"/>
      <c r="L1398" s="213"/>
      <c r="N1398" s="525"/>
      <c r="O1398" s="525"/>
      <c r="P1398" s="525"/>
      <c r="Q1398" s="58"/>
      <c r="R1398" s="58"/>
      <c r="S1398" s="58"/>
    </row>
    <row r="1399" spans="2:19" x14ac:dyDescent="0.2">
      <c r="B1399" s="213"/>
      <c r="C1399" s="213"/>
      <c r="D1399" s="213"/>
      <c r="E1399" s="213"/>
      <c r="F1399" s="213"/>
      <c r="G1399" s="525"/>
      <c r="H1399" s="213"/>
      <c r="I1399" s="213"/>
      <c r="J1399" s="213"/>
      <c r="K1399" s="213"/>
      <c r="L1399" s="213"/>
      <c r="N1399" s="525"/>
      <c r="O1399" s="525"/>
      <c r="P1399" s="525"/>
      <c r="Q1399" s="58"/>
      <c r="R1399" s="58"/>
      <c r="S1399" s="58"/>
    </row>
    <row r="1400" spans="2:19" x14ac:dyDescent="0.2">
      <c r="B1400" s="213"/>
      <c r="C1400" s="213"/>
      <c r="D1400" s="213"/>
      <c r="E1400" s="213"/>
      <c r="F1400" s="213"/>
      <c r="G1400" s="525"/>
      <c r="H1400" s="213"/>
      <c r="I1400" s="213"/>
      <c r="J1400" s="213"/>
      <c r="K1400" s="213"/>
      <c r="L1400" s="213"/>
      <c r="N1400" s="525"/>
      <c r="O1400" s="525"/>
      <c r="P1400" s="525"/>
      <c r="Q1400" s="58"/>
      <c r="R1400" s="58"/>
      <c r="S1400" s="58"/>
    </row>
    <row r="1401" spans="2:19" x14ac:dyDescent="0.2">
      <c r="B1401" s="213"/>
      <c r="C1401" s="213"/>
      <c r="D1401" s="213"/>
      <c r="E1401" s="213"/>
      <c r="F1401" s="213"/>
      <c r="G1401" s="525"/>
      <c r="H1401" s="213"/>
      <c r="I1401" s="213"/>
      <c r="J1401" s="213"/>
      <c r="K1401" s="213"/>
      <c r="L1401" s="213"/>
      <c r="N1401" s="525"/>
      <c r="O1401" s="525"/>
      <c r="P1401" s="525"/>
      <c r="Q1401" s="58"/>
      <c r="R1401" s="58"/>
      <c r="S1401" s="58"/>
    </row>
    <row r="1402" spans="2:19" x14ac:dyDescent="0.2">
      <c r="B1402" s="213"/>
      <c r="C1402" s="213"/>
      <c r="D1402" s="213"/>
      <c r="E1402" s="213"/>
      <c r="F1402" s="213"/>
      <c r="G1402" s="525"/>
      <c r="H1402" s="213"/>
      <c r="I1402" s="213"/>
      <c r="J1402" s="213"/>
      <c r="K1402" s="213"/>
      <c r="L1402" s="213"/>
      <c r="N1402" s="525"/>
      <c r="O1402" s="525"/>
      <c r="P1402" s="525"/>
      <c r="Q1402" s="58"/>
      <c r="R1402" s="58"/>
      <c r="S1402" s="58"/>
    </row>
    <row r="1403" spans="2:19" x14ac:dyDescent="0.2">
      <c r="B1403" s="213"/>
      <c r="C1403" s="213"/>
      <c r="D1403" s="213"/>
      <c r="E1403" s="213"/>
      <c r="F1403" s="213"/>
      <c r="G1403" s="525"/>
      <c r="H1403" s="213"/>
      <c r="I1403" s="213"/>
      <c r="J1403" s="213"/>
      <c r="K1403" s="213"/>
      <c r="L1403" s="213"/>
      <c r="N1403" s="525"/>
      <c r="O1403" s="525"/>
      <c r="P1403" s="525"/>
      <c r="Q1403" s="58"/>
      <c r="R1403" s="58"/>
      <c r="S1403" s="58"/>
    </row>
    <row r="1404" spans="2:19" x14ac:dyDescent="0.2">
      <c r="B1404" s="213"/>
      <c r="C1404" s="213"/>
      <c r="D1404" s="213"/>
      <c r="E1404" s="213"/>
      <c r="F1404" s="213"/>
      <c r="G1404" s="525"/>
      <c r="H1404" s="213"/>
      <c r="I1404" s="213"/>
      <c r="J1404" s="213"/>
      <c r="K1404" s="213"/>
      <c r="L1404" s="213"/>
      <c r="N1404" s="525"/>
      <c r="O1404" s="525"/>
      <c r="P1404" s="525"/>
      <c r="Q1404" s="58"/>
      <c r="R1404" s="58"/>
      <c r="S1404" s="58"/>
    </row>
    <row r="1405" spans="2:19" x14ac:dyDescent="0.2">
      <c r="B1405" s="213"/>
      <c r="C1405" s="213"/>
      <c r="D1405" s="213"/>
      <c r="E1405" s="213"/>
      <c r="F1405" s="213"/>
      <c r="G1405" s="525"/>
      <c r="H1405" s="213"/>
      <c r="I1405" s="213"/>
      <c r="J1405" s="213"/>
      <c r="K1405" s="213"/>
      <c r="L1405" s="213"/>
      <c r="N1405" s="525"/>
      <c r="O1405" s="525"/>
      <c r="P1405" s="525"/>
      <c r="Q1405" s="58"/>
      <c r="R1405" s="58"/>
      <c r="S1405" s="58"/>
    </row>
    <row r="1406" spans="2:19" x14ac:dyDescent="0.2">
      <c r="B1406" s="213"/>
      <c r="C1406" s="213"/>
      <c r="D1406" s="213"/>
      <c r="E1406" s="213"/>
      <c r="F1406" s="213"/>
      <c r="G1406" s="525"/>
      <c r="H1406" s="213"/>
      <c r="I1406" s="213"/>
      <c r="J1406" s="213"/>
      <c r="K1406" s="213"/>
      <c r="L1406" s="213"/>
      <c r="N1406" s="525"/>
      <c r="O1406" s="525"/>
      <c r="P1406" s="525"/>
      <c r="Q1406" s="58"/>
      <c r="R1406" s="58"/>
      <c r="S1406" s="58"/>
    </row>
    <row r="1407" spans="2:19" x14ac:dyDescent="0.2">
      <c r="B1407" s="213"/>
      <c r="C1407" s="213"/>
      <c r="D1407" s="213"/>
      <c r="E1407" s="213"/>
      <c r="F1407" s="213"/>
      <c r="G1407" s="525"/>
      <c r="H1407" s="213"/>
      <c r="I1407" s="213"/>
      <c r="J1407" s="213"/>
      <c r="K1407" s="213"/>
      <c r="L1407" s="213"/>
      <c r="N1407" s="525"/>
      <c r="O1407" s="525"/>
      <c r="P1407" s="525"/>
      <c r="Q1407" s="58"/>
      <c r="R1407" s="58"/>
      <c r="S1407" s="58"/>
    </row>
    <row r="1408" spans="2:19" x14ac:dyDescent="0.2">
      <c r="B1408" s="213"/>
      <c r="C1408" s="213"/>
      <c r="D1408" s="213"/>
      <c r="E1408" s="213"/>
      <c r="F1408" s="213"/>
      <c r="G1408" s="525"/>
      <c r="H1408" s="213"/>
      <c r="I1408" s="213"/>
      <c r="J1408" s="213"/>
      <c r="K1408" s="213"/>
      <c r="L1408" s="213"/>
      <c r="N1408" s="525"/>
      <c r="O1408" s="525"/>
      <c r="P1408" s="525"/>
      <c r="Q1408" s="58"/>
      <c r="R1408" s="58"/>
      <c r="S1408" s="58"/>
    </row>
    <row r="1409" spans="2:19" x14ac:dyDescent="0.2">
      <c r="B1409" s="213"/>
      <c r="C1409" s="213"/>
      <c r="D1409" s="213"/>
      <c r="E1409" s="213"/>
      <c r="F1409" s="213"/>
      <c r="G1409" s="525"/>
      <c r="H1409" s="213"/>
      <c r="I1409" s="213"/>
      <c r="J1409" s="213"/>
      <c r="K1409" s="213"/>
      <c r="L1409" s="213"/>
      <c r="N1409" s="525"/>
      <c r="O1409" s="525"/>
      <c r="P1409" s="525"/>
      <c r="Q1409" s="58"/>
      <c r="R1409" s="58"/>
      <c r="S1409" s="58"/>
    </row>
    <row r="1410" spans="2:19" x14ac:dyDescent="0.2">
      <c r="B1410" s="213"/>
      <c r="C1410" s="213"/>
      <c r="D1410" s="213"/>
      <c r="E1410" s="213"/>
      <c r="F1410" s="213"/>
      <c r="G1410" s="525"/>
      <c r="H1410" s="213"/>
      <c r="I1410" s="213"/>
      <c r="J1410" s="213"/>
      <c r="K1410" s="213"/>
      <c r="L1410" s="213"/>
      <c r="N1410" s="525"/>
      <c r="O1410" s="525"/>
      <c r="P1410" s="525"/>
      <c r="Q1410" s="58"/>
      <c r="R1410" s="58"/>
      <c r="S1410" s="58"/>
    </row>
    <row r="1411" spans="2:19" x14ac:dyDescent="0.2">
      <c r="B1411" s="213"/>
      <c r="C1411" s="213"/>
      <c r="D1411" s="213"/>
      <c r="E1411" s="213"/>
      <c r="F1411" s="213"/>
      <c r="G1411" s="525"/>
      <c r="H1411" s="213"/>
      <c r="I1411" s="213"/>
      <c r="J1411" s="213"/>
      <c r="K1411" s="213"/>
      <c r="L1411" s="213"/>
      <c r="N1411" s="525"/>
      <c r="O1411" s="525"/>
      <c r="P1411" s="525"/>
      <c r="Q1411" s="58"/>
      <c r="R1411" s="58"/>
      <c r="S1411" s="58"/>
    </row>
    <row r="1412" spans="2:19" x14ac:dyDescent="0.2">
      <c r="B1412" s="213"/>
      <c r="C1412" s="213"/>
      <c r="D1412" s="213"/>
      <c r="E1412" s="213"/>
      <c r="F1412" s="213"/>
      <c r="G1412" s="525"/>
      <c r="H1412" s="213"/>
      <c r="I1412" s="213"/>
      <c r="J1412" s="213"/>
      <c r="K1412" s="213"/>
      <c r="L1412" s="213"/>
      <c r="N1412" s="525"/>
      <c r="O1412" s="525"/>
      <c r="P1412" s="525"/>
      <c r="Q1412" s="58"/>
      <c r="R1412" s="58"/>
      <c r="S1412" s="58"/>
    </row>
    <row r="1413" spans="2:19" x14ac:dyDescent="0.2">
      <c r="B1413" s="213"/>
      <c r="C1413" s="213"/>
      <c r="D1413" s="213"/>
      <c r="E1413" s="213"/>
      <c r="F1413" s="213"/>
      <c r="G1413" s="525"/>
      <c r="H1413" s="213"/>
      <c r="I1413" s="213"/>
      <c r="J1413" s="213"/>
      <c r="K1413" s="213"/>
      <c r="L1413" s="213"/>
      <c r="N1413" s="525"/>
      <c r="O1413" s="525"/>
      <c r="P1413" s="525"/>
      <c r="Q1413" s="58"/>
      <c r="R1413" s="58"/>
      <c r="S1413" s="58"/>
    </row>
    <row r="1414" spans="2:19" x14ac:dyDescent="0.2">
      <c r="B1414" s="213"/>
      <c r="C1414" s="213"/>
      <c r="D1414" s="213"/>
      <c r="E1414" s="213"/>
      <c r="F1414" s="213"/>
      <c r="G1414" s="525"/>
      <c r="H1414" s="213"/>
      <c r="I1414" s="213"/>
      <c r="J1414" s="213"/>
      <c r="K1414" s="213"/>
      <c r="L1414" s="213"/>
      <c r="N1414" s="525"/>
      <c r="O1414" s="525"/>
      <c r="P1414" s="525"/>
      <c r="Q1414" s="58"/>
      <c r="R1414" s="58"/>
      <c r="S1414" s="58"/>
    </row>
    <row r="1415" spans="2:19" x14ac:dyDescent="0.2">
      <c r="B1415" s="213"/>
      <c r="C1415" s="213"/>
      <c r="D1415" s="213"/>
      <c r="E1415" s="213"/>
      <c r="F1415" s="213"/>
      <c r="G1415" s="525"/>
      <c r="H1415" s="213"/>
      <c r="I1415" s="213"/>
      <c r="J1415" s="213"/>
      <c r="K1415" s="213"/>
      <c r="L1415" s="213"/>
      <c r="N1415" s="525"/>
      <c r="O1415" s="525"/>
      <c r="P1415" s="525"/>
      <c r="Q1415" s="58"/>
      <c r="R1415" s="58"/>
      <c r="S1415" s="58"/>
    </row>
    <row r="1416" spans="2:19" x14ac:dyDescent="0.2">
      <c r="B1416" s="213"/>
      <c r="C1416" s="213"/>
      <c r="D1416" s="213"/>
      <c r="E1416" s="213"/>
      <c r="F1416" s="213"/>
      <c r="G1416" s="525"/>
      <c r="H1416" s="213"/>
      <c r="I1416" s="213"/>
      <c r="J1416" s="213"/>
      <c r="K1416" s="213"/>
      <c r="L1416" s="213"/>
      <c r="N1416" s="525"/>
      <c r="O1416" s="525"/>
      <c r="P1416" s="525"/>
      <c r="Q1416" s="58"/>
      <c r="R1416" s="58"/>
      <c r="S1416" s="58"/>
    </row>
    <row r="1417" spans="2:19" x14ac:dyDescent="0.2">
      <c r="B1417" s="213"/>
      <c r="C1417" s="213"/>
      <c r="D1417" s="213"/>
      <c r="E1417" s="213"/>
      <c r="F1417" s="213"/>
      <c r="G1417" s="525"/>
      <c r="H1417" s="213"/>
      <c r="I1417" s="213"/>
      <c r="J1417" s="213"/>
      <c r="K1417" s="213"/>
      <c r="L1417" s="213"/>
      <c r="N1417" s="525"/>
      <c r="O1417" s="525"/>
      <c r="P1417" s="525"/>
      <c r="Q1417" s="58"/>
      <c r="R1417" s="58"/>
      <c r="S1417" s="58"/>
    </row>
    <row r="1418" spans="2:19" x14ac:dyDescent="0.2">
      <c r="B1418" s="213"/>
      <c r="C1418" s="213"/>
      <c r="D1418" s="213"/>
      <c r="E1418" s="213"/>
      <c r="F1418" s="213"/>
      <c r="G1418" s="525"/>
      <c r="H1418" s="213"/>
      <c r="I1418" s="213"/>
      <c r="J1418" s="213"/>
      <c r="K1418" s="213"/>
      <c r="L1418" s="213"/>
      <c r="N1418" s="525"/>
      <c r="O1418" s="525"/>
      <c r="P1418" s="525"/>
      <c r="Q1418" s="58"/>
      <c r="R1418" s="58"/>
      <c r="S1418" s="58"/>
    </row>
    <row r="1419" spans="2:19" x14ac:dyDescent="0.2">
      <c r="B1419" s="213"/>
      <c r="C1419" s="213"/>
      <c r="D1419" s="213"/>
      <c r="E1419" s="213"/>
      <c r="F1419" s="213"/>
      <c r="G1419" s="525"/>
      <c r="H1419" s="213"/>
      <c r="I1419" s="213"/>
      <c r="J1419" s="213"/>
      <c r="K1419" s="213"/>
      <c r="L1419" s="213"/>
      <c r="N1419" s="525"/>
      <c r="O1419" s="525"/>
      <c r="P1419" s="525"/>
      <c r="Q1419" s="58"/>
      <c r="R1419" s="58"/>
      <c r="S1419" s="58"/>
    </row>
    <row r="1420" spans="2:19" x14ac:dyDescent="0.2">
      <c r="B1420" s="213"/>
      <c r="C1420" s="213"/>
      <c r="D1420" s="213"/>
      <c r="E1420" s="213"/>
      <c r="F1420" s="213"/>
      <c r="G1420" s="525"/>
      <c r="H1420" s="213"/>
      <c r="I1420" s="213"/>
      <c r="J1420" s="213"/>
      <c r="K1420" s="213"/>
      <c r="L1420" s="213"/>
      <c r="N1420" s="525"/>
      <c r="O1420" s="525"/>
      <c r="P1420" s="525"/>
      <c r="Q1420" s="58"/>
      <c r="R1420" s="58"/>
      <c r="S1420" s="58"/>
    </row>
    <row r="1421" spans="2:19" x14ac:dyDescent="0.2">
      <c r="B1421" s="213"/>
      <c r="C1421" s="213"/>
      <c r="D1421" s="213"/>
      <c r="E1421" s="213"/>
      <c r="F1421" s="213"/>
      <c r="G1421" s="525"/>
      <c r="H1421" s="213"/>
      <c r="I1421" s="213"/>
      <c r="J1421" s="213"/>
      <c r="K1421" s="213"/>
      <c r="L1421" s="213"/>
      <c r="N1421" s="525"/>
      <c r="O1421" s="525"/>
      <c r="P1421" s="525"/>
      <c r="Q1421" s="58"/>
      <c r="R1421" s="58"/>
      <c r="S1421" s="58"/>
    </row>
    <row r="1422" spans="2:19" x14ac:dyDescent="0.2">
      <c r="B1422" s="213"/>
      <c r="C1422" s="213"/>
      <c r="D1422" s="213"/>
      <c r="E1422" s="213"/>
      <c r="F1422" s="213"/>
      <c r="G1422" s="525"/>
      <c r="H1422" s="213"/>
      <c r="I1422" s="213"/>
      <c r="J1422" s="213"/>
      <c r="K1422" s="213"/>
      <c r="L1422" s="213"/>
      <c r="N1422" s="525"/>
      <c r="O1422" s="525"/>
      <c r="P1422" s="525"/>
      <c r="Q1422" s="58"/>
      <c r="R1422" s="58"/>
      <c r="S1422" s="58"/>
    </row>
    <row r="1423" spans="2:19" x14ac:dyDescent="0.2">
      <c r="B1423" s="213"/>
      <c r="C1423" s="213"/>
      <c r="D1423" s="213"/>
      <c r="E1423" s="213"/>
      <c r="F1423" s="213"/>
      <c r="G1423" s="525"/>
      <c r="H1423" s="213"/>
      <c r="I1423" s="213"/>
      <c r="J1423" s="213"/>
      <c r="K1423" s="213"/>
      <c r="L1423" s="213"/>
      <c r="N1423" s="525"/>
      <c r="O1423" s="525"/>
      <c r="P1423" s="525"/>
      <c r="Q1423" s="58"/>
      <c r="R1423" s="58"/>
      <c r="S1423" s="58"/>
    </row>
    <row r="1424" spans="2:19" x14ac:dyDescent="0.2">
      <c r="B1424" s="213"/>
      <c r="C1424" s="213"/>
      <c r="D1424" s="213"/>
      <c r="E1424" s="213"/>
      <c r="F1424" s="213"/>
      <c r="G1424" s="525"/>
      <c r="H1424" s="213"/>
      <c r="I1424" s="213"/>
      <c r="J1424" s="213"/>
      <c r="K1424" s="213"/>
      <c r="L1424" s="213"/>
      <c r="N1424" s="525"/>
      <c r="O1424" s="525"/>
      <c r="P1424" s="525"/>
      <c r="Q1424" s="58"/>
      <c r="R1424" s="58"/>
      <c r="S1424" s="58"/>
    </row>
    <row r="1425" spans="2:19" x14ac:dyDescent="0.2">
      <c r="B1425" s="213"/>
      <c r="C1425" s="213"/>
      <c r="D1425" s="213"/>
      <c r="E1425" s="213"/>
      <c r="F1425" s="213"/>
      <c r="G1425" s="525"/>
      <c r="H1425" s="213"/>
      <c r="I1425" s="213"/>
      <c r="J1425" s="213"/>
      <c r="K1425" s="213"/>
      <c r="L1425" s="213"/>
      <c r="N1425" s="525"/>
      <c r="O1425" s="525"/>
      <c r="P1425" s="525"/>
      <c r="Q1425" s="58"/>
      <c r="R1425" s="58"/>
      <c r="S1425" s="58"/>
    </row>
    <row r="1426" spans="2:19" x14ac:dyDescent="0.2">
      <c r="B1426" s="213"/>
      <c r="C1426" s="213"/>
      <c r="D1426" s="213"/>
      <c r="E1426" s="213"/>
      <c r="F1426" s="213"/>
      <c r="G1426" s="525"/>
      <c r="H1426" s="213"/>
      <c r="I1426" s="213"/>
      <c r="J1426" s="213"/>
      <c r="K1426" s="213"/>
      <c r="L1426" s="213"/>
      <c r="N1426" s="525"/>
      <c r="O1426" s="525"/>
      <c r="P1426" s="525"/>
      <c r="Q1426" s="58"/>
      <c r="R1426" s="58"/>
      <c r="S1426" s="58"/>
    </row>
    <row r="1427" spans="2:19" x14ac:dyDescent="0.2">
      <c r="B1427" s="213"/>
      <c r="C1427" s="213"/>
      <c r="D1427" s="213"/>
      <c r="E1427" s="213"/>
      <c r="F1427" s="213"/>
      <c r="G1427" s="525"/>
      <c r="H1427" s="213"/>
      <c r="I1427" s="213"/>
      <c r="J1427" s="213"/>
      <c r="K1427" s="213"/>
      <c r="L1427" s="213"/>
      <c r="N1427" s="525"/>
      <c r="O1427" s="525"/>
      <c r="P1427" s="525"/>
      <c r="Q1427" s="58"/>
      <c r="R1427" s="58"/>
      <c r="S1427" s="58"/>
    </row>
    <row r="1428" spans="2:19" x14ac:dyDescent="0.2">
      <c r="B1428" s="213"/>
      <c r="C1428" s="213"/>
      <c r="D1428" s="213"/>
      <c r="E1428" s="213"/>
      <c r="F1428" s="213"/>
      <c r="G1428" s="525"/>
      <c r="H1428" s="213"/>
      <c r="I1428" s="213"/>
      <c r="J1428" s="213"/>
      <c r="K1428" s="213"/>
      <c r="L1428" s="213"/>
      <c r="N1428" s="525"/>
      <c r="O1428" s="525"/>
      <c r="P1428" s="525"/>
      <c r="Q1428" s="58"/>
      <c r="R1428" s="58"/>
      <c r="S1428" s="58"/>
    </row>
    <row r="1429" spans="2:19" x14ac:dyDescent="0.2">
      <c r="B1429" s="213"/>
      <c r="C1429" s="213"/>
      <c r="D1429" s="213"/>
      <c r="E1429" s="213"/>
      <c r="F1429" s="213"/>
      <c r="G1429" s="525"/>
      <c r="H1429" s="213"/>
      <c r="I1429" s="213"/>
      <c r="J1429" s="213"/>
      <c r="K1429" s="213"/>
      <c r="L1429" s="213"/>
      <c r="N1429" s="525"/>
      <c r="O1429" s="525"/>
      <c r="P1429" s="525"/>
      <c r="Q1429" s="58"/>
      <c r="R1429" s="58"/>
      <c r="S1429" s="58"/>
    </row>
    <row r="1430" spans="2:19" x14ac:dyDescent="0.2">
      <c r="B1430" s="213"/>
      <c r="C1430" s="213"/>
      <c r="D1430" s="213"/>
      <c r="E1430" s="213"/>
      <c r="F1430" s="213"/>
      <c r="G1430" s="525"/>
      <c r="H1430" s="213"/>
      <c r="I1430" s="213"/>
      <c r="J1430" s="213"/>
      <c r="K1430" s="213"/>
      <c r="L1430" s="213"/>
      <c r="N1430" s="525"/>
      <c r="O1430" s="525"/>
      <c r="P1430" s="525"/>
      <c r="Q1430" s="58"/>
      <c r="R1430" s="58"/>
      <c r="S1430" s="58"/>
    </row>
    <row r="1431" spans="2:19" x14ac:dyDescent="0.2">
      <c r="B1431" s="213"/>
      <c r="C1431" s="213"/>
      <c r="D1431" s="213"/>
      <c r="E1431" s="213"/>
      <c r="F1431" s="213"/>
      <c r="G1431" s="525"/>
      <c r="H1431" s="213"/>
      <c r="I1431" s="213"/>
      <c r="J1431" s="213"/>
      <c r="K1431" s="213"/>
      <c r="L1431" s="213"/>
      <c r="N1431" s="525"/>
      <c r="O1431" s="525"/>
      <c r="P1431" s="525"/>
      <c r="Q1431" s="58"/>
      <c r="R1431" s="58"/>
      <c r="S1431" s="58"/>
    </row>
    <row r="1432" spans="2:19" x14ac:dyDescent="0.2">
      <c r="B1432" s="213"/>
      <c r="C1432" s="213"/>
      <c r="D1432" s="213"/>
      <c r="E1432" s="213"/>
      <c r="F1432" s="213"/>
      <c r="G1432" s="525"/>
      <c r="H1432" s="213"/>
      <c r="I1432" s="213"/>
      <c r="J1432" s="213"/>
      <c r="K1432" s="213"/>
      <c r="L1432" s="213"/>
      <c r="N1432" s="525"/>
      <c r="O1432" s="525"/>
      <c r="P1432" s="525"/>
      <c r="Q1432" s="58"/>
      <c r="R1432" s="58"/>
      <c r="S1432" s="58"/>
    </row>
    <row r="1433" spans="2:19" x14ac:dyDescent="0.2">
      <c r="B1433" s="213"/>
      <c r="C1433" s="213"/>
      <c r="D1433" s="213"/>
      <c r="E1433" s="213"/>
      <c r="F1433" s="213"/>
      <c r="G1433" s="525"/>
      <c r="H1433" s="213"/>
      <c r="I1433" s="213"/>
      <c r="J1433" s="213"/>
      <c r="K1433" s="213"/>
      <c r="L1433" s="213"/>
      <c r="N1433" s="525"/>
      <c r="O1433" s="525"/>
      <c r="P1433" s="525"/>
      <c r="Q1433" s="58"/>
      <c r="R1433" s="58"/>
      <c r="S1433" s="58"/>
    </row>
    <row r="1434" spans="2:19" x14ac:dyDescent="0.2">
      <c r="B1434" s="213"/>
      <c r="C1434" s="213"/>
      <c r="D1434" s="213"/>
      <c r="E1434" s="213"/>
      <c r="F1434" s="213"/>
      <c r="G1434" s="525"/>
      <c r="H1434" s="213"/>
      <c r="I1434" s="213"/>
      <c r="J1434" s="213"/>
      <c r="K1434" s="213"/>
      <c r="L1434" s="213"/>
      <c r="N1434" s="525"/>
      <c r="O1434" s="525"/>
      <c r="P1434" s="525"/>
      <c r="Q1434" s="58"/>
      <c r="R1434" s="58"/>
      <c r="S1434" s="58"/>
    </row>
    <row r="1435" spans="2:19" x14ac:dyDescent="0.2">
      <c r="B1435" s="213"/>
      <c r="C1435" s="213"/>
      <c r="D1435" s="213"/>
      <c r="E1435" s="213"/>
      <c r="F1435" s="213"/>
      <c r="G1435" s="525"/>
      <c r="H1435" s="213"/>
      <c r="I1435" s="213"/>
      <c r="J1435" s="213"/>
      <c r="K1435" s="213"/>
      <c r="L1435" s="213"/>
      <c r="N1435" s="525"/>
      <c r="O1435" s="525"/>
      <c r="P1435" s="525"/>
      <c r="Q1435" s="58"/>
      <c r="R1435" s="58"/>
      <c r="S1435" s="58"/>
    </row>
    <row r="1436" spans="2:19" x14ac:dyDescent="0.2">
      <c r="B1436" s="213"/>
      <c r="C1436" s="213"/>
      <c r="D1436" s="213"/>
      <c r="E1436" s="213"/>
      <c r="F1436" s="213"/>
      <c r="G1436" s="525"/>
      <c r="H1436" s="213"/>
      <c r="I1436" s="213"/>
      <c r="J1436" s="213"/>
      <c r="K1436" s="213"/>
      <c r="L1436" s="213"/>
      <c r="N1436" s="525"/>
      <c r="O1436" s="525"/>
      <c r="P1436" s="525"/>
      <c r="Q1436" s="58"/>
      <c r="R1436" s="58"/>
      <c r="S1436" s="58"/>
    </row>
    <row r="1437" spans="2:19" x14ac:dyDescent="0.2">
      <c r="B1437" s="213"/>
      <c r="C1437" s="213"/>
      <c r="D1437" s="213"/>
      <c r="E1437" s="213"/>
      <c r="F1437" s="213"/>
      <c r="G1437" s="525"/>
      <c r="H1437" s="213"/>
      <c r="I1437" s="213"/>
      <c r="J1437" s="213"/>
      <c r="K1437" s="213"/>
      <c r="L1437" s="213"/>
      <c r="N1437" s="525"/>
      <c r="O1437" s="525"/>
      <c r="P1437" s="525"/>
      <c r="Q1437" s="58"/>
      <c r="R1437" s="58"/>
      <c r="S1437" s="58"/>
    </row>
    <row r="1438" spans="2:19" x14ac:dyDescent="0.2">
      <c r="B1438" s="213"/>
      <c r="C1438" s="213"/>
      <c r="D1438" s="213"/>
      <c r="E1438" s="213"/>
      <c r="F1438" s="213"/>
      <c r="G1438" s="525"/>
      <c r="H1438" s="213"/>
      <c r="I1438" s="213"/>
      <c r="J1438" s="213"/>
      <c r="K1438" s="213"/>
      <c r="L1438" s="213"/>
      <c r="N1438" s="525"/>
      <c r="O1438" s="525"/>
      <c r="P1438" s="525"/>
      <c r="Q1438" s="58"/>
      <c r="R1438" s="58"/>
      <c r="S1438" s="58"/>
    </row>
    <row r="1439" spans="2:19" x14ac:dyDescent="0.2">
      <c r="B1439" s="213"/>
      <c r="C1439" s="213"/>
      <c r="D1439" s="213"/>
      <c r="E1439" s="213"/>
      <c r="F1439" s="213"/>
      <c r="G1439" s="525"/>
      <c r="H1439" s="213"/>
      <c r="I1439" s="213"/>
      <c r="J1439" s="213"/>
      <c r="K1439" s="213"/>
      <c r="L1439" s="213"/>
      <c r="N1439" s="525"/>
      <c r="O1439" s="525"/>
      <c r="P1439" s="525"/>
      <c r="Q1439" s="58"/>
      <c r="R1439" s="58"/>
      <c r="S1439" s="58"/>
    </row>
    <row r="1440" spans="2:19" x14ac:dyDescent="0.2">
      <c r="B1440" s="213"/>
      <c r="C1440" s="213"/>
      <c r="D1440" s="213"/>
      <c r="E1440" s="213"/>
      <c r="F1440" s="213"/>
      <c r="G1440" s="525"/>
      <c r="H1440" s="213"/>
      <c r="I1440" s="213"/>
      <c r="J1440" s="213"/>
      <c r="K1440" s="213"/>
      <c r="L1440" s="213"/>
      <c r="N1440" s="525"/>
      <c r="O1440" s="525"/>
      <c r="P1440" s="525"/>
      <c r="Q1440" s="58"/>
      <c r="R1440" s="58"/>
      <c r="S1440" s="58"/>
    </row>
    <row r="1441" spans="2:19" x14ac:dyDescent="0.2">
      <c r="B1441" s="213"/>
      <c r="C1441" s="213"/>
      <c r="D1441" s="213"/>
      <c r="E1441" s="213"/>
      <c r="F1441" s="213"/>
      <c r="G1441" s="525"/>
      <c r="H1441" s="213"/>
      <c r="I1441" s="213"/>
      <c r="J1441" s="213"/>
      <c r="K1441" s="213"/>
      <c r="L1441" s="213"/>
      <c r="N1441" s="525"/>
      <c r="O1441" s="525"/>
      <c r="P1441" s="525"/>
      <c r="Q1441" s="58"/>
      <c r="R1441" s="58"/>
      <c r="S1441" s="58"/>
    </row>
    <row r="1442" spans="2:19" x14ac:dyDescent="0.2">
      <c r="B1442" s="213"/>
      <c r="C1442" s="213"/>
      <c r="D1442" s="213"/>
      <c r="E1442" s="213"/>
      <c r="F1442" s="213"/>
      <c r="G1442" s="525"/>
      <c r="H1442" s="213"/>
      <c r="I1442" s="213"/>
      <c r="J1442" s="213"/>
      <c r="K1442" s="213"/>
      <c r="L1442" s="213"/>
      <c r="N1442" s="525"/>
      <c r="O1442" s="525"/>
      <c r="P1442" s="525"/>
      <c r="Q1442" s="58"/>
      <c r="R1442" s="58"/>
      <c r="S1442" s="58"/>
    </row>
    <row r="1443" spans="2:19" x14ac:dyDescent="0.2">
      <c r="B1443" s="213"/>
      <c r="C1443" s="213"/>
      <c r="D1443" s="213"/>
      <c r="E1443" s="213"/>
      <c r="F1443" s="213"/>
      <c r="G1443" s="525"/>
      <c r="H1443" s="213"/>
      <c r="I1443" s="213"/>
      <c r="J1443" s="213"/>
      <c r="K1443" s="213"/>
      <c r="L1443" s="213"/>
      <c r="N1443" s="525"/>
      <c r="O1443" s="525"/>
      <c r="P1443" s="525"/>
      <c r="Q1443" s="58"/>
      <c r="R1443" s="58"/>
      <c r="S1443" s="58"/>
    </row>
    <row r="1444" spans="2:19" x14ac:dyDescent="0.2">
      <c r="B1444" s="213"/>
      <c r="C1444" s="213"/>
      <c r="D1444" s="213"/>
      <c r="E1444" s="213"/>
      <c r="F1444" s="213"/>
      <c r="G1444" s="525"/>
      <c r="H1444" s="213"/>
      <c r="I1444" s="213"/>
      <c r="J1444" s="213"/>
      <c r="K1444" s="213"/>
      <c r="L1444" s="213"/>
      <c r="N1444" s="525"/>
      <c r="O1444" s="525"/>
      <c r="P1444" s="525"/>
      <c r="Q1444" s="58"/>
      <c r="R1444" s="58"/>
      <c r="S1444" s="58"/>
    </row>
    <row r="1445" spans="2:19" x14ac:dyDescent="0.2">
      <c r="B1445" s="213"/>
      <c r="C1445" s="213"/>
      <c r="D1445" s="213"/>
      <c r="E1445" s="213"/>
      <c r="F1445" s="213"/>
      <c r="G1445" s="525"/>
      <c r="H1445" s="213"/>
      <c r="I1445" s="213"/>
      <c r="J1445" s="213"/>
      <c r="K1445" s="213"/>
      <c r="L1445" s="213"/>
      <c r="N1445" s="525"/>
      <c r="O1445" s="525"/>
      <c r="P1445" s="525"/>
      <c r="Q1445" s="58"/>
      <c r="R1445" s="58"/>
      <c r="S1445" s="58"/>
    </row>
    <row r="1446" spans="2:19" x14ac:dyDescent="0.2">
      <c r="B1446" s="213"/>
      <c r="C1446" s="213"/>
      <c r="D1446" s="213"/>
      <c r="E1446" s="213"/>
      <c r="F1446" s="213"/>
      <c r="G1446" s="525"/>
      <c r="H1446" s="213"/>
      <c r="I1446" s="213"/>
      <c r="J1446" s="213"/>
      <c r="K1446" s="213"/>
      <c r="L1446" s="213"/>
      <c r="N1446" s="525"/>
      <c r="O1446" s="525"/>
      <c r="P1446" s="525"/>
      <c r="Q1446" s="58"/>
      <c r="R1446" s="58"/>
      <c r="S1446" s="58"/>
    </row>
    <row r="1447" spans="2:19" x14ac:dyDescent="0.2">
      <c r="B1447" s="213"/>
      <c r="C1447" s="213"/>
      <c r="D1447" s="213"/>
      <c r="E1447" s="213"/>
      <c r="F1447" s="213"/>
      <c r="G1447" s="525"/>
      <c r="H1447" s="213"/>
      <c r="I1447" s="213"/>
      <c r="J1447" s="213"/>
      <c r="K1447" s="213"/>
      <c r="L1447" s="213"/>
      <c r="N1447" s="525"/>
      <c r="O1447" s="525"/>
      <c r="P1447" s="525"/>
      <c r="Q1447" s="58"/>
      <c r="R1447" s="58"/>
      <c r="S1447" s="58"/>
    </row>
    <row r="1448" spans="2:19" x14ac:dyDescent="0.2">
      <c r="B1448" s="213"/>
      <c r="C1448" s="213"/>
      <c r="D1448" s="213"/>
      <c r="E1448" s="213"/>
      <c r="F1448" s="213"/>
      <c r="G1448" s="525"/>
      <c r="H1448" s="213"/>
      <c r="I1448" s="213"/>
      <c r="J1448" s="213"/>
      <c r="K1448" s="213"/>
      <c r="L1448" s="213"/>
      <c r="N1448" s="525"/>
      <c r="O1448" s="525"/>
      <c r="P1448" s="525"/>
      <c r="Q1448" s="58"/>
      <c r="R1448" s="58"/>
      <c r="S1448" s="58"/>
    </row>
    <row r="1449" spans="2:19" x14ac:dyDescent="0.2">
      <c r="B1449" s="213"/>
      <c r="C1449" s="213"/>
      <c r="D1449" s="213"/>
      <c r="E1449" s="213"/>
      <c r="F1449" s="213"/>
      <c r="G1449" s="525"/>
      <c r="H1449" s="213"/>
      <c r="I1449" s="213"/>
      <c r="J1449" s="213"/>
      <c r="K1449" s="213"/>
      <c r="L1449" s="213"/>
      <c r="N1449" s="525"/>
      <c r="O1449" s="525"/>
      <c r="P1449" s="525"/>
      <c r="Q1449" s="58"/>
      <c r="R1449" s="58"/>
      <c r="S1449" s="58"/>
    </row>
    <row r="1450" spans="2:19" x14ac:dyDescent="0.2">
      <c r="B1450" s="213"/>
      <c r="C1450" s="213"/>
      <c r="D1450" s="213"/>
      <c r="E1450" s="213"/>
      <c r="F1450" s="213"/>
      <c r="G1450" s="525"/>
      <c r="H1450" s="213"/>
      <c r="I1450" s="213"/>
      <c r="J1450" s="213"/>
      <c r="K1450" s="213"/>
      <c r="L1450" s="213"/>
      <c r="N1450" s="525"/>
      <c r="O1450" s="525"/>
      <c r="P1450" s="525"/>
      <c r="Q1450" s="58"/>
      <c r="R1450" s="58"/>
      <c r="S1450" s="58"/>
    </row>
    <row r="1451" spans="2:19" x14ac:dyDescent="0.2">
      <c r="B1451" s="213"/>
      <c r="C1451" s="213"/>
      <c r="D1451" s="213"/>
      <c r="E1451" s="213"/>
      <c r="F1451" s="213"/>
      <c r="G1451" s="525"/>
      <c r="H1451" s="213"/>
      <c r="I1451" s="213"/>
      <c r="J1451" s="213"/>
      <c r="K1451" s="213"/>
      <c r="L1451" s="213"/>
      <c r="N1451" s="525"/>
      <c r="O1451" s="525"/>
      <c r="P1451" s="525"/>
      <c r="Q1451" s="58"/>
      <c r="R1451" s="58"/>
      <c r="S1451" s="58"/>
    </row>
    <row r="1452" spans="2:19" x14ac:dyDescent="0.2">
      <c r="B1452" s="213"/>
      <c r="C1452" s="213"/>
      <c r="D1452" s="213"/>
      <c r="E1452" s="213"/>
      <c r="F1452" s="213"/>
      <c r="G1452" s="525"/>
      <c r="H1452" s="213"/>
      <c r="I1452" s="213"/>
      <c r="J1452" s="213"/>
      <c r="K1452" s="213"/>
      <c r="L1452" s="213"/>
      <c r="N1452" s="525"/>
      <c r="O1452" s="525"/>
      <c r="P1452" s="525"/>
      <c r="Q1452" s="58"/>
      <c r="R1452" s="58"/>
      <c r="S1452" s="58"/>
    </row>
    <row r="1453" spans="2:19" x14ac:dyDescent="0.2">
      <c r="B1453" s="213"/>
      <c r="C1453" s="213"/>
      <c r="D1453" s="213"/>
      <c r="E1453" s="213"/>
      <c r="F1453" s="213"/>
      <c r="G1453" s="525"/>
      <c r="H1453" s="213"/>
      <c r="I1453" s="213"/>
      <c r="J1453" s="213"/>
      <c r="K1453" s="213"/>
      <c r="L1453" s="213"/>
      <c r="N1453" s="525"/>
      <c r="O1453" s="525"/>
      <c r="P1453" s="525"/>
      <c r="Q1453" s="58"/>
      <c r="R1453" s="58"/>
      <c r="S1453" s="58"/>
    </row>
    <row r="1454" spans="2:19" x14ac:dyDescent="0.2">
      <c r="B1454" s="213"/>
      <c r="C1454" s="213"/>
      <c r="D1454" s="213"/>
      <c r="E1454" s="213"/>
      <c r="F1454" s="213"/>
      <c r="G1454" s="525"/>
      <c r="H1454" s="213"/>
      <c r="I1454" s="213"/>
      <c r="J1454" s="213"/>
      <c r="K1454" s="213"/>
      <c r="L1454" s="213"/>
      <c r="N1454" s="525"/>
      <c r="O1454" s="525"/>
      <c r="P1454" s="525"/>
      <c r="Q1454" s="58"/>
      <c r="R1454" s="58"/>
      <c r="S1454" s="58"/>
    </row>
    <row r="1455" spans="2:19" x14ac:dyDescent="0.2">
      <c r="B1455" s="213"/>
      <c r="C1455" s="213"/>
      <c r="D1455" s="213"/>
      <c r="E1455" s="213"/>
      <c r="F1455" s="213"/>
      <c r="G1455" s="525"/>
      <c r="H1455" s="213"/>
      <c r="I1455" s="213"/>
      <c r="J1455" s="213"/>
      <c r="K1455" s="213"/>
      <c r="L1455" s="213"/>
      <c r="N1455" s="525"/>
      <c r="O1455" s="525"/>
      <c r="P1455" s="525"/>
      <c r="Q1455" s="58"/>
      <c r="R1455" s="58"/>
      <c r="S1455" s="58"/>
    </row>
    <row r="1456" spans="2:19" x14ac:dyDescent="0.2">
      <c r="B1456" s="213"/>
      <c r="C1456" s="213"/>
      <c r="D1456" s="213"/>
      <c r="E1456" s="213"/>
      <c r="F1456" s="213"/>
      <c r="G1456" s="525"/>
      <c r="H1456" s="213"/>
      <c r="I1456" s="213"/>
      <c r="J1456" s="213"/>
      <c r="K1456" s="213"/>
      <c r="L1456" s="213"/>
      <c r="N1456" s="525"/>
      <c r="O1456" s="525"/>
      <c r="P1456" s="525"/>
      <c r="Q1456" s="58"/>
      <c r="R1456" s="58"/>
      <c r="S1456" s="58"/>
    </row>
    <row r="1457" spans="2:19" x14ac:dyDescent="0.2">
      <c r="B1457" s="213"/>
      <c r="C1457" s="213"/>
      <c r="D1457" s="213"/>
      <c r="E1457" s="213"/>
      <c r="F1457" s="213"/>
      <c r="G1457" s="525"/>
      <c r="H1457" s="213"/>
      <c r="I1457" s="213"/>
      <c r="J1457" s="213"/>
      <c r="K1457" s="213"/>
      <c r="L1457" s="213"/>
      <c r="N1457" s="525"/>
      <c r="O1457" s="525"/>
      <c r="P1457" s="525"/>
      <c r="Q1457" s="58"/>
      <c r="R1457" s="58"/>
      <c r="S1457" s="58"/>
    </row>
    <row r="1458" spans="2:19" x14ac:dyDescent="0.2">
      <c r="B1458" s="213"/>
      <c r="C1458" s="213"/>
      <c r="D1458" s="213"/>
      <c r="E1458" s="213"/>
      <c r="F1458" s="213"/>
      <c r="G1458" s="525"/>
      <c r="H1458" s="213"/>
      <c r="I1458" s="213"/>
      <c r="J1458" s="213"/>
      <c r="K1458" s="213"/>
      <c r="L1458" s="213"/>
      <c r="N1458" s="525"/>
      <c r="O1458" s="525"/>
      <c r="P1458" s="525"/>
      <c r="Q1458" s="58"/>
      <c r="R1458" s="58"/>
      <c r="S1458" s="58"/>
    </row>
    <row r="1459" spans="2:19" x14ac:dyDescent="0.2">
      <c r="B1459" s="213"/>
      <c r="C1459" s="213"/>
      <c r="D1459" s="213"/>
      <c r="E1459" s="213"/>
      <c r="F1459" s="213"/>
      <c r="G1459" s="525"/>
      <c r="H1459" s="213"/>
      <c r="I1459" s="213"/>
      <c r="J1459" s="213"/>
      <c r="K1459" s="213"/>
      <c r="L1459" s="213"/>
      <c r="N1459" s="525"/>
      <c r="O1459" s="525"/>
      <c r="P1459" s="525"/>
      <c r="Q1459" s="58"/>
      <c r="R1459" s="58"/>
      <c r="S1459" s="58"/>
    </row>
    <row r="1460" spans="2:19" x14ac:dyDescent="0.2">
      <c r="B1460" s="213"/>
      <c r="C1460" s="213"/>
      <c r="D1460" s="213"/>
      <c r="E1460" s="213"/>
      <c r="F1460" s="213"/>
      <c r="G1460" s="525"/>
      <c r="H1460" s="213"/>
      <c r="I1460" s="213"/>
      <c r="J1460" s="213"/>
      <c r="K1460" s="213"/>
      <c r="L1460" s="213"/>
      <c r="N1460" s="525"/>
      <c r="O1460" s="525"/>
      <c r="P1460" s="525"/>
      <c r="Q1460" s="58"/>
      <c r="R1460" s="58"/>
      <c r="S1460" s="58"/>
    </row>
    <row r="1461" spans="2:19" x14ac:dyDescent="0.2">
      <c r="B1461" s="213"/>
      <c r="C1461" s="213"/>
      <c r="D1461" s="213"/>
      <c r="E1461" s="213"/>
      <c r="F1461" s="213"/>
      <c r="G1461" s="525"/>
      <c r="H1461" s="213"/>
      <c r="I1461" s="213"/>
      <c r="J1461" s="213"/>
      <c r="K1461" s="213"/>
      <c r="L1461" s="213"/>
      <c r="N1461" s="525"/>
      <c r="O1461" s="525"/>
      <c r="P1461" s="525"/>
      <c r="Q1461" s="58"/>
      <c r="R1461" s="58"/>
      <c r="S1461" s="58"/>
    </row>
    <row r="1462" spans="2:19" x14ac:dyDescent="0.2">
      <c r="B1462" s="213"/>
      <c r="C1462" s="213"/>
      <c r="D1462" s="213"/>
      <c r="E1462" s="213"/>
      <c r="F1462" s="213"/>
      <c r="G1462" s="525"/>
      <c r="H1462" s="213"/>
      <c r="I1462" s="213"/>
      <c r="J1462" s="213"/>
      <c r="K1462" s="213"/>
      <c r="L1462" s="213"/>
      <c r="N1462" s="525"/>
      <c r="O1462" s="525"/>
      <c r="P1462" s="525"/>
      <c r="Q1462" s="58"/>
      <c r="R1462" s="58"/>
      <c r="S1462" s="58"/>
    </row>
    <row r="1463" spans="2:19" x14ac:dyDescent="0.2">
      <c r="B1463" s="213"/>
      <c r="C1463" s="213"/>
      <c r="D1463" s="213"/>
      <c r="E1463" s="213"/>
      <c r="F1463" s="213"/>
      <c r="G1463" s="525"/>
      <c r="H1463" s="213"/>
      <c r="I1463" s="213"/>
      <c r="J1463" s="213"/>
      <c r="K1463" s="213"/>
      <c r="L1463" s="213"/>
      <c r="N1463" s="525"/>
      <c r="O1463" s="525"/>
      <c r="P1463" s="525"/>
      <c r="Q1463" s="58"/>
      <c r="R1463" s="58"/>
      <c r="S1463" s="58"/>
    </row>
    <row r="1464" spans="2:19" x14ac:dyDescent="0.2">
      <c r="B1464" s="213"/>
      <c r="C1464" s="213"/>
      <c r="D1464" s="213"/>
      <c r="E1464" s="213"/>
      <c r="F1464" s="213"/>
      <c r="G1464" s="525"/>
      <c r="H1464" s="213"/>
      <c r="I1464" s="213"/>
      <c r="J1464" s="213"/>
      <c r="K1464" s="213"/>
      <c r="L1464" s="213"/>
      <c r="N1464" s="525"/>
      <c r="O1464" s="525"/>
      <c r="P1464" s="525"/>
      <c r="Q1464" s="58"/>
      <c r="R1464" s="58"/>
      <c r="S1464" s="58"/>
    </row>
    <row r="1465" spans="2:19" x14ac:dyDescent="0.2">
      <c r="B1465" s="213"/>
      <c r="C1465" s="213"/>
      <c r="D1465" s="213"/>
      <c r="E1465" s="213"/>
      <c r="F1465" s="213"/>
      <c r="G1465" s="525"/>
      <c r="H1465" s="213"/>
      <c r="I1465" s="213"/>
      <c r="J1465" s="213"/>
      <c r="K1465" s="213"/>
      <c r="L1465" s="213"/>
      <c r="N1465" s="525"/>
      <c r="O1465" s="525"/>
      <c r="P1465" s="525"/>
      <c r="Q1465" s="58"/>
      <c r="R1465" s="58"/>
      <c r="S1465" s="58"/>
    </row>
    <row r="1466" spans="2:19" x14ac:dyDescent="0.2">
      <c r="B1466" s="213"/>
      <c r="C1466" s="213"/>
      <c r="D1466" s="213"/>
      <c r="E1466" s="213"/>
      <c r="F1466" s="213"/>
      <c r="G1466" s="525"/>
      <c r="H1466" s="213"/>
      <c r="I1466" s="213"/>
      <c r="J1466" s="213"/>
      <c r="K1466" s="213"/>
      <c r="L1466" s="213"/>
      <c r="N1466" s="525"/>
      <c r="O1466" s="525"/>
      <c r="P1466" s="525"/>
      <c r="Q1466" s="58"/>
      <c r="R1466" s="58"/>
      <c r="S1466" s="58"/>
    </row>
    <row r="1467" spans="2:19" x14ac:dyDescent="0.2">
      <c r="B1467" s="213"/>
      <c r="C1467" s="213"/>
      <c r="D1467" s="213"/>
      <c r="E1467" s="213"/>
      <c r="F1467" s="213"/>
      <c r="G1467" s="525"/>
      <c r="H1467" s="213"/>
      <c r="I1467" s="213"/>
      <c r="J1467" s="213"/>
      <c r="K1467" s="213"/>
      <c r="L1467" s="213"/>
      <c r="N1467" s="525"/>
      <c r="O1467" s="525"/>
      <c r="P1467" s="525"/>
      <c r="Q1467" s="58"/>
      <c r="R1467" s="58"/>
      <c r="S1467" s="58"/>
    </row>
    <row r="1468" spans="2:19" x14ac:dyDescent="0.2">
      <c r="B1468" s="213"/>
      <c r="C1468" s="213"/>
      <c r="D1468" s="213"/>
      <c r="E1468" s="213"/>
      <c r="F1468" s="213"/>
      <c r="G1468" s="525"/>
      <c r="H1468" s="213"/>
      <c r="I1468" s="213"/>
      <c r="J1468" s="213"/>
      <c r="K1468" s="213"/>
      <c r="L1468" s="213"/>
      <c r="N1468" s="525"/>
      <c r="O1468" s="525"/>
      <c r="P1468" s="525"/>
      <c r="Q1468" s="58"/>
      <c r="R1468" s="58"/>
      <c r="S1468" s="58"/>
    </row>
    <row r="1469" spans="2:19" x14ac:dyDescent="0.2">
      <c r="B1469" s="213"/>
      <c r="C1469" s="213"/>
      <c r="D1469" s="213"/>
      <c r="E1469" s="213"/>
      <c r="F1469" s="213"/>
      <c r="G1469" s="525"/>
      <c r="H1469" s="213"/>
      <c r="I1469" s="213"/>
      <c r="J1469" s="213"/>
      <c r="K1469" s="213"/>
      <c r="L1469" s="213"/>
      <c r="N1469" s="525"/>
      <c r="O1469" s="525"/>
      <c r="P1469" s="525"/>
      <c r="Q1469" s="58"/>
      <c r="R1469" s="58"/>
      <c r="S1469" s="58"/>
    </row>
    <row r="1470" spans="2:19" x14ac:dyDescent="0.2">
      <c r="B1470" s="213"/>
      <c r="C1470" s="213"/>
      <c r="D1470" s="213"/>
      <c r="E1470" s="213"/>
      <c r="F1470" s="213"/>
      <c r="G1470" s="525"/>
      <c r="H1470" s="213"/>
      <c r="I1470" s="213"/>
      <c r="J1470" s="213"/>
      <c r="K1470" s="213"/>
      <c r="L1470" s="213"/>
      <c r="N1470" s="525"/>
      <c r="O1470" s="525"/>
      <c r="P1470" s="525"/>
      <c r="Q1470" s="58"/>
      <c r="R1470" s="58"/>
      <c r="S1470" s="58"/>
    </row>
    <row r="1471" spans="2:19" x14ac:dyDescent="0.2">
      <c r="B1471" s="213"/>
      <c r="C1471" s="213"/>
      <c r="D1471" s="213"/>
      <c r="E1471" s="213"/>
      <c r="F1471" s="213"/>
      <c r="G1471" s="525"/>
      <c r="H1471" s="213"/>
      <c r="I1471" s="213"/>
      <c r="J1471" s="213"/>
      <c r="K1471" s="213"/>
      <c r="L1471" s="213"/>
      <c r="N1471" s="525"/>
      <c r="O1471" s="525"/>
      <c r="P1471" s="525"/>
      <c r="Q1471" s="58"/>
      <c r="R1471" s="58"/>
      <c r="S1471" s="58"/>
    </row>
    <row r="1472" spans="2:19" x14ac:dyDescent="0.2">
      <c r="B1472" s="213"/>
      <c r="C1472" s="213"/>
      <c r="D1472" s="213"/>
      <c r="E1472" s="213"/>
      <c r="F1472" s="213"/>
      <c r="G1472" s="525"/>
      <c r="H1472" s="213"/>
      <c r="I1472" s="213"/>
      <c r="J1472" s="213"/>
      <c r="K1472" s="213"/>
      <c r="L1472" s="213"/>
      <c r="N1472" s="525"/>
      <c r="O1472" s="525"/>
      <c r="P1472" s="525"/>
      <c r="Q1472" s="58"/>
      <c r="R1472" s="58"/>
      <c r="S1472" s="58"/>
    </row>
    <row r="1473" spans="2:19" x14ac:dyDescent="0.2">
      <c r="B1473" s="213"/>
      <c r="C1473" s="213"/>
      <c r="D1473" s="213"/>
      <c r="E1473" s="213"/>
      <c r="F1473" s="213"/>
      <c r="G1473" s="525"/>
      <c r="H1473" s="213"/>
      <c r="I1473" s="213"/>
      <c r="J1473" s="213"/>
      <c r="K1473" s="213"/>
      <c r="L1473" s="213"/>
      <c r="N1473" s="525"/>
      <c r="O1473" s="525"/>
      <c r="P1473" s="525"/>
      <c r="Q1473" s="58"/>
      <c r="R1473" s="58"/>
      <c r="S1473" s="58"/>
    </row>
    <row r="1474" spans="2:19" x14ac:dyDescent="0.2">
      <c r="B1474" s="213"/>
      <c r="C1474" s="213"/>
      <c r="D1474" s="213"/>
      <c r="E1474" s="213"/>
      <c r="F1474" s="213"/>
      <c r="G1474" s="525"/>
      <c r="H1474" s="213"/>
      <c r="I1474" s="213"/>
      <c r="J1474" s="213"/>
      <c r="K1474" s="213"/>
      <c r="L1474" s="213"/>
      <c r="N1474" s="525"/>
      <c r="O1474" s="525"/>
      <c r="P1474" s="525"/>
      <c r="Q1474" s="58"/>
      <c r="R1474" s="58"/>
      <c r="S1474" s="58"/>
    </row>
    <row r="1475" spans="2:19" x14ac:dyDescent="0.2">
      <c r="B1475" s="213"/>
      <c r="C1475" s="213"/>
      <c r="D1475" s="213"/>
      <c r="E1475" s="213"/>
      <c r="F1475" s="213"/>
      <c r="G1475" s="525"/>
      <c r="H1475" s="213"/>
      <c r="I1475" s="213"/>
      <c r="J1475" s="213"/>
      <c r="K1475" s="213"/>
      <c r="L1475" s="213"/>
      <c r="N1475" s="525"/>
      <c r="O1475" s="525"/>
      <c r="P1475" s="525"/>
      <c r="Q1475" s="58"/>
      <c r="R1475" s="58"/>
      <c r="S1475" s="58"/>
    </row>
    <row r="1476" spans="2:19" x14ac:dyDescent="0.2">
      <c r="B1476" s="213"/>
      <c r="C1476" s="213"/>
      <c r="D1476" s="213"/>
      <c r="E1476" s="213"/>
      <c r="F1476" s="213"/>
      <c r="G1476" s="525"/>
      <c r="H1476" s="213"/>
      <c r="I1476" s="213"/>
      <c r="J1476" s="213"/>
      <c r="K1476" s="213"/>
      <c r="L1476" s="213"/>
      <c r="N1476" s="525"/>
      <c r="O1476" s="525"/>
      <c r="P1476" s="525"/>
      <c r="Q1476" s="58"/>
      <c r="R1476" s="58"/>
      <c r="S1476" s="58"/>
    </row>
    <row r="1477" spans="2:19" x14ac:dyDescent="0.2">
      <c r="B1477" s="213"/>
      <c r="C1477" s="213"/>
      <c r="D1477" s="213"/>
      <c r="E1477" s="213"/>
      <c r="F1477" s="213"/>
      <c r="G1477" s="525"/>
      <c r="H1477" s="213"/>
      <c r="I1477" s="213"/>
      <c r="J1477" s="213"/>
      <c r="K1477" s="213"/>
      <c r="L1477" s="213"/>
      <c r="N1477" s="525"/>
      <c r="O1477" s="525"/>
      <c r="P1477" s="525"/>
      <c r="Q1477" s="58"/>
      <c r="R1477" s="58"/>
      <c r="S1477" s="58"/>
    </row>
    <row r="1478" spans="2:19" x14ac:dyDescent="0.2">
      <c r="B1478" s="213"/>
      <c r="C1478" s="213"/>
      <c r="D1478" s="213"/>
      <c r="E1478" s="213"/>
      <c r="F1478" s="213"/>
      <c r="G1478" s="525"/>
      <c r="H1478" s="213"/>
      <c r="I1478" s="213"/>
      <c r="J1478" s="213"/>
      <c r="K1478" s="213"/>
      <c r="L1478" s="213"/>
      <c r="N1478" s="525"/>
      <c r="O1478" s="525"/>
      <c r="P1478" s="525"/>
      <c r="Q1478" s="58"/>
      <c r="R1478" s="58"/>
      <c r="S1478" s="58"/>
    </row>
    <row r="1479" spans="2:19" x14ac:dyDescent="0.2">
      <c r="B1479" s="213"/>
      <c r="C1479" s="213"/>
      <c r="D1479" s="213"/>
      <c r="E1479" s="213"/>
      <c r="F1479" s="213"/>
      <c r="G1479" s="525"/>
      <c r="H1479" s="213"/>
      <c r="I1479" s="213"/>
      <c r="J1479" s="213"/>
      <c r="K1479" s="213"/>
      <c r="L1479" s="213"/>
      <c r="N1479" s="525"/>
      <c r="O1479" s="525"/>
      <c r="P1479" s="525"/>
      <c r="Q1479" s="58"/>
      <c r="R1479" s="58"/>
      <c r="S1479" s="58"/>
    </row>
    <row r="1480" spans="2:19" x14ac:dyDescent="0.2">
      <c r="B1480" s="213"/>
      <c r="C1480" s="213"/>
      <c r="D1480" s="213"/>
      <c r="E1480" s="213"/>
      <c r="F1480" s="213"/>
      <c r="G1480" s="525"/>
      <c r="H1480" s="213"/>
      <c r="I1480" s="213"/>
      <c r="J1480" s="213"/>
      <c r="K1480" s="213"/>
      <c r="L1480" s="213"/>
      <c r="N1480" s="525"/>
      <c r="O1480" s="525"/>
      <c r="P1480" s="525"/>
      <c r="Q1480" s="58"/>
      <c r="R1480" s="58"/>
      <c r="S1480" s="58"/>
    </row>
    <row r="1481" spans="2:19" x14ac:dyDescent="0.2">
      <c r="B1481" s="213"/>
      <c r="C1481" s="213"/>
      <c r="D1481" s="213"/>
      <c r="E1481" s="213"/>
      <c r="F1481" s="213"/>
      <c r="G1481" s="525"/>
      <c r="H1481" s="213"/>
      <c r="I1481" s="213"/>
      <c r="J1481" s="213"/>
      <c r="K1481" s="213"/>
      <c r="L1481" s="213"/>
      <c r="N1481" s="525"/>
      <c r="O1481" s="525"/>
      <c r="P1481" s="525"/>
      <c r="Q1481" s="58"/>
      <c r="R1481" s="58"/>
      <c r="S1481" s="58"/>
    </row>
    <row r="1482" spans="2:19" x14ac:dyDescent="0.2">
      <c r="B1482" s="213"/>
      <c r="C1482" s="213"/>
      <c r="D1482" s="213"/>
      <c r="E1482" s="213"/>
      <c r="F1482" s="213"/>
      <c r="G1482" s="525"/>
      <c r="H1482" s="213"/>
      <c r="I1482" s="213"/>
      <c r="J1482" s="213"/>
      <c r="K1482" s="213"/>
      <c r="L1482" s="213"/>
      <c r="N1482" s="525"/>
      <c r="O1482" s="525"/>
      <c r="P1482" s="525"/>
      <c r="Q1482" s="58"/>
      <c r="R1482" s="58"/>
      <c r="S1482" s="58"/>
    </row>
    <row r="1483" spans="2:19" x14ac:dyDescent="0.2">
      <c r="B1483" s="213"/>
      <c r="C1483" s="213"/>
      <c r="D1483" s="213"/>
      <c r="E1483" s="213"/>
      <c r="F1483" s="213"/>
      <c r="G1483" s="525"/>
      <c r="H1483" s="213"/>
      <c r="I1483" s="213"/>
      <c r="J1483" s="213"/>
      <c r="K1483" s="213"/>
      <c r="L1483" s="213"/>
      <c r="N1483" s="525"/>
      <c r="O1483" s="525"/>
      <c r="P1483" s="525"/>
      <c r="Q1483" s="58"/>
      <c r="R1483" s="58"/>
      <c r="S1483" s="58"/>
    </row>
    <row r="1484" spans="2:19" x14ac:dyDescent="0.2">
      <c r="B1484" s="213"/>
      <c r="C1484" s="213"/>
      <c r="D1484" s="213"/>
      <c r="E1484" s="213"/>
      <c r="F1484" s="213"/>
      <c r="G1484" s="525"/>
      <c r="H1484" s="213"/>
      <c r="I1484" s="213"/>
      <c r="J1484" s="213"/>
      <c r="K1484" s="213"/>
      <c r="L1484" s="213"/>
      <c r="N1484" s="525"/>
      <c r="O1484" s="525"/>
      <c r="P1484" s="525"/>
      <c r="Q1484" s="58"/>
      <c r="R1484" s="58"/>
      <c r="S1484" s="58"/>
    </row>
    <row r="1485" spans="2:19" x14ac:dyDescent="0.2">
      <c r="B1485" s="213"/>
      <c r="C1485" s="213"/>
      <c r="D1485" s="213"/>
      <c r="E1485" s="213"/>
      <c r="F1485" s="213"/>
      <c r="G1485" s="525"/>
      <c r="H1485" s="213"/>
      <c r="I1485" s="213"/>
      <c r="J1485" s="213"/>
      <c r="K1485" s="213"/>
      <c r="L1485" s="213"/>
      <c r="N1485" s="525"/>
      <c r="O1485" s="525"/>
      <c r="P1485" s="525"/>
      <c r="Q1485" s="58"/>
      <c r="R1485" s="58"/>
      <c r="S1485" s="58"/>
    </row>
    <row r="1486" spans="2:19" x14ac:dyDescent="0.2">
      <c r="B1486" s="213"/>
      <c r="C1486" s="213"/>
      <c r="D1486" s="213"/>
      <c r="E1486" s="213"/>
      <c r="F1486" s="213"/>
      <c r="G1486" s="525"/>
      <c r="H1486" s="213"/>
      <c r="I1486" s="213"/>
      <c r="J1486" s="213"/>
      <c r="K1486" s="213"/>
      <c r="L1486" s="213"/>
      <c r="N1486" s="525"/>
      <c r="O1486" s="525"/>
      <c r="P1486" s="525"/>
      <c r="Q1486" s="58"/>
      <c r="R1486" s="58"/>
      <c r="S1486" s="58"/>
    </row>
    <row r="1487" spans="2:19" x14ac:dyDescent="0.2">
      <c r="B1487" s="213"/>
      <c r="C1487" s="213"/>
      <c r="D1487" s="213"/>
      <c r="E1487" s="213"/>
      <c r="F1487" s="213"/>
      <c r="G1487" s="525"/>
      <c r="H1487" s="213"/>
      <c r="I1487" s="213"/>
      <c r="J1487" s="213"/>
      <c r="K1487" s="213"/>
      <c r="L1487" s="213"/>
      <c r="N1487" s="525"/>
      <c r="O1487" s="525"/>
      <c r="P1487" s="525"/>
      <c r="Q1487" s="58"/>
      <c r="R1487" s="58"/>
      <c r="S1487" s="58"/>
    </row>
    <row r="1488" spans="2:19" x14ac:dyDescent="0.2">
      <c r="B1488" s="213"/>
      <c r="C1488" s="213"/>
      <c r="D1488" s="213"/>
      <c r="E1488" s="213"/>
      <c r="F1488" s="213"/>
      <c r="G1488" s="525"/>
      <c r="H1488" s="213"/>
      <c r="I1488" s="213"/>
      <c r="J1488" s="213"/>
      <c r="K1488" s="213"/>
      <c r="L1488" s="213"/>
      <c r="N1488" s="525"/>
      <c r="O1488" s="525"/>
      <c r="P1488" s="525"/>
      <c r="Q1488" s="58"/>
      <c r="R1488" s="58"/>
      <c r="S1488" s="58"/>
    </row>
    <row r="1489" spans="2:19" x14ac:dyDescent="0.2">
      <c r="B1489" s="213"/>
      <c r="C1489" s="213"/>
      <c r="D1489" s="213"/>
      <c r="E1489" s="213"/>
      <c r="F1489" s="213"/>
      <c r="G1489" s="525"/>
      <c r="H1489" s="213"/>
      <c r="I1489" s="213"/>
      <c r="J1489" s="213"/>
      <c r="K1489" s="213"/>
      <c r="L1489" s="213"/>
      <c r="N1489" s="525"/>
      <c r="O1489" s="525"/>
      <c r="P1489" s="525"/>
      <c r="Q1489" s="58"/>
      <c r="R1489" s="58"/>
      <c r="S1489" s="58"/>
    </row>
    <row r="1490" spans="2:19" x14ac:dyDescent="0.2">
      <c r="B1490" s="213"/>
      <c r="C1490" s="213"/>
      <c r="D1490" s="213"/>
      <c r="E1490" s="213"/>
      <c r="F1490" s="213"/>
      <c r="G1490" s="525"/>
      <c r="H1490" s="213"/>
      <c r="I1490" s="213"/>
      <c r="J1490" s="213"/>
      <c r="K1490" s="213"/>
      <c r="L1490" s="213"/>
      <c r="N1490" s="525"/>
      <c r="O1490" s="525"/>
      <c r="P1490" s="525"/>
      <c r="Q1490" s="58"/>
      <c r="R1490" s="58"/>
      <c r="S1490" s="58"/>
    </row>
    <row r="1491" spans="2:19" x14ac:dyDescent="0.2">
      <c r="B1491" s="213"/>
      <c r="C1491" s="213"/>
      <c r="D1491" s="213"/>
      <c r="E1491" s="213"/>
      <c r="F1491" s="213"/>
      <c r="G1491" s="525"/>
      <c r="H1491" s="213"/>
      <c r="I1491" s="213"/>
      <c r="J1491" s="213"/>
      <c r="K1491" s="213"/>
      <c r="L1491" s="213"/>
      <c r="N1491" s="525"/>
      <c r="O1491" s="525"/>
      <c r="P1491" s="525"/>
      <c r="Q1491" s="58"/>
      <c r="R1491" s="58"/>
      <c r="S1491" s="58"/>
    </row>
    <row r="1492" spans="2:19" x14ac:dyDescent="0.2">
      <c r="B1492" s="213"/>
      <c r="C1492" s="213"/>
      <c r="D1492" s="213"/>
      <c r="E1492" s="213"/>
      <c r="F1492" s="213"/>
      <c r="G1492" s="525"/>
      <c r="H1492" s="213"/>
      <c r="I1492" s="213"/>
      <c r="J1492" s="213"/>
      <c r="K1492" s="213"/>
      <c r="L1492" s="213"/>
      <c r="N1492" s="525"/>
      <c r="O1492" s="525"/>
      <c r="P1492" s="525"/>
      <c r="Q1492" s="58"/>
      <c r="R1492" s="58"/>
      <c r="S1492" s="58"/>
    </row>
    <row r="1493" spans="2:19" x14ac:dyDescent="0.2">
      <c r="B1493" s="213"/>
      <c r="C1493" s="213"/>
      <c r="D1493" s="213"/>
      <c r="E1493" s="213"/>
      <c r="F1493" s="213"/>
      <c r="G1493" s="525"/>
      <c r="H1493" s="213"/>
      <c r="I1493" s="213"/>
      <c r="J1493" s="213"/>
      <c r="K1493" s="213"/>
      <c r="L1493" s="213"/>
      <c r="N1493" s="525"/>
      <c r="O1493" s="525"/>
      <c r="P1493" s="525"/>
      <c r="Q1493" s="58"/>
      <c r="R1493" s="58"/>
      <c r="S1493" s="58"/>
    </row>
    <row r="1494" spans="2:19" x14ac:dyDescent="0.2">
      <c r="B1494" s="213"/>
      <c r="C1494" s="213"/>
      <c r="D1494" s="213"/>
      <c r="E1494" s="213"/>
      <c r="F1494" s="213"/>
      <c r="G1494" s="525"/>
      <c r="H1494" s="213"/>
      <c r="I1494" s="213"/>
      <c r="J1494" s="213"/>
      <c r="K1494" s="213"/>
      <c r="L1494" s="213"/>
      <c r="N1494" s="525"/>
      <c r="O1494" s="525"/>
      <c r="P1494" s="525"/>
      <c r="Q1494" s="58"/>
      <c r="R1494" s="58"/>
      <c r="S1494" s="58"/>
    </row>
    <row r="1495" spans="2:19" x14ac:dyDescent="0.2">
      <c r="B1495" s="213"/>
      <c r="C1495" s="213"/>
      <c r="D1495" s="213"/>
      <c r="E1495" s="213"/>
      <c r="F1495" s="213"/>
      <c r="G1495" s="525"/>
      <c r="H1495" s="213"/>
      <c r="I1495" s="213"/>
      <c r="J1495" s="213"/>
      <c r="K1495" s="213"/>
      <c r="L1495" s="213"/>
      <c r="N1495" s="525"/>
      <c r="O1495" s="525"/>
      <c r="P1495" s="525"/>
      <c r="Q1495" s="58"/>
      <c r="R1495" s="58"/>
      <c r="S1495" s="58"/>
    </row>
    <row r="1496" spans="2:19" x14ac:dyDescent="0.2">
      <c r="B1496" s="213"/>
      <c r="C1496" s="213"/>
      <c r="D1496" s="213"/>
      <c r="E1496" s="213"/>
      <c r="F1496" s="213"/>
      <c r="G1496" s="525"/>
      <c r="H1496" s="213"/>
      <c r="I1496" s="213"/>
      <c r="J1496" s="213"/>
      <c r="K1496" s="213"/>
      <c r="L1496" s="213"/>
      <c r="N1496" s="525"/>
      <c r="O1496" s="525"/>
      <c r="P1496" s="525"/>
      <c r="Q1496" s="58"/>
      <c r="R1496" s="58"/>
      <c r="S1496" s="58"/>
    </row>
    <row r="1497" spans="2:19" x14ac:dyDescent="0.2">
      <c r="B1497" s="213"/>
      <c r="C1497" s="213"/>
      <c r="D1497" s="213"/>
      <c r="E1497" s="213"/>
      <c r="F1497" s="213"/>
      <c r="G1497" s="525"/>
      <c r="H1497" s="213"/>
      <c r="I1497" s="213"/>
      <c r="J1497" s="213"/>
      <c r="K1497" s="213"/>
      <c r="L1497" s="213"/>
      <c r="N1497" s="525"/>
      <c r="O1497" s="525"/>
      <c r="P1497" s="525"/>
      <c r="Q1497" s="58"/>
      <c r="R1497" s="58"/>
      <c r="S1497" s="58"/>
    </row>
    <row r="1498" spans="2:19" x14ac:dyDescent="0.2">
      <c r="B1498" s="213"/>
      <c r="C1498" s="213"/>
      <c r="D1498" s="213"/>
      <c r="E1498" s="213"/>
      <c r="F1498" s="213"/>
      <c r="G1498" s="525"/>
      <c r="H1498" s="213"/>
      <c r="I1498" s="213"/>
      <c r="J1498" s="213"/>
      <c r="K1498" s="213"/>
      <c r="L1498" s="213"/>
      <c r="N1498" s="525"/>
      <c r="O1498" s="525"/>
      <c r="P1498" s="525"/>
      <c r="Q1498" s="58"/>
      <c r="R1498" s="58"/>
      <c r="S1498" s="58"/>
    </row>
    <row r="1499" spans="2:19" x14ac:dyDescent="0.2">
      <c r="B1499" s="213"/>
      <c r="C1499" s="213"/>
      <c r="D1499" s="213"/>
      <c r="E1499" s="213"/>
      <c r="F1499" s="213"/>
      <c r="G1499" s="525"/>
      <c r="H1499" s="213"/>
      <c r="I1499" s="213"/>
      <c r="J1499" s="213"/>
      <c r="K1499" s="213"/>
      <c r="L1499" s="213"/>
      <c r="N1499" s="525"/>
      <c r="O1499" s="525"/>
      <c r="P1499" s="525"/>
      <c r="Q1499" s="58"/>
      <c r="R1499" s="58"/>
      <c r="S1499" s="58"/>
    </row>
    <row r="1500" spans="2:19" x14ac:dyDescent="0.2">
      <c r="B1500" s="213"/>
      <c r="C1500" s="213"/>
      <c r="D1500" s="213"/>
      <c r="E1500" s="213"/>
      <c r="F1500" s="213"/>
      <c r="G1500" s="525"/>
      <c r="H1500" s="213"/>
      <c r="I1500" s="213"/>
      <c r="J1500" s="213"/>
      <c r="K1500" s="213"/>
      <c r="L1500" s="213"/>
      <c r="N1500" s="525"/>
      <c r="O1500" s="525"/>
      <c r="P1500" s="525"/>
      <c r="Q1500" s="58"/>
      <c r="R1500" s="58"/>
      <c r="S1500" s="58"/>
    </row>
    <row r="1501" spans="2:19" x14ac:dyDescent="0.2">
      <c r="B1501" s="213"/>
      <c r="C1501" s="213"/>
      <c r="D1501" s="213"/>
      <c r="E1501" s="213"/>
      <c r="F1501" s="213"/>
      <c r="G1501" s="525"/>
      <c r="H1501" s="213"/>
      <c r="I1501" s="213"/>
      <c r="J1501" s="213"/>
      <c r="K1501" s="213"/>
      <c r="L1501" s="213"/>
      <c r="N1501" s="525"/>
      <c r="O1501" s="525"/>
      <c r="P1501" s="525"/>
      <c r="Q1501" s="58"/>
      <c r="R1501" s="58"/>
      <c r="S1501" s="58"/>
    </row>
    <row r="1502" spans="2:19" x14ac:dyDescent="0.2">
      <c r="B1502" s="213"/>
      <c r="C1502" s="213"/>
      <c r="D1502" s="213"/>
      <c r="E1502" s="213"/>
      <c r="F1502" s="213"/>
      <c r="G1502" s="525"/>
      <c r="H1502" s="213"/>
      <c r="I1502" s="213"/>
      <c r="J1502" s="213"/>
      <c r="K1502" s="213"/>
      <c r="L1502" s="213"/>
      <c r="N1502" s="525"/>
      <c r="O1502" s="525"/>
      <c r="P1502" s="525"/>
      <c r="Q1502" s="58"/>
      <c r="R1502" s="58"/>
      <c r="S1502" s="58"/>
    </row>
    <row r="1503" spans="2:19" x14ac:dyDescent="0.2">
      <c r="B1503" s="213"/>
      <c r="C1503" s="213"/>
      <c r="D1503" s="213"/>
      <c r="E1503" s="213"/>
      <c r="F1503" s="213"/>
      <c r="G1503" s="525"/>
      <c r="H1503" s="213"/>
      <c r="I1503" s="213"/>
      <c r="J1503" s="213"/>
      <c r="K1503" s="213"/>
      <c r="L1503" s="213"/>
      <c r="N1503" s="525"/>
      <c r="O1503" s="525"/>
      <c r="P1503" s="525"/>
      <c r="Q1503" s="58"/>
      <c r="R1503" s="58"/>
      <c r="S1503" s="58"/>
    </row>
    <row r="1504" spans="2:19" x14ac:dyDescent="0.2">
      <c r="B1504" s="213"/>
      <c r="C1504" s="213"/>
      <c r="D1504" s="213"/>
      <c r="E1504" s="213"/>
      <c r="F1504" s="213"/>
      <c r="G1504" s="525"/>
      <c r="H1504" s="213"/>
      <c r="I1504" s="213"/>
      <c r="J1504" s="213"/>
      <c r="K1504" s="213"/>
      <c r="L1504" s="213"/>
      <c r="N1504" s="525"/>
      <c r="O1504" s="525"/>
      <c r="P1504" s="525"/>
      <c r="Q1504" s="58"/>
      <c r="R1504" s="58"/>
      <c r="S1504" s="58"/>
    </row>
    <row r="1505" spans="2:19" x14ac:dyDescent="0.2">
      <c r="B1505" s="213"/>
      <c r="C1505" s="213"/>
      <c r="D1505" s="213"/>
      <c r="E1505" s="213"/>
      <c r="F1505" s="213"/>
      <c r="G1505" s="525"/>
      <c r="H1505" s="213"/>
      <c r="I1505" s="213"/>
      <c r="J1505" s="213"/>
      <c r="K1505" s="213"/>
      <c r="L1505" s="213"/>
      <c r="N1505" s="525"/>
      <c r="O1505" s="525"/>
      <c r="P1505" s="525"/>
      <c r="Q1505" s="58"/>
      <c r="R1505" s="58"/>
      <c r="S1505" s="58"/>
    </row>
    <row r="1506" spans="2:19" x14ac:dyDescent="0.2">
      <c r="B1506" s="213"/>
      <c r="C1506" s="213"/>
      <c r="D1506" s="213"/>
      <c r="E1506" s="213"/>
      <c r="F1506" s="213"/>
      <c r="G1506" s="525"/>
      <c r="H1506" s="213"/>
      <c r="I1506" s="213"/>
      <c r="J1506" s="213"/>
      <c r="K1506" s="213"/>
      <c r="L1506" s="213"/>
      <c r="N1506" s="525"/>
      <c r="O1506" s="525"/>
      <c r="P1506" s="525"/>
      <c r="Q1506" s="58"/>
      <c r="R1506" s="58"/>
      <c r="S1506" s="58"/>
    </row>
    <row r="1507" spans="2:19" x14ac:dyDescent="0.2">
      <c r="B1507" s="213"/>
      <c r="C1507" s="213"/>
      <c r="D1507" s="213"/>
      <c r="E1507" s="213"/>
      <c r="F1507" s="213"/>
      <c r="G1507" s="525"/>
      <c r="H1507" s="213"/>
      <c r="I1507" s="213"/>
      <c r="J1507" s="213"/>
      <c r="K1507" s="213"/>
      <c r="L1507" s="213"/>
      <c r="N1507" s="525"/>
      <c r="O1507" s="525"/>
      <c r="P1507" s="525"/>
      <c r="Q1507" s="58"/>
      <c r="R1507" s="58"/>
      <c r="S1507" s="58"/>
    </row>
    <row r="1508" spans="2:19" x14ac:dyDescent="0.2">
      <c r="B1508" s="213"/>
      <c r="C1508" s="213"/>
      <c r="D1508" s="213"/>
      <c r="E1508" s="213"/>
      <c r="F1508" s="213"/>
      <c r="G1508" s="525"/>
      <c r="H1508" s="213"/>
      <c r="I1508" s="213"/>
      <c r="J1508" s="213"/>
      <c r="K1508" s="213"/>
      <c r="L1508" s="213"/>
      <c r="N1508" s="525"/>
      <c r="O1508" s="525"/>
      <c r="P1508" s="525"/>
      <c r="Q1508" s="58"/>
      <c r="R1508" s="58"/>
      <c r="S1508" s="58"/>
    </row>
    <row r="1509" spans="2:19" x14ac:dyDescent="0.2">
      <c r="B1509" s="213"/>
      <c r="C1509" s="213"/>
      <c r="D1509" s="213"/>
      <c r="E1509" s="213"/>
      <c r="F1509" s="213"/>
      <c r="G1509" s="525"/>
      <c r="H1509" s="213"/>
      <c r="I1509" s="213"/>
      <c r="J1509" s="213"/>
      <c r="K1509" s="213"/>
      <c r="L1509" s="213"/>
      <c r="N1509" s="525"/>
      <c r="O1509" s="525"/>
      <c r="P1509" s="525"/>
      <c r="Q1509" s="58"/>
      <c r="R1509" s="58"/>
      <c r="S1509" s="58"/>
    </row>
    <row r="1510" spans="2:19" x14ac:dyDescent="0.2">
      <c r="B1510" s="213"/>
      <c r="C1510" s="213"/>
      <c r="D1510" s="213"/>
      <c r="E1510" s="213"/>
      <c r="F1510" s="213"/>
      <c r="G1510" s="525"/>
      <c r="H1510" s="213"/>
      <c r="I1510" s="213"/>
      <c r="J1510" s="213"/>
      <c r="K1510" s="213"/>
      <c r="L1510" s="213"/>
      <c r="N1510" s="525"/>
      <c r="O1510" s="525"/>
      <c r="P1510" s="525"/>
      <c r="Q1510" s="58"/>
      <c r="R1510" s="58"/>
      <c r="S1510" s="58"/>
    </row>
    <row r="1511" spans="2:19" x14ac:dyDescent="0.2">
      <c r="B1511" s="213"/>
      <c r="C1511" s="213"/>
      <c r="D1511" s="213"/>
      <c r="E1511" s="213"/>
      <c r="F1511" s="213"/>
      <c r="G1511" s="525"/>
      <c r="H1511" s="213"/>
      <c r="I1511" s="213"/>
      <c r="J1511" s="213"/>
      <c r="K1511" s="213"/>
      <c r="L1511" s="213"/>
      <c r="N1511" s="525"/>
      <c r="O1511" s="525"/>
      <c r="P1511" s="525"/>
      <c r="Q1511" s="58"/>
      <c r="R1511" s="58"/>
      <c r="S1511" s="58"/>
    </row>
    <row r="1512" spans="2:19" x14ac:dyDescent="0.2">
      <c r="B1512" s="213"/>
      <c r="C1512" s="213"/>
      <c r="D1512" s="213"/>
      <c r="E1512" s="213"/>
      <c r="F1512" s="213"/>
      <c r="G1512" s="525"/>
      <c r="H1512" s="213"/>
      <c r="I1512" s="213"/>
      <c r="J1512" s="213"/>
      <c r="K1512" s="213"/>
      <c r="L1512" s="213"/>
      <c r="N1512" s="525"/>
      <c r="O1512" s="525"/>
      <c r="P1512" s="525"/>
      <c r="Q1512" s="58"/>
      <c r="R1512" s="58"/>
      <c r="S1512" s="58"/>
    </row>
    <row r="1513" spans="2:19" x14ac:dyDescent="0.2">
      <c r="B1513" s="213"/>
      <c r="C1513" s="213"/>
      <c r="D1513" s="213"/>
      <c r="E1513" s="213"/>
      <c r="F1513" s="213"/>
      <c r="G1513" s="525"/>
      <c r="H1513" s="213"/>
      <c r="I1513" s="213"/>
      <c r="J1513" s="213"/>
      <c r="K1513" s="213"/>
      <c r="L1513" s="213"/>
      <c r="N1513" s="525"/>
      <c r="O1513" s="525"/>
      <c r="P1513" s="525"/>
      <c r="Q1513" s="58"/>
      <c r="R1513" s="58"/>
      <c r="S1513" s="58"/>
    </row>
    <row r="1514" spans="2:19" x14ac:dyDescent="0.2">
      <c r="B1514" s="213"/>
      <c r="C1514" s="213"/>
      <c r="D1514" s="213"/>
      <c r="E1514" s="213"/>
      <c r="F1514" s="213"/>
      <c r="G1514" s="525"/>
      <c r="H1514" s="213"/>
      <c r="I1514" s="213"/>
      <c r="J1514" s="213"/>
      <c r="K1514" s="213"/>
      <c r="L1514" s="213"/>
      <c r="N1514" s="525"/>
      <c r="O1514" s="525"/>
      <c r="P1514" s="525"/>
      <c r="Q1514" s="58"/>
      <c r="R1514" s="58"/>
      <c r="S1514" s="58"/>
    </row>
    <row r="1515" spans="2:19" x14ac:dyDescent="0.2">
      <c r="B1515" s="213"/>
      <c r="C1515" s="213"/>
      <c r="D1515" s="213"/>
      <c r="E1515" s="213"/>
      <c r="F1515" s="213"/>
      <c r="G1515" s="525"/>
      <c r="H1515" s="213"/>
      <c r="I1515" s="213"/>
      <c r="J1515" s="213"/>
      <c r="K1515" s="213"/>
      <c r="L1515" s="213"/>
      <c r="N1515" s="525"/>
      <c r="O1515" s="525"/>
      <c r="P1515" s="525"/>
      <c r="Q1515" s="58"/>
      <c r="R1515" s="58"/>
      <c r="S1515" s="58"/>
    </row>
    <row r="1516" spans="2:19" x14ac:dyDescent="0.2">
      <c r="B1516" s="213"/>
      <c r="C1516" s="213"/>
      <c r="D1516" s="213"/>
      <c r="E1516" s="213"/>
      <c r="F1516" s="213"/>
      <c r="G1516" s="525"/>
      <c r="H1516" s="213"/>
      <c r="I1516" s="213"/>
      <c r="J1516" s="213"/>
      <c r="K1516" s="213"/>
      <c r="L1516" s="213"/>
      <c r="N1516" s="525"/>
      <c r="O1516" s="525"/>
      <c r="P1516" s="525"/>
      <c r="Q1516" s="58"/>
      <c r="R1516" s="58"/>
      <c r="S1516" s="58"/>
    </row>
    <row r="1517" spans="2:19" x14ac:dyDescent="0.2">
      <c r="B1517" s="213"/>
      <c r="C1517" s="213"/>
      <c r="D1517" s="213"/>
      <c r="E1517" s="213"/>
      <c r="F1517" s="213"/>
      <c r="G1517" s="525"/>
      <c r="H1517" s="213"/>
      <c r="I1517" s="213"/>
      <c r="J1517" s="213"/>
      <c r="K1517" s="213"/>
      <c r="L1517" s="213"/>
      <c r="N1517" s="525"/>
      <c r="O1517" s="525"/>
      <c r="P1517" s="525"/>
      <c r="Q1517" s="58"/>
      <c r="R1517" s="58"/>
      <c r="S1517" s="58"/>
    </row>
    <row r="1518" spans="2:19" x14ac:dyDescent="0.2">
      <c r="B1518" s="213"/>
      <c r="C1518" s="213"/>
      <c r="D1518" s="213"/>
      <c r="E1518" s="213"/>
      <c r="F1518" s="213"/>
      <c r="G1518" s="525"/>
      <c r="H1518" s="213"/>
      <c r="I1518" s="213"/>
      <c r="J1518" s="213"/>
      <c r="K1518" s="213"/>
      <c r="L1518" s="213"/>
      <c r="N1518" s="525"/>
      <c r="O1518" s="525"/>
      <c r="P1518" s="525"/>
      <c r="Q1518" s="58"/>
      <c r="R1518" s="58"/>
      <c r="S1518" s="58"/>
    </row>
    <row r="1519" spans="2:19" x14ac:dyDescent="0.2">
      <c r="B1519" s="213"/>
      <c r="C1519" s="213"/>
      <c r="D1519" s="213"/>
      <c r="E1519" s="213"/>
      <c r="F1519" s="213"/>
      <c r="G1519" s="525"/>
      <c r="H1519" s="213"/>
      <c r="I1519" s="213"/>
      <c r="J1519" s="213"/>
      <c r="K1519" s="213"/>
      <c r="L1519" s="213"/>
      <c r="N1519" s="525"/>
      <c r="O1519" s="525"/>
      <c r="P1519" s="525"/>
      <c r="Q1519" s="58"/>
      <c r="R1519" s="58"/>
      <c r="S1519" s="58"/>
    </row>
    <row r="1520" spans="2:19" x14ac:dyDescent="0.2">
      <c r="B1520" s="213"/>
      <c r="C1520" s="213"/>
      <c r="D1520" s="213"/>
      <c r="E1520" s="213"/>
      <c r="F1520" s="213"/>
      <c r="G1520" s="525"/>
      <c r="H1520" s="213"/>
      <c r="I1520" s="213"/>
      <c r="J1520" s="213"/>
      <c r="K1520" s="213"/>
      <c r="L1520" s="213"/>
      <c r="N1520" s="525"/>
      <c r="O1520" s="525"/>
      <c r="P1520" s="525"/>
      <c r="Q1520" s="58"/>
      <c r="R1520" s="58"/>
      <c r="S1520" s="58"/>
    </row>
    <row r="1521" spans="2:19" x14ac:dyDescent="0.2">
      <c r="B1521" s="213"/>
      <c r="C1521" s="213"/>
      <c r="D1521" s="213"/>
      <c r="E1521" s="213"/>
      <c r="F1521" s="213"/>
      <c r="G1521" s="525"/>
      <c r="H1521" s="213"/>
      <c r="I1521" s="213"/>
      <c r="J1521" s="213"/>
      <c r="K1521" s="213"/>
      <c r="L1521" s="213"/>
      <c r="N1521" s="525"/>
      <c r="O1521" s="525"/>
      <c r="P1521" s="525"/>
      <c r="Q1521" s="58"/>
      <c r="R1521" s="58"/>
      <c r="S1521" s="58"/>
    </row>
    <row r="1522" spans="2:19" x14ac:dyDescent="0.2">
      <c r="B1522" s="213"/>
      <c r="C1522" s="213"/>
      <c r="D1522" s="213"/>
      <c r="E1522" s="213"/>
      <c r="F1522" s="213"/>
      <c r="G1522" s="525"/>
      <c r="H1522" s="213"/>
      <c r="I1522" s="213"/>
      <c r="J1522" s="213"/>
      <c r="K1522" s="213"/>
      <c r="L1522" s="213"/>
      <c r="N1522" s="525"/>
      <c r="O1522" s="525"/>
      <c r="P1522" s="525"/>
      <c r="Q1522" s="58"/>
      <c r="R1522" s="58"/>
      <c r="S1522" s="58"/>
    </row>
    <row r="1523" spans="2:19" x14ac:dyDescent="0.2">
      <c r="B1523" s="213"/>
      <c r="C1523" s="213"/>
      <c r="D1523" s="213"/>
      <c r="E1523" s="213"/>
      <c r="F1523" s="213"/>
      <c r="G1523" s="525"/>
      <c r="H1523" s="213"/>
      <c r="I1523" s="213"/>
      <c r="J1523" s="213"/>
      <c r="K1523" s="213"/>
      <c r="L1523" s="213"/>
      <c r="N1523" s="525"/>
      <c r="O1523" s="525"/>
      <c r="P1523" s="525"/>
      <c r="Q1523" s="58"/>
      <c r="R1523" s="58"/>
      <c r="S1523" s="58"/>
    </row>
    <row r="1524" spans="2:19" x14ac:dyDescent="0.2">
      <c r="B1524" s="213"/>
      <c r="C1524" s="213"/>
      <c r="D1524" s="213"/>
      <c r="E1524" s="213"/>
      <c r="F1524" s="213"/>
      <c r="G1524" s="525"/>
      <c r="H1524" s="213"/>
      <c r="I1524" s="213"/>
      <c r="J1524" s="213"/>
      <c r="K1524" s="213"/>
      <c r="L1524" s="213"/>
      <c r="N1524" s="525"/>
      <c r="O1524" s="525"/>
      <c r="P1524" s="525"/>
      <c r="Q1524" s="58"/>
      <c r="R1524" s="58"/>
      <c r="S1524" s="58"/>
    </row>
    <row r="1525" spans="2:19" x14ac:dyDescent="0.2">
      <c r="B1525" s="213"/>
      <c r="C1525" s="213"/>
      <c r="D1525" s="213"/>
      <c r="E1525" s="213"/>
      <c r="F1525" s="213"/>
      <c r="G1525" s="525"/>
      <c r="H1525" s="213"/>
      <c r="I1525" s="213"/>
      <c r="J1525" s="213"/>
      <c r="K1525" s="213"/>
      <c r="L1525" s="213"/>
      <c r="N1525" s="525"/>
      <c r="O1525" s="525"/>
      <c r="P1525" s="525"/>
      <c r="Q1525" s="58"/>
      <c r="R1525" s="58"/>
      <c r="S1525" s="58"/>
    </row>
    <row r="1526" spans="2:19" x14ac:dyDescent="0.2">
      <c r="B1526" s="213"/>
      <c r="C1526" s="213"/>
      <c r="D1526" s="213"/>
      <c r="E1526" s="213"/>
      <c r="F1526" s="213"/>
      <c r="G1526" s="525"/>
      <c r="H1526" s="213"/>
      <c r="I1526" s="213"/>
      <c r="J1526" s="213"/>
      <c r="K1526" s="213"/>
      <c r="L1526" s="213"/>
      <c r="N1526" s="525"/>
      <c r="O1526" s="525"/>
      <c r="P1526" s="525"/>
      <c r="Q1526" s="58"/>
      <c r="R1526" s="58"/>
      <c r="S1526" s="58"/>
    </row>
    <row r="1527" spans="2:19" x14ac:dyDescent="0.2">
      <c r="B1527" s="213"/>
      <c r="C1527" s="213"/>
      <c r="D1527" s="213"/>
      <c r="E1527" s="213"/>
      <c r="F1527" s="213"/>
      <c r="G1527" s="525"/>
      <c r="H1527" s="213"/>
      <c r="I1527" s="213"/>
      <c r="J1527" s="213"/>
      <c r="K1527" s="213"/>
      <c r="L1527" s="213"/>
      <c r="N1527" s="525"/>
      <c r="O1527" s="525"/>
      <c r="P1527" s="525"/>
      <c r="Q1527" s="58"/>
      <c r="R1527" s="58"/>
      <c r="S1527" s="58"/>
    </row>
    <row r="1528" spans="2:19" x14ac:dyDescent="0.2">
      <c r="B1528" s="213"/>
      <c r="C1528" s="213"/>
      <c r="D1528" s="213"/>
      <c r="E1528" s="213"/>
      <c r="F1528" s="213"/>
      <c r="G1528" s="525"/>
      <c r="H1528" s="213"/>
      <c r="I1528" s="213"/>
      <c r="J1528" s="213"/>
      <c r="K1528" s="213"/>
      <c r="L1528" s="213"/>
      <c r="N1528" s="525"/>
      <c r="O1528" s="525"/>
      <c r="P1528" s="525"/>
      <c r="Q1528" s="58"/>
      <c r="R1528" s="58"/>
      <c r="S1528" s="58"/>
    </row>
    <row r="1529" spans="2:19" x14ac:dyDescent="0.2">
      <c r="B1529" s="213"/>
      <c r="C1529" s="213"/>
      <c r="D1529" s="213"/>
      <c r="E1529" s="213"/>
      <c r="F1529" s="213"/>
      <c r="G1529" s="525"/>
      <c r="H1529" s="213"/>
      <c r="I1529" s="213"/>
      <c r="J1529" s="213"/>
      <c r="K1529" s="213"/>
      <c r="L1529" s="213"/>
      <c r="N1529" s="525"/>
      <c r="O1529" s="525"/>
      <c r="P1529" s="525"/>
      <c r="Q1529" s="58"/>
      <c r="R1529" s="58"/>
      <c r="S1529" s="58"/>
    </row>
    <row r="1530" spans="2:19" x14ac:dyDescent="0.2">
      <c r="B1530" s="213"/>
      <c r="C1530" s="213"/>
      <c r="D1530" s="213"/>
      <c r="E1530" s="213"/>
      <c r="F1530" s="213"/>
      <c r="G1530" s="525"/>
      <c r="H1530" s="213"/>
      <c r="I1530" s="213"/>
      <c r="J1530" s="213"/>
      <c r="K1530" s="213"/>
      <c r="L1530" s="213"/>
      <c r="N1530" s="525"/>
      <c r="O1530" s="525"/>
      <c r="P1530" s="525"/>
      <c r="Q1530" s="58"/>
      <c r="R1530" s="58"/>
      <c r="S1530" s="58"/>
    </row>
    <row r="1531" spans="2:19" x14ac:dyDescent="0.2">
      <c r="B1531" s="213"/>
      <c r="C1531" s="213"/>
      <c r="D1531" s="213"/>
      <c r="E1531" s="213"/>
      <c r="F1531" s="213"/>
      <c r="G1531" s="525"/>
      <c r="H1531" s="213"/>
      <c r="I1531" s="213"/>
      <c r="J1531" s="213"/>
      <c r="K1531" s="213"/>
      <c r="L1531" s="213"/>
      <c r="N1531" s="525"/>
      <c r="O1531" s="525"/>
      <c r="P1531" s="525"/>
      <c r="Q1531" s="58"/>
      <c r="R1531" s="58"/>
      <c r="S1531" s="58"/>
    </row>
    <row r="1532" spans="2:19" x14ac:dyDescent="0.2">
      <c r="B1532" s="213"/>
      <c r="C1532" s="213"/>
      <c r="D1532" s="213"/>
      <c r="E1532" s="213"/>
      <c r="F1532" s="213"/>
      <c r="G1532" s="525"/>
      <c r="H1532" s="213"/>
      <c r="I1532" s="213"/>
      <c r="J1532" s="213"/>
      <c r="K1532" s="213"/>
      <c r="L1532" s="213"/>
      <c r="N1532" s="525"/>
      <c r="O1532" s="525"/>
      <c r="P1532" s="525"/>
      <c r="Q1532" s="58"/>
      <c r="R1532" s="58"/>
      <c r="S1532" s="58"/>
    </row>
    <row r="1533" spans="2:19" x14ac:dyDescent="0.2">
      <c r="B1533" s="213"/>
      <c r="C1533" s="213"/>
      <c r="D1533" s="213"/>
      <c r="E1533" s="213"/>
      <c r="F1533" s="213"/>
      <c r="G1533" s="525"/>
      <c r="H1533" s="213"/>
      <c r="I1533" s="213"/>
      <c r="J1533" s="213"/>
      <c r="K1533" s="213"/>
      <c r="L1533" s="213"/>
      <c r="N1533" s="525"/>
      <c r="O1533" s="525"/>
      <c r="P1533" s="525"/>
      <c r="Q1533" s="58"/>
      <c r="R1533" s="58"/>
      <c r="S1533" s="58"/>
    </row>
    <row r="1534" spans="2:19" x14ac:dyDescent="0.2">
      <c r="B1534" s="213"/>
      <c r="C1534" s="213"/>
      <c r="D1534" s="213"/>
      <c r="E1534" s="213"/>
      <c r="F1534" s="213"/>
      <c r="G1534" s="525"/>
      <c r="H1534" s="213"/>
      <c r="I1534" s="213"/>
      <c r="J1534" s="213"/>
      <c r="K1534" s="213"/>
      <c r="L1534" s="213"/>
      <c r="N1534" s="525"/>
      <c r="O1534" s="525"/>
      <c r="P1534" s="525"/>
      <c r="Q1534" s="58"/>
      <c r="R1534" s="58"/>
      <c r="S1534" s="58"/>
    </row>
    <row r="1535" spans="2:19" x14ac:dyDescent="0.2">
      <c r="B1535" s="213"/>
      <c r="C1535" s="213"/>
      <c r="D1535" s="213"/>
      <c r="E1535" s="213"/>
      <c r="F1535" s="213"/>
      <c r="G1535" s="525"/>
      <c r="H1535" s="213"/>
      <c r="I1535" s="213"/>
      <c r="J1535" s="213"/>
      <c r="K1535" s="213"/>
      <c r="L1535" s="213"/>
      <c r="N1535" s="525"/>
      <c r="O1535" s="525"/>
      <c r="P1535" s="525"/>
      <c r="Q1535" s="58"/>
      <c r="R1535" s="58"/>
      <c r="S1535" s="58"/>
    </row>
    <row r="1536" spans="2:19" x14ac:dyDescent="0.2">
      <c r="B1536" s="213"/>
      <c r="C1536" s="213"/>
      <c r="D1536" s="213"/>
      <c r="E1536" s="213"/>
      <c r="F1536" s="213"/>
      <c r="G1536" s="525"/>
      <c r="H1536" s="213"/>
      <c r="I1536" s="213"/>
      <c r="J1536" s="213"/>
      <c r="K1536" s="213"/>
      <c r="L1536" s="213"/>
      <c r="N1536" s="525"/>
      <c r="O1536" s="525"/>
      <c r="P1536" s="525"/>
      <c r="Q1536" s="58"/>
      <c r="R1536" s="58"/>
      <c r="S1536" s="58"/>
    </row>
    <row r="1537" spans="2:19" x14ac:dyDescent="0.2">
      <c r="B1537" s="213"/>
      <c r="C1537" s="213"/>
      <c r="D1537" s="213"/>
      <c r="E1537" s="213"/>
      <c r="F1537" s="213"/>
      <c r="G1537" s="525"/>
      <c r="H1537" s="213"/>
      <c r="I1537" s="213"/>
      <c r="J1537" s="213"/>
      <c r="K1537" s="213"/>
      <c r="L1537" s="213"/>
      <c r="N1537" s="525"/>
      <c r="O1537" s="525"/>
      <c r="P1537" s="525"/>
      <c r="Q1537" s="58"/>
      <c r="R1537" s="58"/>
      <c r="S1537" s="58"/>
    </row>
    <row r="1538" spans="2:19" x14ac:dyDescent="0.2">
      <c r="B1538" s="213"/>
      <c r="C1538" s="213"/>
      <c r="D1538" s="213"/>
      <c r="E1538" s="213"/>
      <c r="F1538" s="213"/>
      <c r="G1538" s="525"/>
      <c r="H1538" s="213"/>
      <c r="I1538" s="213"/>
      <c r="J1538" s="213"/>
      <c r="K1538" s="213"/>
      <c r="L1538" s="213"/>
      <c r="N1538" s="525"/>
      <c r="O1538" s="525"/>
      <c r="P1538" s="525"/>
      <c r="Q1538" s="58"/>
      <c r="R1538" s="58"/>
      <c r="S1538" s="58"/>
    </row>
    <row r="1539" spans="2:19" x14ac:dyDescent="0.2">
      <c r="B1539" s="213"/>
      <c r="C1539" s="213"/>
      <c r="D1539" s="213"/>
      <c r="E1539" s="213"/>
      <c r="F1539" s="213"/>
      <c r="G1539" s="525"/>
      <c r="H1539" s="213"/>
      <c r="I1539" s="213"/>
      <c r="J1539" s="213"/>
      <c r="K1539" s="213"/>
      <c r="L1539" s="213"/>
      <c r="N1539" s="525"/>
      <c r="O1539" s="525"/>
      <c r="P1539" s="525"/>
      <c r="Q1539" s="58"/>
      <c r="R1539" s="58"/>
      <c r="S1539" s="58"/>
    </row>
    <row r="1540" spans="2:19" x14ac:dyDescent="0.2">
      <c r="B1540" s="213"/>
      <c r="C1540" s="213"/>
      <c r="D1540" s="213"/>
      <c r="E1540" s="213"/>
      <c r="F1540" s="213"/>
      <c r="G1540" s="525"/>
      <c r="H1540" s="213"/>
      <c r="I1540" s="213"/>
      <c r="J1540" s="213"/>
      <c r="K1540" s="213"/>
      <c r="L1540" s="213"/>
      <c r="N1540" s="525"/>
      <c r="O1540" s="525"/>
      <c r="P1540" s="525"/>
      <c r="Q1540" s="58"/>
      <c r="R1540" s="58"/>
      <c r="S1540" s="58"/>
    </row>
    <row r="1541" spans="2:19" x14ac:dyDescent="0.2">
      <c r="B1541" s="213"/>
      <c r="C1541" s="213"/>
      <c r="D1541" s="213"/>
      <c r="E1541" s="213"/>
      <c r="F1541" s="213"/>
      <c r="G1541" s="525"/>
      <c r="H1541" s="213"/>
      <c r="I1541" s="213"/>
      <c r="J1541" s="213"/>
      <c r="K1541" s="213"/>
      <c r="L1541" s="213"/>
      <c r="N1541" s="525"/>
      <c r="O1541" s="525"/>
      <c r="P1541" s="525"/>
      <c r="Q1541" s="58"/>
      <c r="R1541" s="58"/>
      <c r="S1541" s="58"/>
    </row>
    <row r="1542" spans="2:19" x14ac:dyDescent="0.2">
      <c r="B1542" s="213"/>
      <c r="C1542" s="213"/>
      <c r="D1542" s="213"/>
      <c r="E1542" s="213"/>
      <c r="F1542" s="213"/>
      <c r="G1542" s="525"/>
      <c r="H1542" s="213"/>
      <c r="I1542" s="213"/>
      <c r="J1542" s="213"/>
      <c r="K1542" s="213"/>
      <c r="L1542" s="213"/>
      <c r="N1542" s="525"/>
      <c r="O1542" s="525"/>
      <c r="P1542" s="525"/>
      <c r="Q1542" s="58"/>
      <c r="R1542" s="58"/>
      <c r="S1542" s="58"/>
    </row>
    <row r="1543" spans="2:19" x14ac:dyDescent="0.2">
      <c r="B1543" s="213"/>
      <c r="C1543" s="213"/>
      <c r="D1543" s="213"/>
      <c r="E1543" s="213"/>
      <c r="F1543" s="213"/>
      <c r="G1543" s="525"/>
      <c r="H1543" s="213"/>
      <c r="I1543" s="213"/>
      <c r="J1543" s="213"/>
      <c r="K1543" s="213"/>
      <c r="L1543" s="213"/>
      <c r="N1543" s="525"/>
      <c r="O1543" s="525"/>
      <c r="P1543" s="525"/>
      <c r="Q1543" s="58"/>
      <c r="R1543" s="58"/>
      <c r="S1543" s="58"/>
    </row>
    <row r="1544" spans="2:19" x14ac:dyDescent="0.2">
      <c r="B1544" s="213"/>
      <c r="C1544" s="213"/>
      <c r="D1544" s="213"/>
      <c r="E1544" s="213"/>
      <c r="F1544" s="213"/>
      <c r="G1544" s="525"/>
      <c r="H1544" s="213"/>
      <c r="I1544" s="213"/>
      <c r="J1544" s="213"/>
      <c r="K1544" s="213"/>
      <c r="L1544" s="213"/>
      <c r="N1544" s="525"/>
      <c r="O1544" s="525"/>
      <c r="P1544" s="525"/>
      <c r="Q1544" s="58"/>
      <c r="R1544" s="58"/>
      <c r="S1544" s="58"/>
    </row>
    <row r="1545" spans="2:19" x14ac:dyDescent="0.2">
      <c r="B1545" s="213"/>
      <c r="C1545" s="213"/>
      <c r="D1545" s="213"/>
      <c r="E1545" s="213"/>
      <c r="F1545" s="213"/>
      <c r="G1545" s="525"/>
      <c r="H1545" s="213"/>
      <c r="I1545" s="213"/>
      <c r="J1545" s="213"/>
      <c r="K1545" s="213"/>
      <c r="L1545" s="213"/>
      <c r="N1545" s="525"/>
      <c r="O1545" s="525"/>
      <c r="P1545" s="525"/>
      <c r="Q1545" s="58"/>
      <c r="R1545" s="58"/>
      <c r="S1545" s="58"/>
    </row>
    <row r="1546" spans="2:19" x14ac:dyDescent="0.2">
      <c r="B1546" s="213"/>
      <c r="C1546" s="213"/>
      <c r="D1546" s="213"/>
      <c r="E1546" s="213"/>
      <c r="F1546" s="213"/>
      <c r="G1546" s="525"/>
      <c r="H1546" s="213"/>
      <c r="I1546" s="213"/>
      <c r="J1546" s="213"/>
      <c r="K1546" s="213"/>
      <c r="L1546" s="213"/>
      <c r="N1546" s="525"/>
      <c r="O1546" s="525"/>
      <c r="P1546" s="525"/>
      <c r="Q1546" s="58"/>
      <c r="R1546" s="58"/>
      <c r="S1546" s="58"/>
    </row>
    <row r="1547" spans="2:19" x14ac:dyDescent="0.2">
      <c r="B1547" s="213"/>
      <c r="C1547" s="213"/>
      <c r="D1547" s="213"/>
      <c r="E1547" s="213"/>
      <c r="F1547" s="213"/>
      <c r="G1547" s="525"/>
      <c r="H1547" s="213"/>
      <c r="I1547" s="213"/>
      <c r="J1547" s="213"/>
      <c r="K1547" s="213"/>
      <c r="L1547" s="213"/>
      <c r="N1547" s="525"/>
      <c r="O1547" s="525"/>
      <c r="P1547" s="525"/>
      <c r="Q1547" s="58"/>
      <c r="R1547" s="58"/>
      <c r="S1547" s="58"/>
    </row>
    <row r="1548" spans="2:19" x14ac:dyDescent="0.2">
      <c r="B1548" s="213"/>
      <c r="C1548" s="213"/>
      <c r="D1548" s="213"/>
      <c r="E1548" s="213"/>
      <c r="F1548" s="213"/>
      <c r="G1548" s="525"/>
      <c r="H1548" s="213"/>
      <c r="I1548" s="213"/>
      <c r="J1548" s="213"/>
      <c r="K1548" s="213"/>
      <c r="L1548" s="213"/>
      <c r="N1548" s="525"/>
      <c r="O1548" s="525"/>
      <c r="P1548" s="525"/>
      <c r="Q1548" s="58"/>
      <c r="R1548" s="58"/>
      <c r="S1548" s="58"/>
    </row>
    <row r="1549" spans="2:19" x14ac:dyDescent="0.2">
      <c r="B1549" s="213"/>
      <c r="C1549" s="213"/>
      <c r="D1549" s="213"/>
      <c r="E1549" s="213"/>
      <c r="F1549" s="213"/>
      <c r="G1549" s="525"/>
      <c r="H1549" s="213"/>
      <c r="I1549" s="213"/>
      <c r="J1549" s="213"/>
      <c r="K1549" s="213"/>
      <c r="L1549" s="213"/>
      <c r="N1549" s="525"/>
      <c r="O1549" s="525"/>
      <c r="P1549" s="525"/>
      <c r="Q1549" s="58"/>
      <c r="R1549" s="58"/>
      <c r="S1549" s="58"/>
    </row>
    <row r="1550" spans="2:19" x14ac:dyDescent="0.2">
      <c r="B1550" s="213"/>
      <c r="C1550" s="213"/>
      <c r="D1550" s="213"/>
      <c r="E1550" s="213"/>
      <c r="F1550" s="213"/>
      <c r="G1550" s="525"/>
      <c r="H1550" s="213"/>
      <c r="I1550" s="213"/>
      <c r="J1550" s="213"/>
      <c r="K1550" s="213"/>
      <c r="L1550" s="213"/>
      <c r="N1550" s="525"/>
      <c r="O1550" s="525"/>
      <c r="P1550" s="525"/>
      <c r="Q1550" s="58"/>
      <c r="R1550" s="58"/>
      <c r="S1550" s="58"/>
    </row>
    <row r="1551" spans="2:19" x14ac:dyDescent="0.2">
      <c r="B1551" s="213"/>
      <c r="C1551" s="213"/>
      <c r="D1551" s="213"/>
      <c r="E1551" s="213"/>
      <c r="F1551" s="213"/>
      <c r="G1551" s="525"/>
      <c r="H1551" s="213"/>
      <c r="I1551" s="213"/>
      <c r="J1551" s="213"/>
      <c r="K1551" s="213"/>
      <c r="L1551" s="213"/>
      <c r="N1551" s="525"/>
      <c r="O1551" s="525"/>
      <c r="P1551" s="525"/>
      <c r="Q1551" s="58"/>
      <c r="R1551" s="58"/>
      <c r="S1551" s="58"/>
    </row>
    <row r="1552" spans="2:19" x14ac:dyDescent="0.2">
      <c r="B1552" s="213"/>
      <c r="C1552" s="213"/>
      <c r="D1552" s="213"/>
      <c r="E1552" s="213"/>
      <c r="F1552" s="213"/>
      <c r="G1552" s="525"/>
      <c r="H1552" s="213"/>
      <c r="I1552" s="213"/>
      <c r="J1552" s="213"/>
      <c r="K1552" s="213"/>
      <c r="L1552" s="213"/>
      <c r="N1552" s="525"/>
      <c r="O1552" s="525"/>
      <c r="P1552" s="525"/>
      <c r="Q1552" s="58"/>
      <c r="R1552" s="58"/>
      <c r="S1552" s="58"/>
    </row>
    <row r="1553" spans="2:19" x14ac:dyDescent="0.2">
      <c r="B1553" s="213"/>
      <c r="C1553" s="213"/>
      <c r="D1553" s="213"/>
      <c r="E1553" s="213"/>
      <c r="F1553" s="213"/>
      <c r="G1553" s="525"/>
      <c r="H1553" s="213"/>
      <c r="I1553" s="213"/>
      <c r="J1553" s="213"/>
      <c r="K1553" s="213"/>
      <c r="L1553" s="213"/>
      <c r="N1553" s="525"/>
      <c r="O1553" s="525"/>
      <c r="P1553" s="525"/>
      <c r="Q1553" s="58"/>
      <c r="R1553" s="58"/>
      <c r="S1553" s="58"/>
    </row>
    <row r="1554" spans="2:19" x14ac:dyDescent="0.2">
      <c r="B1554" s="213"/>
      <c r="C1554" s="213"/>
      <c r="D1554" s="213"/>
      <c r="E1554" s="213"/>
      <c r="F1554" s="213"/>
      <c r="G1554" s="525"/>
      <c r="H1554" s="213"/>
      <c r="I1554" s="213"/>
      <c r="J1554" s="213"/>
      <c r="K1554" s="213"/>
      <c r="L1554" s="213"/>
      <c r="N1554" s="525"/>
      <c r="O1554" s="525"/>
      <c r="P1554" s="525"/>
      <c r="Q1554" s="58"/>
      <c r="R1554" s="58"/>
      <c r="S1554" s="58"/>
    </row>
    <row r="1555" spans="2:19" x14ac:dyDescent="0.2">
      <c r="B1555" s="213"/>
      <c r="C1555" s="213"/>
      <c r="D1555" s="213"/>
      <c r="E1555" s="213"/>
      <c r="F1555" s="213"/>
      <c r="G1555" s="525"/>
      <c r="H1555" s="213"/>
      <c r="I1555" s="213"/>
      <c r="J1555" s="213"/>
      <c r="K1555" s="213"/>
      <c r="L1555" s="213"/>
      <c r="N1555" s="525"/>
      <c r="O1555" s="525"/>
      <c r="P1555" s="525"/>
      <c r="Q1555" s="58"/>
      <c r="R1555" s="58"/>
      <c r="S1555" s="58"/>
    </row>
    <row r="1556" spans="2:19" x14ac:dyDescent="0.2">
      <c r="B1556" s="213"/>
      <c r="C1556" s="213"/>
      <c r="D1556" s="213"/>
      <c r="E1556" s="213"/>
      <c r="F1556" s="213"/>
      <c r="G1556" s="525"/>
      <c r="H1556" s="213"/>
      <c r="I1556" s="213"/>
      <c r="J1556" s="213"/>
      <c r="K1556" s="213"/>
      <c r="L1556" s="213"/>
      <c r="N1556" s="525"/>
      <c r="O1556" s="525"/>
      <c r="P1556" s="525"/>
      <c r="Q1556" s="58"/>
      <c r="R1556" s="58"/>
      <c r="S1556" s="58"/>
    </row>
    <row r="1557" spans="2:19" x14ac:dyDescent="0.2">
      <c r="B1557" s="213"/>
      <c r="C1557" s="213"/>
      <c r="D1557" s="213"/>
      <c r="E1557" s="213"/>
      <c r="F1557" s="213"/>
      <c r="G1557" s="525"/>
      <c r="H1557" s="213"/>
      <c r="I1557" s="213"/>
      <c r="J1557" s="213"/>
      <c r="K1557" s="213"/>
      <c r="L1557" s="213"/>
      <c r="N1557" s="525"/>
      <c r="O1557" s="525"/>
      <c r="P1557" s="525"/>
      <c r="Q1557" s="58"/>
      <c r="R1557" s="58"/>
      <c r="S1557" s="58"/>
    </row>
    <row r="1558" spans="2:19" x14ac:dyDescent="0.2">
      <c r="B1558" s="213"/>
      <c r="C1558" s="213"/>
      <c r="D1558" s="213"/>
      <c r="E1558" s="213"/>
      <c r="F1558" s="213"/>
      <c r="G1558" s="525"/>
      <c r="H1558" s="213"/>
      <c r="I1558" s="213"/>
      <c r="J1558" s="213"/>
      <c r="K1558" s="213"/>
      <c r="L1558" s="213"/>
      <c r="N1558" s="525"/>
      <c r="O1558" s="525"/>
      <c r="P1558" s="525"/>
      <c r="Q1558" s="58"/>
      <c r="R1558" s="58"/>
      <c r="S1558" s="58"/>
    </row>
    <row r="1559" spans="2:19" x14ac:dyDescent="0.2">
      <c r="B1559" s="213"/>
      <c r="C1559" s="213"/>
      <c r="D1559" s="213"/>
      <c r="E1559" s="213"/>
      <c r="F1559" s="213"/>
      <c r="G1559" s="525"/>
      <c r="H1559" s="213"/>
      <c r="I1559" s="213"/>
      <c r="J1559" s="213"/>
      <c r="K1559" s="213"/>
      <c r="L1559" s="213"/>
      <c r="N1559" s="525"/>
      <c r="O1559" s="525"/>
      <c r="P1559" s="525"/>
      <c r="Q1559" s="58"/>
      <c r="R1559" s="58"/>
      <c r="S1559" s="58"/>
    </row>
    <row r="1560" spans="2:19" x14ac:dyDescent="0.2">
      <c r="B1560" s="213"/>
      <c r="C1560" s="213"/>
      <c r="D1560" s="213"/>
      <c r="E1560" s="213"/>
      <c r="F1560" s="213"/>
      <c r="G1560" s="525"/>
      <c r="H1560" s="213"/>
      <c r="I1560" s="213"/>
      <c r="J1560" s="213"/>
      <c r="K1560" s="213"/>
      <c r="L1560" s="213"/>
      <c r="N1560" s="525"/>
      <c r="O1560" s="525"/>
      <c r="P1560" s="525"/>
      <c r="Q1560" s="58"/>
      <c r="R1560" s="58"/>
      <c r="S1560" s="58"/>
    </row>
    <row r="1561" spans="2:19" x14ac:dyDescent="0.2">
      <c r="B1561" s="213"/>
      <c r="C1561" s="213"/>
      <c r="D1561" s="213"/>
      <c r="E1561" s="213"/>
      <c r="F1561" s="213"/>
      <c r="G1561" s="525"/>
      <c r="H1561" s="213"/>
      <c r="I1561" s="213"/>
      <c r="J1561" s="213"/>
      <c r="K1561" s="213"/>
      <c r="L1561" s="213"/>
      <c r="N1561" s="525"/>
      <c r="O1561" s="525"/>
      <c r="P1561" s="525"/>
      <c r="Q1561" s="58"/>
      <c r="R1561" s="58"/>
      <c r="S1561" s="58"/>
    </row>
    <row r="1562" spans="2:19" x14ac:dyDescent="0.2">
      <c r="B1562" s="213"/>
      <c r="C1562" s="213"/>
      <c r="D1562" s="213"/>
      <c r="E1562" s="213"/>
      <c r="F1562" s="213"/>
      <c r="G1562" s="525"/>
      <c r="H1562" s="213"/>
      <c r="I1562" s="213"/>
      <c r="J1562" s="213"/>
      <c r="K1562" s="213"/>
      <c r="L1562" s="213"/>
      <c r="N1562" s="525"/>
      <c r="O1562" s="525"/>
      <c r="P1562" s="525"/>
      <c r="Q1562" s="58"/>
      <c r="R1562" s="58"/>
      <c r="S1562" s="58"/>
    </row>
    <row r="1563" spans="2:19" x14ac:dyDescent="0.2">
      <c r="B1563" s="213"/>
      <c r="C1563" s="213"/>
      <c r="D1563" s="213"/>
      <c r="E1563" s="213"/>
      <c r="F1563" s="213"/>
      <c r="G1563" s="525"/>
      <c r="H1563" s="213"/>
      <c r="I1563" s="213"/>
      <c r="J1563" s="213"/>
      <c r="K1563" s="213"/>
      <c r="L1563" s="213"/>
      <c r="N1563" s="525"/>
      <c r="O1563" s="525"/>
      <c r="P1563" s="525"/>
      <c r="Q1563" s="58"/>
      <c r="R1563" s="58"/>
      <c r="S1563" s="58"/>
    </row>
    <row r="1564" spans="2:19" x14ac:dyDescent="0.2">
      <c r="B1564" s="213"/>
      <c r="C1564" s="213"/>
      <c r="D1564" s="213"/>
      <c r="E1564" s="213"/>
      <c r="F1564" s="213"/>
      <c r="G1564" s="525"/>
      <c r="H1564" s="213"/>
      <c r="I1564" s="213"/>
      <c r="J1564" s="213"/>
      <c r="K1564" s="213"/>
      <c r="L1564" s="213"/>
      <c r="N1564" s="525"/>
      <c r="O1564" s="525"/>
      <c r="P1564" s="525"/>
      <c r="Q1564" s="58"/>
      <c r="R1564" s="58"/>
      <c r="S1564" s="58"/>
    </row>
    <row r="1565" spans="2:19" x14ac:dyDescent="0.2">
      <c r="B1565" s="213"/>
      <c r="C1565" s="213"/>
      <c r="D1565" s="213"/>
      <c r="E1565" s="213"/>
      <c r="F1565" s="213"/>
      <c r="G1565" s="525"/>
      <c r="H1565" s="213"/>
      <c r="I1565" s="213"/>
      <c r="J1565" s="213"/>
      <c r="K1565" s="213"/>
      <c r="L1565" s="213"/>
      <c r="N1565" s="525"/>
      <c r="O1565" s="525"/>
      <c r="P1565" s="525"/>
      <c r="Q1565" s="58"/>
      <c r="R1565" s="58"/>
      <c r="S1565" s="58"/>
    </row>
    <row r="1566" spans="2:19" x14ac:dyDescent="0.2">
      <c r="B1566" s="213"/>
      <c r="C1566" s="213"/>
      <c r="D1566" s="213"/>
      <c r="E1566" s="213"/>
      <c r="F1566" s="213"/>
      <c r="G1566" s="525"/>
      <c r="H1566" s="213"/>
      <c r="I1566" s="213"/>
      <c r="J1566" s="213"/>
      <c r="K1566" s="213"/>
      <c r="L1566" s="213"/>
      <c r="N1566" s="525"/>
      <c r="O1566" s="525"/>
      <c r="P1566" s="525"/>
      <c r="Q1566" s="58"/>
      <c r="R1566" s="58"/>
      <c r="S1566" s="58"/>
    </row>
    <row r="1567" spans="2:19" x14ac:dyDescent="0.2">
      <c r="B1567" s="213"/>
      <c r="C1567" s="213"/>
      <c r="D1567" s="213"/>
      <c r="E1567" s="213"/>
      <c r="F1567" s="213"/>
      <c r="G1567" s="525"/>
      <c r="H1567" s="213"/>
      <c r="I1567" s="213"/>
      <c r="J1567" s="213"/>
      <c r="K1567" s="213"/>
      <c r="L1567" s="213"/>
      <c r="N1567" s="525"/>
      <c r="O1567" s="525"/>
      <c r="P1567" s="525"/>
      <c r="Q1567" s="58"/>
      <c r="R1567" s="58"/>
      <c r="S1567" s="58"/>
    </row>
    <row r="1568" spans="2:19" x14ac:dyDescent="0.2">
      <c r="B1568" s="213"/>
      <c r="C1568" s="213"/>
      <c r="D1568" s="213"/>
      <c r="E1568" s="213"/>
      <c r="F1568" s="213"/>
      <c r="G1568" s="525"/>
      <c r="H1568" s="213"/>
      <c r="I1568" s="213"/>
      <c r="J1568" s="213"/>
      <c r="K1568" s="213"/>
      <c r="L1568" s="213"/>
      <c r="N1568" s="525"/>
      <c r="O1568" s="525"/>
      <c r="P1568" s="525"/>
      <c r="Q1568" s="58"/>
      <c r="R1568" s="58"/>
      <c r="S1568" s="58"/>
    </row>
    <row r="1569" spans="2:19" x14ac:dyDescent="0.2">
      <c r="B1569" s="213"/>
      <c r="C1569" s="213"/>
      <c r="D1569" s="213"/>
      <c r="E1569" s="213"/>
      <c r="F1569" s="213"/>
      <c r="G1569" s="525"/>
      <c r="H1569" s="213"/>
      <c r="I1569" s="213"/>
      <c r="J1569" s="213"/>
      <c r="K1569" s="213"/>
      <c r="L1569" s="213"/>
      <c r="N1569" s="525"/>
      <c r="O1569" s="525"/>
      <c r="P1569" s="525"/>
      <c r="Q1569" s="58"/>
      <c r="R1569" s="58"/>
      <c r="S1569" s="58"/>
    </row>
    <row r="1570" spans="2:19" x14ac:dyDescent="0.2">
      <c r="B1570" s="213"/>
      <c r="C1570" s="213"/>
      <c r="D1570" s="213"/>
      <c r="E1570" s="213"/>
      <c r="F1570" s="213"/>
      <c r="G1570" s="525"/>
      <c r="H1570" s="213"/>
      <c r="I1570" s="213"/>
      <c r="J1570" s="213"/>
      <c r="K1570" s="213"/>
      <c r="L1570" s="213"/>
      <c r="N1570" s="525"/>
      <c r="O1570" s="525"/>
      <c r="P1570" s="525"/>
      <c r="Q1570" s="58"/>
      <c r="R1570" s="58"/>
      <c r="S1570" s="58"/>
    </row>
    <row r="1571" spans="2:19" x14ac:dyDescent="0.2">
      <c r="B1571" s="213"/>
      <c r="C1571" s="213"/>
      <c r="D1571" s="213"/>
      <c r="E1571" s="213"/>
      <c r="F1571" s="213"/>
      <c r="G1571" s="525"/>
      <c r="H1571" s="213"/>
      <c r="I1571" s="213"/>
      <c r="J1571" s="213"/>
      <c r="K1571" s="213"/>
      <c r="L1571" s="213"/>
      <c r="N1571" s="525"/>
      <c r="O1571" s="525"/>
      <c r="P1571" s="525"/>
      <c r="Q1571" s="58"/>
      <c r="R1571" s="58"/>
      <c r="S1571" s="58"/>
    </row>
    <row r="1572" spans="2:19" x14ac:dyDescent="0.2">
      <c r="B1572" s="213"/>
      <c r="C1572" s="213"/>
      <c r="D1572" s="213"/>
      <c r="E1572" s="213"/>
      <c r="F1572" s="213"/>
      <c r="G1572" s="525"/>
      <c r="H1572" s="213"/>
      <c r="I1572" s="213"/>
      <c r="J1572" s="213"/>
      <c r="K1572" s="213"/>
      <c r="L1572" s="213"/>
      <c r="N1572" s="525"/>
      <c r="O1572" s="525"/>
      <c r="P1572" s="525"/>
      <c r="Q1572" s="58"/>
      <c r="R1572" s="58"/>
      <c r="S1572" s="58"/>
    </row>
    <row r="1573" spans="2:19" x14ac:dyDescent="0.2">
      <c r="B1573" s="213"/>
      <c r="C1573" s="213"/>
      <c r="D1573" s="213"/>
      <c r="E1573" s="213"/>
      <c r="F1573" s="213"/>
      <c r="G1573" s="525"/>
      <c r="H1573" s="213"/>
      <c r="I1573" s="213"/>
      <c r="J1573" s="213"/>
      <c r="K1573" s="213"/>
      <c r="L1573" s="213"/>
      <c r="N1573" s="525"/>
      <c r="O1573" s="525"/>
      <c r="P1573" s="525"/>
      <c r="Q1573" s="58"/>
      <c r="R1573" s="58"/>
      <c r="S1573" s="58"/>
    </row>
    <row r="1574" spans="2:19" x14ac:dyDescent="0.2">
      <c r="B1574" s="213"/>
      <c r="C1574" s="213"/>
      <c r="D1574" s="213"/>
      <c r="E1574" s="213"/>
      <c r="F1574" s="213"/>
      <c r="G1574" s="525"/>
      <c r="H1574" s="213"/>
      <c r="I1574" s="213"/>
      <c r="J1574" s="213"/>
      <c r="K1574" s="213"/>
      <c r="L1574" s="213"/>
      <c r="N1574" s="525"/>
      <c r="O1574" s="525"/>
      <c r="P1574" s="525"/>
      <c r="Q1574" s="58"/>
      <c r="R1574" s="58"/>
      <c r="S1574" s="58"/>
    </row>
    <row r="1575" spans="2:19" x14ac:dyDescent="0.2">
      <c r="B1575" s="213"/>
      <c r="C1575" s="213"/>
      <c r="D1575" s="213"/>
      <c r="E1575" s="213"/>
      <c r="F1575" s="213"/>
      <c r="G1575" s="525"/>
      <c r="H1575" s="213"/>
      <c r="I1575" s="213"/>
      <c r="J1575" s="213"/>
      <c r="K1575" s="213"/>
      <c r="L1575" s="213"/>
      <c r="N1575" s="525"/>
      <c r="O1575" s="525"/>
      <c r="P1575" s="525"/>
      <c r="Q1575" s="58"/>
      <c r="R1575" s="58"/>
      <c r="S1575" s="58"/>
    </row>
    <row r="1576" spans="2:19" x14ac:dyDescent="0.2">
      <c r="B1576" s="213"/>
      <c r="C1576" s="213"/>
      <c r="D1576" s="213"/>
      <c r="E1576" s="213"/>
      <c r="F1576" s="213"/>
      <c r="G1576" s="525"/>
      <c r="H1576" s="213"/>
      <c r="I1576" s="213"/>
      <c r="J1576" s="213"/>
      <c r="K1576" s="213"/>
      <c r="L1576" s="213"/>
      <c r="N1576" s="525"/>
      <c r="O1576" s="525"/>
      <c r="P1576" s="525"/>
      <c r="Q1576" s="58"/>
      <c r="R1576" s="58"/>
      <c r="S1576" s="58"/>
    </row>
    <row r="1577" spans="2:19" x14ac:dyDescent="0.2">
      <c r="B1577" s="213"/>
      <c r="C1577" s="213"/>
      <c r="D1577" s="213"/>
      <c r="E1577" s="213"/>
      <c r="F1577" s="213"/>
      <c r="G1577" s="525"/>
      <c r="H1577" s="213"/>
      <c r="I1577" s="213"/>
      <c r="J1577" s="213"/>
      <c r="K1577" s="213"/>
      <c r="L1577" s="213"/>
      <c r="N1577" s="525"/>
      <c r="O1577" s="525"/>
      <c r="P1577" s="525"/>
      <c r="Q1577" s="58"/>
      <c r="R1577" s="58"/>
      <c r="S1577" s="58"/>
    </row>
    <row r="1578" spans="2:19" x14ac:dyDescent="0.2">
      <c r="B1578" s="213"/>
      <c r="C1578" s="213"/>
      <c r="D1578" s="213"/>
      <c r="E1578" s="213"/>
      <c r="F1578" s="213"/>
      <c r="G1578" s="525"/>
      <c r="H1578" s="213"/>
      <c r="I1578" s="213"/>
      <c r="J1578" s="213"/>
      <c r="K1578" s="213"/>
      <c r="L1578" s="213"/>
      <c r="N1578" s="525"/>
      <c r="O1578" s="525"/>
      <c r="P1578" s="525"/>
      <c r="Q1578" s="58"/>
      <c r="R1578" s="58"/>
      <c r="S1578" s="58"/>
    </row>
    <row r="1579" spans="2:19" x14ac:dyDescent="0.2">
      <c r="B1579" s="213"/>
      <c r="C1579" s="213"/>
      <c r="D1579" s="213"/>
      <c r="E1579" s="213"/>
      <c r="F1579" s="213"/>
      <c r="G1579" s="525"/>
      <c r="H1579" s="213"/>
      <c r="I1579" s="213"/>
      <c r="J1579" s="213"/>
      <c r="K1579" s="213"/>
      <c r="L1579" s="213"/>
      <c r="N1579" s="525"/>
      <c r="O1579" s="525"/>
      <c r="P1579" s="525"/>
      <c r="Q1579" s="58"/>
      <c r="R1579" s="58"/>
      <c r="S1579" s="58"/>
    </row>
    <row r="1580" spans="2:19" x14ac:dyDescent="0.2">
      <c r="B1580" s="213"/>
      <c r="C1580" s="213"/>
      <c r="D1580" s="213"/>
      <c r="E1580" s="213"/>
      <c r="F1580" s="213"/>
      <c r="G1580" s="525"/>
      <c r="H1580" s="213"/>
      <c r="I1580" s="213"/>
      <c r="J1580" s="213"/>
      <c r="K1580" s="213"/>
      <c r="L1580" s="213"/>
      <c r="N1580" s="525"/>
      <c r="O1580" s="525"/>
      <c r="P1580" s="525"/>
      <c r="Q1580" s="58"/>
      <c r="R1580" s="58"/>
      <c r="S1580" s="58"/>
    </row>
    <row r="1581" spans="2:19" x14ac:dyDescent="0.2">
      <c r="B1581" s="213"/>
      <c r="C1581" s="213"/>
      <c r="D1581" s="213"/>
      <c r="E1581" s="213"/>
      <c r="F1581" s="213"/>
      <c r="G1581" s="525"/>
      <c r="H1581" s="213"/>
      <c r="I1581" s="213"/>
      <c r="J1581" s="213"/>
      <c r="K1581" s="213"/>
      <c r="L1581" s="213"/>
      <c r="N1581" s="525"/>
      <c r="O1581" s="525"/>
      <c r="P1581" s="525"/>
      <c r="Q1581" s="58"/>
      <c r="R1581" s="58"/>
      <c r="S1581" s="58"/>
    </row>
    <row r="1582" spans="2:19" x14ac:dyDescent="0.2">
      <c r="B1582" s="213"/>
      <c r="C1582" s="213"/>
      <c r="D1582" s="213"/>
      <c r="E1582" s="213"/>
      <c r="F1582" s="213"/>
      <c r="G1582" s="525"/>
      <c r="H1582" s="213"/>
      <c r="I1582" s="213"/>
      <c r="J1582" s="213"/>
      <c r="K1582" s="213"/>
      <c r="L1582" s="213"/>
      <c r="N1582" s="525"/>
      <c r="O1582" s="525"/>
      <c r="P1582" s="525"/>
      <c r="Q1582" s="58"/>
      <c r="R1582" s="58"/>
      <c r="S1582" s="58"/>
    </row>
    <row r="1583" spans="2:19" x14ac:dyDescent="0.2">
      <c r="B1583" s="213"/>
      <c r="C1583" s="213"/>
      <c r="D1583" s="213"/>
      <c r="E1583" s="213"/>
      <c r="F1583" s="213"/>
      <c r="G1583" s="525"/>
      <c r="H1583" s="213"/>
      <c r="I1583" s="213"/>
      <c r="J1583" s="213"/>
      <c r="K1583" s="213"/>
      <c r="L1583" s="213"/>
      <c r="N1583" s="525"/>
      <c r="O1583" s="525"/>
      <c r="P1583" s="525"/>
      <c r="Q1583" s="58"/>
      <c r="R1583" s="58"/>
      <c r="S1583" s="58"/>
    </row>
    <row r="1584" spans="2:19" x14ac:dyDescent="0.2">
      <c r="B1584" s="213"/>
      <c r="C1584" s="213"/>
      <c r="D1584" s="213"/>
      <c r="E1584" s="213"/>
      <c r="F1584" s="213"/>
      <c r="G1584" s="525"/>
      <c r="H1584" s="213"/>
      <c r="I1584" s="213"/>
      <c r="J1584" s="213"/>
      <c r="K1584" s="213"/>
      <c r="L1584" s="213"/>
      <c r="N1584" s="525"/>
      <c r="O1584" s="525"/>
      <c r="P1584" s="525"/>
      <c r="Q1584" s="58"/>
      <c r="R1584" s="58"/>
      <c r="S1584" s="58"/>
    </row>
    <row r="1585" spans="2:19" x14ac:dyDescent="0.2">
      <c r="B1585" s="213"/>
      <c r="C1585" s="213"/>
      <c r="D1585" s="213"/>
      <c r="E1585" s="213"/>
      <c r="F1585" s="213"/>
      <c r="G1585" s="525"/>
      <c r="H1585" s="213"/>
      <c r="I1585" s="213"/>
      <c r="J1585" s="213"/>
      <c r="K1585" s="213"/>
      <c r="L1585" s="213"/>
      <c r="N1585" s="525"/>
      <c r="O1585" s="525"/>
      <c r="P1585" s="525"/>
      <c r="Q1585" s="58"/>
      <c r="R1585" s="58"/>
      <c r="S1585" s="58"/>
    </row>
    <row r="1586" spans="2:19" x14ac:dyDescent="0.2">
      <c r="B1586" s="213"/>
      <c r="C1586" s="213"/>
      <c r="D1586" s="213"/>
      <c r="E1586" s="213"/>
      <c r="F1586" s="213"/>
      <c r="G1586" s="525"/>
      <c r="H1586" s="213"/>
      <c r="I1586" s="213"/>
      <c r="J1586" s="213"/>
      <c r="K1586" s="213"/>
      <c r="L1586" s="213"/>
      <c r="N1586" s="525"/>
      <c r="O1586" s="525"/>
      <c r="P1586" s="525"/>
      <c r="Q1586" s="58"/>
      <c r="R1586" s="58"/>
      <c r="S1586" s="58"/>
    </row>
    <row r="1587" spans="2:19" x14ac:dyDescent="0.2">
      <c r="B1587" s="213"/>
      <c r="C1587" s="213"/>
      <c r="D1587" s="213"/>
      <c r="E1587" s="213"/>
      <c r="F1587" s="213"/>
      <c r="G1587" s="525"/>
      <c r="H1587" s="213"/>
      <c r="I1587" s="213"/>
      <c r="J1587" s="213"/>
      <c r="K1587" s="213"/>
      <c r="L1587" s="213"/>
      <c r="N1587" s="525"/>
      <c r="O1587" s="525"/>
      <c r="P1587" s="525"/>
      <c r="Q1587" s="58"/>
      <c r="R1587" s="58"/>
      <c r="S1587" s="58"/>
    </row>
    <row r="1588" spans="2:19" x14ac:dyDescent="0.2">
      <c r="B1588" s="213"/>
      <c r="C1588" s="213"/>
      <c r="D1588" s="213"/>
      <c r="E1588" s="213"/>
      <c r="F1588" s="213"/>
      <c r="G1588" s="525"/>
      <c r="H1588" s="213"/>
      <c r="I1588" s="213"/>
      <c r="J1588" s="213"/>
      <c r="K1588" s="213"/>
      <c r="L1588" s="213"/>
      <c r="N1588" s="525"/>
      <c r="O1588" s="525"/>
      <c r="P1588" s="525"/>
      <c r="Q1588" s="58"/>
      <c r="R1588" s="58"/>
      <c r="S1588" s="58"/>
    </row>
    <row r="1589" spans="2:19" x14ac:dyDescent="0.2">
      <c r="B1589" s="213"/>
      <c r="C1589" s="213"/>
      <c r="D1589" s="213"/>
      <c r="E1589" s="213"/>
      <c r="F1589" s="213"/>
      <c r="G1589" s="525"/>
      <c r="H1589" s="213"/>
      <c r="I1589" s="213"/>
      <c r="J1589" s="213"/>
      <c r="K1589" s="213"/>
      <c r="L1589" s="213"/>
      <c r="N1589" s="525"/>
      <c r="O1589" s="525"/>
      <c r="P1589" s="525"/>
      <c r="Q1589" s="58"/>
      <c r="R1589" s="58"/>
      <c r="S1589" s="58"/>
    </row>
    <row r="1590" spans="2:19" x14ac:dyDescent="0.2">
      <c r="B1590" s="213"/>
      <c r="C1590" s="213"/>
      <c r="D1590" s="213"/>
      <c r="E1590" s="213"/>
      <c r="F1590" s="213"/>
      <c r="G1590" s="525"/>
      <c r="H1590" s="213"/>
      <c r="I1590" s="213"/>
      <c r="J1590" s="213"/>
      <c r="K1590" s="213"/>
      <c r="L1590" s="213"/>
      <c r="N1590" s="525"/>
      <c r="O1590" s="525"/>
      <c r="P1590" s="525"/>
      <c r="Q1590" s="58"/>
      <c r="R1590" s="58"/>
      <c r="S1590" s="58"/>
    </row>
    <row r="1591" spans="2:19" x14ac:dyDescent="0.2">
      <c r="B1591" s="213"/>
      <c r="C1591" s="213"/>
      <c r="D1591" s="213"/>
      <c r="E1591" s="213"/>
      <c r="F1591" s="213"/>
      <c r="G1591" s="525"/>
      <c r="H1591" s="213"/>
      <c r="I1591" s="213"/>
      <c r="J1591" s="213"/>
      <c r="K1591" s="213"/>
      <c r="L1591" s="213"/>
      <c r="N1591" s="525"/>
      <c r="O1591" s="525"/>
      <c r="P1591" s="525"/>
      <c r="Q1591" s="58"/>
      <c r="R1591" s="58"/>
      <c r="S1591" s="58"/>
    </row>
    <row r="1592" spans="2:19" x14ac:dyDescent="0.2">
      <c r="B1592" s="213"/>
      <c r="C1592" s="213"/>
      <c r="D1592" s="213"/>
      <c r="E1592" s="213"/>
      <c r="F1592" s="213"/>
      <c r="G1592" s="525"/>
      <c r="H1592" s="213"/>
      <c r="I1592" s="213"/>
      <c r="J1592" s="213"/>
      <c r="K1592" s="213"/>
      <c r="L1592" s="213"/>
      <c r="N1592" s="525"/>
      <c r="O1592" s="525"/>
      <c r="P1592" s="525"/>
      <c r="Q1592" s="58"/>
      <c r="R1592" s="58"/>
      <c r="S1592" s="58"/>
    </row>
    <row r="1593" spans="2:19" x14ac:dyDescent="0.2">
      <c r="B1593" s="213"/>
      <c r="C1593" s="213"/>
      <c r="D1593" s="213"/>
      <c r="E1593" s="213"/>
      <c r="F1593" s="213"/>
      <c r="G1593" s="525"/>
      <c r="H1593" s="213"/>
      <c r="I1593" s="213"/>
      <c r="J1593" s="213"/>
      <c r="K1593" s="213"/>
      <c r="L1593" s="213"/>
      <c r="N1593" s="525"/>
      <c r="O1593" s="525"/>
      <c r="P1593" s="525"/>
      <c r="Q1593" s="58"/>
      <c r="R1593" s="58"/>
      <c r="S1593" s="58"/>
    </row>
    <row r="1594" spans="2:19" x14ac:dyDescent="0.2">
      <c r="B1594" s="213"/>
      <c r="C1594" s="213"/>
      <c r="D1594" s="213"/>
      <c r="E1594" s="213"/>
      <c r="F1594" s="213"/>
      <c r="G1594" s="525"/>
      <c r="H1594" s="213"/>
      <c r="I1594" s="213"/>
      <c r="J1594" s="213"/>
      <c r="K1594" s="213"/>
      <c r="L1594" s="213"/>
      <c r="N1594" s="525"/>
      <c r="O1594" s="525"/>
      <c r="P1594" s="525"/>
      <c r="Q1594" s="58"/>
      <c r="R1594" s="58"/>
      <c r="S1594" s="58"/>
    </row>
    <row r="1595" spans="2:19" x14ac:dyDescent="0.2">
      <c r="B1595" s="213"/>
      <c r="C1595" s="213"/>
      <c r="D1595" s="213"/>
      <c r="E1595" s="213"/>
      <c r="F1595" s="213"/>
      <c r="G1595" s="525"/>
      <c r="H1595" s="213"/>
      <c r="I1595" s="213"/>
      <c r="J1595" s="213"/>
      <c r="K1595" s="213"/>
      <c r="L1595" s="213"/>
      <c r="N1595" s="525"/>
      <c r="O1595" s="525"/>
      <c r="P1595" s="525"/>
      <c r="Q1595" s="58"/>
      <c r="R1595" s="58"/>
      <c r="S1595" s="58"/>
    </row>
    <row r="1596" spans="2:19" x14ac:dyDescent="0.2">
      <c r="B1596" s="213"/>
      <c r="C1596" s="213"/>
      <c r="D1596" s="213"/>
      <c r="E1596" s="213"/>
      <c r="F1596" s="213"/>
      <c r="G1596" s="525"/>
      <c r="H1596" s="213"/>
      <c r="I1596" s="213"/>
      <c r="J1596" s="213"/>
      <c r="K1596" s="213"/>
      <c r="L1596" s="213"/>
      <c r="N1596" s="525"/>
      <c r="O1596" s="525"/>
      <c r="P1596" s="525"/>
      <c r="Q1596" s="58"/>
      <c r="R1596" s="58"/>
      <c r="S1596" s="58"/>
    </row>
    <row r="1597" spans="2:19" x14ac:dyDescent="0.2">
      <c r="B1597" s="213"/>
      <c r="C1597" s="213"/>
      <c r="D1597" s="213"/>
      <c r="E1597" s="213"/>
      <c r="F1597" s="213"/>
      <c r="G1597" s="525"/>
      <c r="H1597" s="213"/>
      <c r="I1597" s="213"/>
      <c r="J1597" s="213"/>
      <c r="K1597" s="213"/>
      <c r="L1597" s="213"/>
      <c r="N1597" s="525"/>
      <c r="O1597" s="525"/>
      <c r="P1597" s="525"/>
      <c r="Q1597" s="58"/>
      <c r="R1597" s="58"/>
      <c r="S1597" s="58"/>
    </row>
    <row r="1598" spans="2:19" x14ac:dyDescent="0.2">
      <c r="B1598" s="213"/>
      <c r="C1598" s="213"/>
      <c r="D1598" s="213"/>
      <c r="E1598" s="213"/>
      <c r="F1598" s="213"/>
      <c r="G1598" s="525"/>
      <c r="H1598" s="213"/>
      <c r="I1598" s="213"/>
      <c r="J1598" s="213"/>
      <c r="K1598" s="213"/>
      <c r="L1598" s="213"/>
      <c r="N1598" s="525"/>
      <c r="O1598" s="525"/>
      <c r="P1598" s="525"/>
      <c r="Q1598" s="58"/>
      <c r="R1598" s="58"/>
      <c r="S1598" s="58"/>
    </row>
    <row r="1599" spans="2:19" x14ac:dyDescent="0.2">
      <c r="B1599" s="213"/>
      <c r="C1599" s="213"/>
      <c r="D1599" s="213"/>
      <c r="E1599" s="213"/>
      <c r="F1599" s="213"/>
      <c r="G1599" s="525"/>
      <c r="H1599" s="213"/>
      <c r="I1599" s="213"/>
      <c r="J1599" s="213"/>
      <c r="K1599" s="213"/>
      <c r="L1599" s="213"/>
      <c r="N1599" s="525"/>
      <c r="O1599" s="525"/>
      <c r="P1599" s="525"/>
      <c r="Q1599" s="58"/>
      <c r="R1599" s="58"/>
      <c r="S1599" s="58"/>
    </row>
    <row r="1600" spans="2:19" x14ac:dyDescent="0.2">
      <c r="B1600" s="213"/>
      <c r="C1600" s="213"/>
      <c r="D1600" s="213"/>
      <c r="E1600" s="213"/>
      <c r="F1600" s="213"/>
      <c r="G1600" s="525"/>
      <c r="H1600" s="213"/>
      <c r="I1600" s="213"/>
      <c r="J1600" s="213"/>
      <c r="K1600" s="213"/>
      <c r="L1600" s="213"/>
      <c r="N1600" s="525"/>
      <c r="O1600" s="525"/>
      <c r="P1600" s="525"/>
      <c r="Q1600" s="58"/>
      <c r="R1600" s="58"/>
      <c r="S1600" s="58"/>
    </row>
    <row r="1601" spans="2:19" x14ac:dyDescent="0.2">
      <c r="B1601" s="213"/>
      <c r="C1601" s="213"/>
      <c r="D1601" s="213"/>
      <c r="E1601" s="213"/>
      <c r="F1601" s="213"/>
      <c r="G1601" s="525"/>
      <c r="H1601" s="213"/>
      <c r="I1601" s="213"/>
      <c r="J1601" s="213"/>
      <c r="K1601" s="213"/>
      <c r="L1601" s="213"/>
      <c r="N1601" s="525"/>
      <c r="O1601" s="525"/>
      <c r="P1601" s="525"/>
      <c r="Q1601" s="58"/>
      <c r="R1601" s="58"/>
      <c r="S1601" s="58"/>
    </row>
    <row r="1602" spans="2:19" x14ac:dyDescent="0.2">
      <c r="B1602" s="213"/>
      <c r="C1602" s="213"/>
      <c r="D1602" s="213"/>
      <c r="E1602" s="213"/>
      <c r="F1602" s="213"/>
      <c r="G1602" s="525"/>
      <c r="H1602" s="213"/>
      <c r="I1602" s="213"/>
      <c r="J1602" s="213"/>
      <c r="K1602" s="213"/>
      <c r="L1602" s="213"/>
      <c r="N1602" s="525"/>
      <c r="O1602" s="525"/>
      <c r="P1602" s="525"/>
      <c r="Q1602" s="58"/>
      <c r="R1602" s="58"/>
      <c r="S1602" s="58"/>
    </row>
    <row r="1603" spans="2:19" x14ac:dyDescent="0.2">
      <c r="B1603" s="213"/>
      <c r="C1603" s="213"/>
      <c r="D1603" s="213"/>
      <c r="E1603" s="213"/>
      <c r="F1603" s="213"/>
      <c r="G1603" s="525"/>
      <c r="H1603" s="213"/>
      <c r="I1603" s="213"/>
      <c r="J1603" s="213"/>
      <c r="K1603" s="213"/>
      <c r="L1603" s="213"/>
      <c r="N1603" s="525"/>
      <c r="O1603" s="525"/>
      <c r="P1603" s="525"/>
      <c r="Q1603" s="58"/>
      <c r="R1603" s="58"/>
      <c r="S1603" s="58"/>
    </row>
    <row r="1604" spans="2:19" x14ac:dyDescent="0.2">
      <c r="B1604" s="213"/>
      <c r="C1604" s="213"/>
      <c r="D1604" s="213"/>
      <c r="E1604" s="213"/>
      <c r="F1604" s="213"/>
      <c r="G1604" s="525"/>
      <c r="H1604" s="213"/>
      <c r="I1604" s="213"/>
      <c r="J1604" s="213"/>
      <c r="K1604" s="213"/>
      <c r="L1604" s="213"/>
      <c r="N1604" s="525"/>
      <c r="O1604" s="525"/>
      <c r="P1604" s="525"/>
      <c r="Q1604" s="58"/>
      <c r="R1604" s="58"/>
      <c r="S1604" s="58"/>
    </row>
    <row r="1605" spans="2:19" x14ac:dyDescent="0.2">
      <c r="B1605" s="213"/>
      <c r="C1605" s="213"/>
      <c r="D1605" s="213"/>
      <c r="E1605" s="213"/>
      <c r="F1605" s="213"/>
      <c r="G1605" s="525"/>
      <c r="H1605" s="213"/>
      <c r="I1605" s="213"/>
      <c r="J1605" s="213"/>
      <c r="K1605" s="213"/>
      <c r="L1605" s="213"/>
      <c r="N1605" s="525"/>
      <c r="O1605" s="525"/>
      <c r="P1605" s="525"/>
      <c r="Q1605" s="58"/>
      <c r="R1605" s="58"/>
      <c r="S1605" s="58"/>
    </row>
    <row r="1606" spans="2:19" x14ac:dyDescent="0.2">
      <c r="B1606" s="213"/>
      <c r="C1606" s="213"/>
      <c r="D1606" s="213"/>
      <c r="E1606" s="213"/>
      <c r="F1606" s="213"/>
      <c r="G1606" s="525"/>
      <c r="H1606" s="213"/>
      <c r="I1606" s="213"/>
      <c r="J1606" s="213"/>
      <c r="K1606" s="213"/>
      <c r="L1606" s="213"/>
      <c r="N1606" s="525"/>
      <c r="O1606" s="525"/>
      <c r="P1606" s="525"/>
      <c r="Q1606" s="58"/>
      <c r="R1606" s="58"/>
      <c r="S1606" s="58"/>
    </row>
    <row r="1607" spans="2:19" x14ac:dyDescent="0.2">
      <c r="B1607" s="213"/>
      <c r="C1607" s="213"/>
      <c r="D1607" s="213"/>
      <c r="E1607" s="213"/>
      <c r="F1607" s="213"/>
      <c r="G1607" s="525"/>
      <c r="H1607" s="213"/>
      <c r="I1607" s="213"/>
      <c r="J1607" s="213"/>
      <c r="K1607" s="213"/>
      <c r="L1607" s="213"/>
      <c r="N1607" s="525"/>
      <c r="O1607" s="525"/>
      <c r="P1607" s="525"/>
      <c r="Q1607" s="58"/>
      <c r="R1607" s="58"/>
      <c r="S1607" s="58"/>
    </row>
    <row r="1608" spans="2:19" x14ac:dyDescent="0.2">
      <c r="B1608" s="213"/>
      <c r="C1608" s="213"/>
      <c r="D1608" s="213"/>
      <c r="E1608" s="213"/>
      <c r="F1608" s="213"/>
      <c r="G1608" s="525"/>
      <c r="H1608" s="213"/>
      <c r="I1608" s="213"/>
      <c r="J1608" s="213"/>
      <c r="K1608" s="213"/>
      <c r="L1608" s="213"/>
      <c r="N1608" s="525"/>
      <c r="O1608" s="525"/>
      <c r="P1608" s="525"/>
      <c r="Q1608" s="58"/>
      <c r="R1608" s="58"/>
      <c r="S1608" s="58"/>
    </row>
    <row r="1609" spans="2:19" x14ac:dyDescent="0.2">
      <c r="B1609" s="213"/>
      <c r="C1609" s="213"/>
      <c r="D1609" s="213"/>
      <c r="E1609" s="213"/>
      <c r="F1609" s="213"/>
      <c r="G1609" s="525"/>
      <c r="H1609" s="213"/>
      <c r="I1609" s="213"/>
      <c r="J1609" s="213"/>
      <c r="K1609" s="213"/>
      <c r="L1609" s="213"/>
      <c r="N1609" s="525"/>
      <c r="O1609" s="525"/>
      <c r="P1609" s="525"/>
      <c r="Q1609" s="58"/>
      <c r="R1609" s="58"/>
      <c r="S1609" s="58"/>
    </row>
    <row r="1610" spans="2:19" x14ac:dyDescent="0.2">
      <c r="B1610" s="213"/>
      <c r="C1610" s="213"/>
      <c r="D1610" s="213"/>
      <c r="E1610" s="213"/>
      <c r="F1610" s="213"/>
      <c r="G1610" s="525"/>
      <c r="H1610" s="213"/>
      <c r="I1610" s="213"/>
      <c r="J1610" s="213"/>
      <c r="K1610" s="213"/>
      <c r="L1610" s="213"/>
      <c r="N1610" s="525"/>
      <c r="O1610" s="525"/>
      <c r="P1610" s="525"/>
      <c r="Q1610" s="58"/>
      <c r="R1610" s="58"/>
      <c r="S1610" s="58"/>
    </row>
    <row r="1611" spans="2:19" x14ac:dyDescent="0.2">
      <c r="B1611" s="213"/>
      <c r="C1611" s="213"/>
      <c r="D1611" s="213"/>
      <c r="E1611" s="213"/>
      <c r="F1611" s="213"/>
      <c r="G1611" s="525"/>
      <c r="H1611" s="213"/>
      <c r="I1611" s="213"/>
      <c r="J1611" s="213"/>
      <c r="K1611" s="213"/>
      <c r="L1611" s="213"/>
      <c r="N1611" s="525"/>
      <c r="O1611" s="525"/>
      <c r="P1611" s="525"/>
      <c r="Q1611" s="58"/>
      <c r="R1611" s="58"/>
      <c r="S1611" s="58"/>
    </row>
    <row r="1612" spans="2:19" x14ac:dyDescent="0.2">
      <c r="B1612" s="213"/>
      <c r="C1612" s="213"/>
      <c r="D1612" s="213"/>
      <c r="E1612" s="213"/>
      <c r="F1612" s="213"/>
      <c r="G1612" s="525"/>
      <c r="H1612" s="213"/>
      <c r="I1612" s="213"/>
      <c r="J1612" s="213"/>
      <c r="K1612" s="213"/>
      <c r="L1612" s="213"/>
      <c r="N1612" s="525"/>
      <c r="O1612" s="525"/>
      <c r="P1612" s="525"/>
      <c r="Q1612" s="58"/>
      <c r="R1612" s="58"/>
      <c r="S1612" s="58"/>
    </row>
    <row r="1613" spans="2:19" x14ac:dyDescent="0.2">
      <c r="B1613" s="213"/>
      <c r="C1613" s="213"/>
      <c r="D1613" s="213"/>
      <c r="E1613" s="213"/>
      <c r="F1613" s="213"/>
      <c r="G1613" s="525"/>
      <c r="H1613" s="213"/>
      <c r="I1613" s="213"/>
      <c r="J1613" s="213"/>
      <c r="K1613" s="213"/>
      <c r="L1613" s="213"/>
      <c r="N1613" s="525"/>
      <c r="O1613" s="525"/>
      <c r="P1613" s="525"/>
      <c r="Q1613" s="58"/>
      <c r="R1613" s="58"/>
      <c r="S1613" s="58"/>
    </row>
    <row r="1614" spans="2:19" x14ac:dyDescent="0.2">
      <c r="B1614" s="213"/>
      <c r="C1614" s="213"/>
      <c r="D1614" s="213"/>
      <c r="E1614" s="213"/>
      <c r="F1614" s="213"/>
      <c r="G1614" s="525"/>
      <c r="H1614" s="213"/>
      <c r="I1614" s="213"/>
      <c r="J1614" s="213"/>
      <c r="K1614" s="213"/>
      <c r="L1614" s="213"/>
      <c r="N1614" s="525"/>
      <c r="O1614" s="525"/>
      <c r="P1614" s="525"/>
      <c r="Q1614" s="58"/>
      <c r="R1614" s="58"/>
      <c r="S1614" s="58"/>
    </row>
    <row r="1615" spans="2:19" x14ac:dyDescent="0.2">
      <c r="B1615" s="213"/>
      <c r="C1615" s="213"/>
      <c r="D1615" s="213"/>
      <c r="E1615" s="213"/>
      <c r="F1615" s="213"/>
      <c r="G1615" s="525"/>
      <c r="H1615" s="213"/>
      <c r="I1615" s="213"/>
      <c r="J1615" s="213"/>
      <c r="K1615" s="213"/>
      <c r="L1615" s="213"/>
      <c r="N1615" s="525"/>
      <c r="O1615" s="525"/>
      <c r="P1615" s="525"/>
      <c r="Q1615" s="58"/>
      <c r="R1615" s="58"/>
      <c r="S1615" s="58"/>
    </row>
    <row r="1616" spans="2:19" x14ac:dyDescent="0.2">
      <c r="B1616" s="213"/>
      <c r="C1616" s="213"/>
      <c r="D1616" s="213"/>
      <c r="E1616" s="213"/>
      <c r="F1616" s="213"/>
      <c r="G1616" s="525"/>
      <c r="H1616" s="213"/>
      <c r="I1616" s="213"/>
      <c r="J1616" s="213"/>
      <c r="K1616" s="213"/>
      <c r="L1616" s="213"/>
      <c r="N1616" s="525"/>
      <c r="O1616" s="525"/>
      <c r="P1616" s="525"/>
      <c r="Q1616" s="58"/>
      <c r="R1616" s="58"/>
      <c r="S1616" s="58"/>
    </row>
    <row r="1617" spans="2:19" x14ac:dyDescent="0.2">
      <c r="B1617" s="213"/>
      <c r="C1617" s="213"/>
      <c r="D1617" s="213"/>
      <c r="E1617" s="213"/>
      <c r="F1617" s="213"/>
      <c r="G1617" s="525"/>
      <c r="H1617" s="213"/>
      <c r="I1617" s="213"/>
      <c r="J1617" s="213"/>
      <c r="K1617" s="213"/>
      <c r="L1617" s="213"/>
      <c r="N1617" s="525"/>
      <c r="O1617" s="525"/>
      <c r="P1617" s="525"/>
      <c r="Q1617" s="58"/>
      <c r="R1617" s="58"/>
      <c r="S1617" s="58"/>
    </row>
    <row r="1618" spans="2:19" x14ac:dyDescent="0.2">
      <c r="B1618" s="213"/>
      <c r="C1618" s="213"/>
      <c r="D1618" s="213"/>
      <c r="E1618" s="213"/>
      <c r="F1618" s="213"/>
      <c r="G1618" s="525"/>
      <c r="H1618" s="213"/>
      <c r="I1618" s="213"/>
      <c r="J1618" s="213"/>
      <c r="K1618" s="213"/>
      <c r="L1618" s="213"/>
      <c r="N1618" s="525"/>
      <c r="O1618" s="525"/>
      <c r="P1618" s="525"/>
      <c r="Q1618" s="58"/>
      <c r="R1618" s="58"/>
      <c r="S1618" s="58"/>
    </row>
    <row r="1619" spans="2:19" x14ac:dyDescent="0.2">
      <c r="B1619" s="213"/>
      <c r="C1619" s="213"/>
      <c r="D1619" s="213"/>
      <c r="E1619" s="213"/>
      <c r="F1619" s="213"/>
      <c r="G1619" s="525"/>
      <c r="H1619" s="213"/>
      <c r="I1619" s="213"/>
      <c r="J1619" s="213"/>
      <c r="K1619" s="213"/>
      <c r="L1619" s="213"/>
      <c r="N1619" s="525"/>
      <c r="O1619" s="525"/>
      <c r="P1619" s="525"/>
      <c r="Q1619" s="58"/>
      <c r="R1619" s="58"/>
      <c r="S1619" s="58"/>
    </row>
    <row r="1620" spans="2:19" x14ac:dyDescent="0.2">
      <c r="B1620" s="213"/>
      <c r="C1620" s="213"/>
      <c r="D1620" s="213"/>
      <c r="E1620" s="213"/>
      <c r="F1620" s="213"/>
      <c r="G1620" s="525"/>
      <c r="H1620" s="213"/>
      <c r="I1620" s="213"/>
      <c r="J1620" s="213"/>
      <c r="K1620" s="213"/>
      <c r="L1620" s="213"/>
      <c r="N1620" s="525"/>
      <c r="O1620" s="525"/>
      <c r="P1620" s="525"/>
      <c r="Q1620" s="58"/>
      <c r="R1620" s="58"/>
      <c r="S1620" s="58"/>
    </row>
    <row r="1621" spans="2:19" x14ac:dyDescent="0.2">
      <c r="B1621" s="213"/>
      <c r="C1621" s="213"/>
      <c r="D1621" s="213"/>
      <c r="E1621" s="213"/>
      <c r="F1621" s="213"/>
      <c r="G1621" s="525"/>
      <c r="H1621" s="213"/>
      <c r="I1621" s="213"/>
      <c r="J1621" s="213"/>
      <c r="K1621" s="213"/>
      <c r="L1621" s="213"/>
      <c r="N1621" s="525"/>
      <c r="O1621" s="525"/>
      <c r="P1621" s="525"/>
      <c r="Q1621" s="58"/>
      <c r="R1621" s="58"/>
      <c r="S1621" s="58"/>
    </row>
    <row r="1622" spans="2:19" x14ac:dyDescent="0.2">
      <c r="B1622" s="213"/>
      <c r="C1622" s="213"/>
      <c r="D1622" s="213"/>
      <c r="E1622" s="213"/>
      <c r="F1622" s="213"/>
      <c r="G1622" s="525"/>
      <c r="H1622" s="213"/>
      <c r="I1622" s="213"/>
      <c r="J1622" s="213"/>
      <c r="K1622" s="213"/>
      <c r="L1622" s="213"/>
      <c r="N1622" s="525"/>
      <c r="O1622" s="525"/>
      <c r="P1622" s="525"/>
      <c r="Q1622" s="58"/>
      <c r="R1622" s="58"/>
      <c r="S1622" s="58"/>
    </row>
    <row r="1623" spans="2:19" x14ac:dyDescent="0.2">
      <c r="B1623" s="213"/>
      <c r="C1623" s="213"/>
      <c r="D1623" s="213"/>
      <c r="E1623" s="213"/>
      <c r="F1623" s="213"/>
      <c r="G1623" s="525"/>
      <c r="H1623" s="213"/>
      <c r="I1623" s="213"/>
      <c r="J1623" s="213"/>
      <c r="K1623" s="213"/>
      <c r="L1623" s="213"/>
      <c r="N1623" s="525"/>
      <c r="O1623" s="525"/>
      <c r="P1623" s="525"/>
      <c r="Q1623" s="58"/>
      <c r="R1623" s="58"/>
      <c r="S1623" s="58"/>
    </row>
    <row r="1624" spans="2:19" x14ac:dyDescent="0.2">
      <c r="B1624" s="213"/>
      <c r="C1624" s="213"/>
      <c r="D1624" s="213"/>
      <c r="E1624" s="213"/>
      <c r="F1624" s="213"/>
      <c r="G1624" s="525"/>
      <c r="H1624" s="213"/>
      <c r="I1624" s="213"/>
      <c r="J1624" s="213"/>
      <c r="K1624" s="213"/>
      <c r="L1624" s="213"/>
      <c r="N1624" s="525"/>
      <c r="O1624" s="525"/>
      <c r="P1624" s="525"/>
      <c r="Q1624" s="58"/>
      <c r="R1624" s="58"/>
      <c r="S1624" s="58"/>
    </row>
    <row r="1625" spans="2:19" x14ac:dyDescent="0.2">
      <c r="B1625" s="213"/>
      <c r="C1625" s="213"/>
      <c r="D1625" s="213"/>
      <c r="E1625" s="213"/>
      <c r="F1625" s="213"/>
      <c r="G1625" s="525"/>
      <c r="H1625" s="213"/>
      <c r="I1625" s="213"/>
      <c r="J1625" s="213"/>
      <c r="K1625" s="213"/>
      <c r="L1625" s="213"/>
      <c r="N1625" s="525"/>
      <c r="O1625" s="525"/>
      <c r="P1625" s="525"/>
      <c r="Q1625" s="58"/>
      <c r="R1625" s="58"/>
      <c r="S1625" s="58"/>
    </row>
    <row r="1626" spans="2:19" x14ac:dyDescent="0.2">
      <c r="B1626" s="213"/>
      <c r="C1626" s="213"/>
      <c r="D1626" s="213"/>
      <c r="E1626" s="213"/>
      <c r="F1626" s="213"/>
      <c r="G1626" s="525"/>
      <c r="H1626" s="213"/>
      <c r="I1626" s="213"/>
      <c r="J1626" s="213"/>
      <c r="K1626" s="213"/>
      <c r="L1626" s="213"/>
      <c r="N1626" s="525"/>
      <c r="O1626" s="525"/>
      <c r="P1626" s="525"/>
      <c r="Q1626" s="58"/>
      <c r="R1626" s="58"/>
      <c r="S1626" s="58"/>
    </row>
    <row r="1627" spans="2:19" x14ac:dyDescent="0.2">
      <c r="B1627" s="213"/>
      <c r="C1627" s="213"/>
      <c r="D1627" s="213"/>
      <c r="E1627" s="213"/>
      <c r="F1627" s="213"/>
      <c r="G1627" s="525"/>
      <c r="H1627" s="213"/>
      <c r="I1627" s="213"/>
      <c r="J1627" s="213"/>
      <c r="K1627" s="213"/>
      <c r="L1627" s="213"/>
      <c r="N1627" s="525"/>
      <c r="O1627" s="525"/>
      <c r="P1627" s="525"/>
      <c r="Q1627" s="58"/>
      <c r="R1627" s="58"/>
      <c r="S1627" s="58"/>
    </row>
    <row r="1628" spans="2:19" x14ac:dyDescent="0.2">
      <c r="B1628" s="213"/>
      <c r="C1628" s="213"/>
      <c r="D1628" s="213"/>
      <c r="E1628" s="213"/>
      <c r="F1628" s="213"/>
      <c r="G1628" s="525"/>
      <c r="H1628" s="213"/>
      <c r="I1628" s="213"/>
      <c r="J1628" s="213"/>
      <c r="K1628" s="213"/>
      <c r="L1628" s="213"/>
      <c r="N1628" s="525"/>
      <c r="O1628" s="525"/>
      <c r="P1628" s="525"/>
      <c r="Q1628" s="58"/>
      <c r="R1628" s="58"/>
      <c r="S1628" s="58"/>
    </row>
    <row r="1629" spans="2:19" x14ac:dyDescent="0.2">
      <c r="B1629" s="213"/>
      <c r="C1629" s="213"/>
      <c r="D1629" s="213"/>
      <c r="E1629" s="213"/>
      <c r="F1629" s="213"/>
      <c r="G1629" s="525"/>
      <c r="H1629" s="213"/>
      <c r="I1629" s="213"/>
      <c r="J1629" s="213"/>
      <c r="K1629" s="213"/>
      <c r="L1629" s="213"/>
      <c r="N1629" s="525"/>
      <c r="O1629" s="525"/>
      <c r="P1629" s="525"/>
      <c r="Q1629" s="58"/>
      <c r="R1629" s="58"/>
      <c r="S1629" s="58"/>
    </row>
    <row r="1630" spans="2:19" x14ac:dyDescent="0.2">
      <c r="B1630" s="213"/>
      <c r="C1630" s="213"/>
      <c r="D1630" s="213"/>
      <c r="E1630" s="213"/>
      <c r="F1630" s="213"/>
      <c r="G1630" s="525"/>
      <c r="H1630" s="213"/>
      <c r="I1630" s="213"/>
      <c r="J1630" s="213"/>
      <c r="K1630" s="213"/>
      <c r="L1630" s="213"/>
      <c r="N1630" s="525"/>
      <c r="O1630" s="525"/>
      <c r="P1630" s="525"/>
      <c r="Q1630" s="58"/>
      <c r="R1630" s="58"/>
      <c r="S1630" s="58"/>
    </row>
    <row r="1631" spans="2:19" x14ac:dyDescent="0.2">
      <c r="B1631" s="213"/>
      <c r="C1631" s="213"/>
      <c r="D1631" s="213"/>
      <c r="E1631" s="213"/>
      <c r="F1631" s="213"/>
      <c r="G1631" s="525"/>
      <c r="H1631" s="213"/>
      <c r="I1631" s="213"/>
      <c r="J1631" s="213"/>
      <c r="K1631" s="213"/>
      <c r="L1631" s="213"/>
      <c r="N1631" s="525"/>
      <c r="O1631" s="525"/>
      <c r="P1631" s="525"/>
      <c r="Q1631" s="58"/>
      <c r="R1631" s="58"/>
      <c r="S1631" s="58"/>
    </row>
    <row r="1632" spans="2:19" x14ac:dyDescent="0.2">
      <c r="B1632" s="213"/>
      <c r="C1632" s="213"/>
      <c r="D1632" s="213"/>
      <c r="E1632" s="213"/>
      <c r="F1632" s="213"/>
      <c r="G1632" s="525"/>
      <c r="H1632" s="213"/>
      <c r="I1632" s="213"/>
      <c r="J1632" s="213"/>
      <c r="K1632" s="213"/>
      <c r="L1632" s="213"/>
      <c r="N1632" s="525"/>
      <c r="O1632" s="525"/>
      <c r="P1632" s="525"/>
      <c r="Q1632" s="58"/>
      <c r="R1632" s="58"/>
      <c r="S1632" s="58"/>
    </row>
    <row r="1633" spans="2:19" x14ac:dyDescent="0.2">
      <c r="B1633" s="213"/>
      <c r="C1633" s="213"/>
      <c r="D1633" s="213"/>
      <c r="E1633" s="213"/>
      <c r="F1633" s="213"/>
      <c r="G1633" s="525"/>
      <c r="H1633" s="213"/>
      <c r="I1633" s="213"/>
      <c r="J1633" s="213"/>
      <c r="K1633" s="213"/>
      <c r="L1633" s="213"/>
      <c r="N1633" s="525"/>
      <c r="O1633" s="525"/>
      <c r="P1633" s="525"/>
      <c r="Q1633" s="58"/>
      <c r="R1633" s="58"/>
      <c r="S1633" s="58"/>
    </row>
    <row r="1634" spans="2:19" x14ac:dyDescent="0.2">
      <c r="B1634" s="213"/>
      <c r="C1634" s="213"/>
      <c r="D1634" s="213"/>
      <c r="E1634" s="213"/>
      <c r="F1634" s="213"/>
      <c r="G1634" s="525"/>
      <c r="H1634" s="213"/>
      <c r="I1634" s="213"/>
      <c r="J1634" s="213"/>
      <c r="K1634" s="213"/>
      <c r="L1634" s="213"/>
      <c r="N1634" s="525"/>
      <c r="O1634" s="525"/>
      <c r="P1634" s="525"/>
      <c r="Q1634" s="58"/>
      <c r="R1634" s="58"/>
      <c r="S1634" s="58"/>
    </row>
    <row r="1635" spans="2:19" x14ac:dyDescent="0.2">
      <c r="B1635" s="213"/>
      <c r="C1635" s="213"/>
      <c r="D1635" s="213"/>
      <c r="E1635" s="213"/>
      <c r="F1635" s="213"/>
      <c r="G1635" s="525"/>
      <c r="H1635" s="213"/>
      <c r="I1635" s="213"/>
      <c r="J1635" s="213"/>
      <c r="K1635" s="213"/>
      <c r="L1635" s="213"/>
      <c r="N1635" s="525"/>
      <c r="O1635" s="525"/>
      <c r="P1635" s="525"/>
      <c r="Q1635" s="58"/>
      <c r="R1635" s="58"/>
      <c r="S1635" s="58"/>
    </row>
    <row r="1636" spans="2:19" x14ac:dyDescent="0.2">
      <c r="B1636" s="213"/>
      <c r="C1636" s="213"/>
      <c r="D1636" s="213"/>
      <c r="E1636" s="213"/>
      <c r="F1636" s="213"/>
      <c r="G1636" s="525"/>
      <c r="H1636" s="213"/>
      <c r="I1636" s="213"/>
      <c r="J1636" s="213"/>
      <c r="K1636" s="213"/>
      <c r="L1636" s="213"/>
      <c r="N1636" s="525"/>
      <c r="O1636" s="525"/>
      <c r="P1636" s="525"/>
      <c r="Q1636" s="58"/>
      <c r="R1636" s="58"/>
      <c r="S1636" s="58"/>
    </row>
    <row r="1637" spans="2:19" x14ac:dyDescent="0.2">
      <c r="B1637" s="213"/>
      <c r="C1637" s="213"/>
      <c r="D1637" s="213"/>
      <c r="E1637" s="213"/>
      <c r="F1637" s="213"/>
      <c r="G1637" s="525"/>
      <c r="H1637" s="213"/>
      <c r="I1637" s="213"/>
      <c r="J1637" s="213"/>
      <c r="K1637" s="213"/>
      <c r="L1637" s="213"/>
      <c r="N1637" s="525"/>
      <c r="O1637" s="525"/>
      <c r="P1637" s="525"/>
      <c r="Q1637" s="58"/>
      <c r="R1637" s="58"/>
      <c r="S1637" s="58"/>
    </row>
    <row r="1638" spans="2:19" x14ac:dyDescent="0.2">
      <c r="B1638" s="213"/>
      <c r="C1638" s="213"/>
      <c r="D1638" s="213"/>
      <c r="E1638" s="213"/>
      <c r="F1638" s="213"/>
      <c r="G1638" s="525"/>
      <c r="H1638" s="213"/>
      <c r="I1638" s="213"/>
      <c r="J1638" s="213"/>
      <c r="K1638" s="213"/>
      <c r="L1638" s="213"/>
      <c r="N1638" s="525"/>
      <c r="O1638" s="525"/>
      <c r="P1638" s="525"/>
      <c r="Q1638" s="58"/>
      <c r="R1638" s="58"/>
      <c r="S1638" s="58"/>
    </row>
    <row r="1639" spans="2:19" x14ac:dyDescent="0.2">
      <c r="B1639" s="213"/>
      <c r="C1639" s="213"/>
      <c r="D1639" s="213"/>
      <c r="E1639" s="213"/>
      <c r="F1639" s="213"/>
      <c r="G1639" s="525"/>
      <c r="H1639" s="213"/>
      <c r="I1639" s="213"/>
      <c r="J1639" s="213"/>
      <c r="K1639" s="213"/>
      <c r="L1639" s="213"/>
      <c r="N1639" s="525"/>
      <c r="O1639" s="525"/>
      <c r="P1639" s="525"/>
      <c r="Q1639" s="58"/>
      <c r="R1639" s="58"/>
      <c r="S1639" s="58"/>
    </row>
    <row r="1640" spans="2:19" x14ac:dyDescent="0.2">
      <c r="B1640" s="213"/>
      <c r="C1640" s="213"/>
      <c r="D1640" s="213"/>
      <c r="E1640" s="213"/>
      <c r="F1640" s="213"/>
      <c r="G1640" s="525"/>
      <c r="H1640" s="213"/>
      <c r="I1640" s="213"/>
      <c r="J1640" s="213"/>
      <c r="K1640" s="213"/>
      <c r="L1640" s="213"/>
      <c r="N1640" s="525"/>
      <c r="O1640" s="525"/>
      <c r="P1640" s="525"/>
      <c r="Q1640" s="58"/>
      <c r="R1640" s="58"/>
      <c r="S1640" s="58"/>
    </row>
    <row r="1641" spans="2:19" x14ac:dyDescent="0.2">
      <c r="B1641" s="213"/>
      <c r="C1641" s="213"/>
      <c r="D1641" s="213"/>
      <c r="E1641" s="213"/>
      <c r="F1641" s="213"/>
      <c r="G1641" s="525"/>
      <c r="H1641" s="213"/>
      <c r="I1641" s="213"/>
      <c r="J1641" s="213"/>
      <c r="K1641" s="213"/>
      <c r="L1641" s="213"/>
      <c r="N1641" s="525"/>
      <c r="O1641" s="525"/>
      <c r="P1641" s="525"/>
      <c r="Q1641" s="58"/>
      <c r="R1641" s="58"/>
      <c r="S1641" s="58"/>
    </row>
    <row r="1642" spans="2:19" x14ac:dyDescent="0.2">
      <c r="B1642" s="213"/>
      <c r="C1642" s="213"/>
      <c r="D1642" s="213"/>
      <c r="E1642" s="213"/>
      <c r="F1642" s="213"/>
      <c r="G1642" s="525"/>
      <c r="H1642" s="213"/>
      <c r="I1642" s="213"/>
      <c r="J1642" s="213"/>
      <c r="K1642" s="213"/>
      <c r="L1642" s="213"/>
      <c r="N1642" s="525"/>
      <c r="O1642" s="525"/>
      <c r="P1642" s="525"/>
      <c r="Q1642" s="58"/>
      <c r="R1642" s="58"/>
      <c r="S1642" s="58"/>
    </row>
    <row r="1643" spans="2:19" x14ac:dyDescent="0.2">
      <c r="B1643" s="213"/>
      <c r="C1643" s="213"/>
      <c r="D1643" s="213"/>
      <c r="E1643" s="213"/>
      <c r="F1643" s="213"/>
      <c r="G1643" s="525"/>
      <c r="H1643" s="213"/>
      <c r="I1643" s="213"/>
      <c r="J1643" s="213"/>
      <c r="K1643" s="213"/>
      <c r="L1643" s="213"/>
      <c r="N1643" s="525"/>
      <c r="O1643" s="525"/>
      <c r="P1643" s="525"/>
      <c r="Q1643" s="58"/>
      <c r="R1643" s="58"/>
      <c r="S1643" s="58"/>
    </row>
    <row r="1644" spans="2:19" x14ac:dyDescent="0.2">
      <c r="B1644" s="213"/>
      <c r="C1644" s="213"/>
      <c r="D1644" s="213"/>
      <c r="E1644" s="213"/>
      <c r="F1644" s="213"/>
      <c r="G1644" s="525"/>
      <c r="H1644" s="213"/>
      <c r="I1644" s="213"/>
      <c r="J1644" s="213"/>
      <c r="K1644" s="213"/>
      <c r="L1644" s="213"/>
      <c r="N1644" s="525"/>
      <c r="O1644" s="525"/>
      <c r="P1644" s="525"/>
      <c r="Q1644" s="58"/>
      <c r="R1644" s="58"/>
      <c r="S1644" s="58"/>
    </row>
    <row r="1645" spans="2:19" x14ac:dyDescent="0.2">
      <c r="B1645" s="213"/>
      <c r="C1645" s="213"/>
      <c r="D1645" s="213"/>
      <c r="E1645" s="213"/>
      <c r="F1645" s="213"/>
      <c r="G1645" s="525"/>
      <c r="H1645" s="213"/>
      <c r="I1645" s="213"/>
      <c r="J1645" s="213"/>
      <c r="K1645" s="213"/>
      <c r="L1645" s="213"/>
      <c r="N1645" s="525"/>
      <c r="O1645" s="525"/>
      <c r="P1645" s="525"/>
      <c r="Q1645" s="58"/>
      <c r="R1645" s="58"/>
      <c r="S1645" s="58"/>
    </row>
    <row r="1646" spans="2:19" x14ac:dyDescent="0.2">
      <c r="B1646" s="213"/>
      <c r="C1646" s="213"/>
      <c r="D1646" s="213"/>
      <c r="E1646" s="213"/>
      <c r="F1646" s="213"/>
      <c r="G1646" s="525"/>
      <c r="H1646" s="213"/>
      <c r="I1646" s="213"/>
      <c r="J1646" s="213"/>
      <c r="K1646" s="213"/>
      <c r="L1646" s="213"/>
      <c r="N1646" s="525"/>
      <c r="O1646" s="525"/>
      <c r="P1646" s="525"/>
      <c r="Q1646" s="58"/>
      <c r="R1646" s="58"/>
      <c r="S1646" s="58"/>
    </row>
    <row r="1647" spans="2:19" x14ac:dyDescent="0.2">
      <c r="B1647" s="213"/>
      <c r="C1647" s="213"/>
      <c r="D1647" s="213"/>
      <c r="E1647" s="213"/>
      <c r="F1647" s="213"/>
      <c r="G1647" s="525"/>
      <c r="H1647" s="213"/>
      <c r="I1647" s="213"/>
      <c r="J1647" s="213"/>
      <c r="K1647" s="213"/>
      <c r="L1647" s="213"/>
      <c r="N1647" s="525"/>
      <c r="O1647" s="525"/>
      <c r="P1647" s="525"/>
      <c r="Q1647" s="58"/>
      <c r="R1647" s="58"/>
      <c r="S1647" s="58"/>
    </row>
    <row r="1648" spans="2:19" x14ac:dyDescent="0.2">
      <c r="B1648" s="213"/>
      <c r="C1648" s="213"/>
      <c r="D1648" s="213"/>
      <c r="E1648" s="213"/>
      <c r="F1648" s="213"/>
      <c r="G1648" s="525"/>
      <c r="H1648" s="213"/>
      <c r="I1648" s="213"/>
      <c r="J1648" s="213"/>
      <c r="K1648" s="213"/>
      <c r="L1648" s="213"/>
      <c r="N1648" s="525"/>
      <c r="O1648" s="525"/>
      <c r="P1648" s="525"/>
      <c r="Q1648" s="58"/>
      <c r="R1648" s="58"/>
      <c r="S1648" s="58"/>
    </row>
    <row r="1649" spans="2:19" x14ac:dyDescent="0.2">
      <c r="B1649" s="213"/>
      <c r="C1649" s="213"/>
      <c r="D1649" s="213"/>
      <c r="E1649" s="213"/>
      <c r="F1649" s="213"/>
      <c r="G1649" s="525"/>
      <c r="H1649" s="213"/>
      <c r="I1649" s="213"/>
      <c r="J1649" s="213"/>
      <c r="K1649" s="213"/>
      <c r="L1649" s="213"/>
      <c r="N1649" s="525"/>
      <c r="O1649" s="525"/>
      <c r="P1649" s="525"/>
      <c r="Q1649" s="58"/>
      <c r="R1649" s="58"/>
      <c r="S1649" s="58"/>
    </row>
    <row r="1650" spans="2:19" x14ac:dyDescent="0.2">
      <c r="B1650" s="213"/>
      <c r="C1650" s="213"/>
      <c r="D1650" s="213"/>
      <c r="E1650" s="213"/>
      <c r="F1650" s="213"/>
      <c r="G1650" s="525"/>
      <c r="H1650" s="213"/>
      <c r="I1650" s="213"/>
      <c r="J1650" s="213"/>
      <c r="K1650" s="213"/>
      <c r="L1650" s="213"/>
      <c r="N1650" s="525"/>
      <c r="O1650" s="525"/>
      <c r="P1650" s="525"/>
      <c r="Q1650" s="58"/>
      <c r="R1650" s="58"/>
      <c r="S1650" s="58"/>
    </row>
    <row r="1651" spans="2:19" x14ac:dyDescent="0.2">
      <c r="B1651" s="213"/>
      <c r="C1651" s="213"/>
      <c r="D1651" s="213"/>
      <c r="E1651" s="213"/>
      <c r="F1651" s="213"/>
      <c r="G1651" s="525"/>
      <c r="H1651" s="213"/>
      <c r="I1651" s="213"/>
      <c r="J1651" s="213"/>
      <c r="K1651" s="213"/>
      <c r="L1651" s="213"/>
      <c r="N1651" s="525"/>
      <c r="O1651" s="525"/>
      <c r="P1651" s="525"/>
      <c r="Q1651" s="58"/>
      <c r="R1651" s="58"/>
      <c r="S1651" s="58"/>
    </row>
    <row r="1652" spans="2:19" x14ac:dyDescent="0.2">
      <c r="B1652" s="213"/>
      <c r="C1652" s="213"/>
      <c r="D1652" s="213"/>
      <c r="E1652" s="213"/>
      <c r="F1652" s="213"/>
      <c r="G1652" s="525"/>
      <c r="H1652" s="213"/>
      <c r="I1652" s="213"/>
      <c r="J1652" s="213"/>
      <c r="K1652" s="213"/>
      <c r="L1652" s="213"/>
      <c r="N1652" s="525"/>
      <c r="O1652" s="525"/>
      <c r="P1652" s="525"/>
      <c r="Q1652" s="58"/>
      <c r="R1652" s="58"/>
      <c r="S1652" s="58"/>
    </row>
    <row r="1653" spans="2:19" x14ac:dyDescent="0.2">
      <c r="B1653" s="213"/>
      <c r="C1653" s="213"/>
      <c r="D1653" s="213"/>
      <c r="E1653" s="213"/>
      <c r="F1653" s="213"/>
      <c r="G1653" s="525"/>
      <c r="H1653" s="213"/>
      <c r="I1653" s="213"/>
      <c r="J1653" s="213"/>
      <c r="K1653" s="213"/>
      <c r="L1653" s="213"/>
      <c r="N1653" s="525"/>
      <c r="O1653" s="525"/>
      <c r="P1653" s="525"/>
      <c r="Q1653" s="58"/>
      <c r="R1653" s="58"/>
      <c r="S1653" s="58"/>
    </row>
    <row r="1654" spans="2:19" x14ac:dyDescent="0.2">
      <c r="B1654" s="213"/>
      <c r="C1654" s="213"/>
      <c r="D1654" s="213"/>
      <c r="E1654" s="213"/>
      <c r="F1654" s="213"/>
      <c r="G1654" s="525"/>
      <c r="H1654" s="213"/>
      <c r="I1654" s="213"/>
      <c r="J1654" s="213"/>
      <c r="K1654" s="213"/>
      <c r="L1654" s="213"/>
      <c r="N1654" s="525"/>
      <c r="O1654" s="525"/>
      <c r="P1654" s="525"/>
      <c r="Q1654" s="58"/>
      <c r="R1654" s="58"/>
      <c r="S1654" s="58"/>
    </row>
    <row r="1655" spans="2:19" x14ac:dyDescent="0.2">
      <c r="B1655" s="213"/>
      <c r="C1655" s="213"/>
      <c r="D1655" s="213"/>
      <c r="E1655" s="213"/>
      <c r="F1655" s="213"/>
      <c r="G1655" s="525"/>
      <c r="H1655" s="213"/>
      <c r="I1655" s="213"/>
      <c r="J1655" s="213"/>
      <c r="K1655" s="213"/>
      <c r="L1655" s="213"/>
      <c r="N1655" s="525"/>
      <c r="O1655" s="525"/>
      <c r="P1655" s="525"/>
      <c r="Q1655" s="58"/>
      <c r="R1655" s="58"/>
      <c r="S1655" s="58"/>
    </row>
    <row r="1656" spans="2:19" x14ac:dyDescent="0.2">
      <c r="B1656" s="213"/>
      <c r="C1656" s="213"/>
      <c r="D1656" s="213"/>
      <c r="E1656" s="213"/>
      <c r="F1656" s="213"/>
      <c r="G1656" s="525"/>
      <c r="H1656" s="213"/>
      <c r="I1656" s="213"/>
      <c r="J1656" s="213"/>
      <c r="K1656" s="213"/>
      <c r="L1656" s="213"/>
      <c r="N1656" s="525"/>
      <c r="O1656" s="525"/>
      <c r="P1656" s="525"/>
      <c r="Q1656" s="58"/>
      <c r="R1656" s="58"/>
      <c r="S1656" s="58"/>
    </row>
    <row r="1657" spans="2:19" x14ac:dyDescent="0.2">
      <c r="B1657" s="213"/>
      <c r="C1657" s="213"/>
      <c r="D1657" s="213"/>
      <c r="E1657" s="213"/>
      <c r="F1657" s="213"/>
      <c r="G1657" s="525"/>
      <c r="H1657" s="213"/>
      <c r="I1657" s="213"/>
      <c r="J1657" s="213"/>
      <c r="K1657" s="213"/>
      <c r="L1657" s="213"/>
      <c r="N1657" s="525"/>
      <c r="O1657" s="525"/>
      <c r="P1657" s="525"/>
      <c r="Q1657" s="58"/>
      <c r="R1657" s="58"/>
      <c r="S1657" s="58"/>
    </row>
    <row r="1658" spans="2:19" x14ac:dyDescent="0.2">
      <c r="B1658" s="213"/>
      <c r="C1658" s="213"/>
      <c r="D1658" s="213"/>
      <c r="E1658" s="213"/>
      <c r="F1658" s="213"/>
      <c r="G1658" s="525"/>
      <c r="H1658" s="213"/>
      <c r="I1658" s="213"/>
      <c r="J1658" s="213"/>
      <c r="K1658" s="213"/>
      <c r="L1658" s="213"/>
      <c r="N1658" s="525"/>
      <c r="O1658" s="525"/>
      <c r="P1658" s="525"/>
      <c r="Q1658" s="58"/>
      <c r="R1658" s="58"/>
      <c r="S1658" s="58"/>
    </row>
    <row r="1659" spans="2:19" x14ac:dyDescent="0.2">
      <c r="B1659" s="213"/>
      <c r="C1659" s="213"/>
      <c r="D1659" s="213"/>
      <c r="E1659" s="213"/>
      <c r="F1659" s="213"/>
      <c r="G1659" s="525"/>
      <c r="H1659" s="213"/>
      <c r="I1659" s="213"/>
      <c r="J1659" s="213"/>
      <c r="K1659" s="213"/>
      <c r="L1659" s="213"/>
      <c r="N1659" s="525"/>
      <c r="O1659" s="525"/>
      <c r="P1659" s="525"/>
      <c r="Q1659" s="58"/>
      <c r="R1659" s="58"/>
      <c r="S1659" s="58"/>
    </row>
    <row r="1660" spans="2:19" x14ac:dyDescent="0.2">
      <c r="B1660" s="213"/>
      <c r="C1660" s="213"/>
      <c r="D1660" s="213"/>
      <c r="E1660" s="213"/>
      <c r="F1660" s="213"/>
      <c r="G1660" s="525"/>
      <c r="H1660" s="213"/>
      <c r="I1660" s="213"/>
      <c r="J1660" s="213"/>
      <c r="K1660" s="213"/>
      <c r="L1660" s="213"/>
      <c r="N1660" s="525"/>
      <c r="O1660" s="525"/>
      <c r="P1660" s="525"/>
      <c r="Q1660" s="58"/>
      <c r="R1660" s="58"/>
      <c r="S1660" s="58"/>
    </row>
    <row r="1661" spans="2:19" x14ac:dyDescent="0.2">
      <c r="B1661" s="213"/>
      <c r="C1661" s="213"/>
      <c r="D1661" s="213"/>
      <c r="E1661" s="213"/>
      <c r="F1661" s="213"/>
      <c r="G1661" s="525"/>
      <c r="H1661" s="213"/>
      <c r="I1661" s="213"/>
      <c r="J1661" s="213"/>
      <c r="K1661" s="213"/>
      <c r="L1661" s="213"/>
      <c r="N1661" s="525"/>
      <c r="O1661" s="525"/>
      <c r="P1661" s="525"/>
      <c r="Q1661" s="58"/>
      <c r="R1661" s="58"/>
      <c r="S1661" s="58"/>
    </row>
    <row r="1662" spans="2:19" x14ac:dyDescent="0.2">
      <c r="B1662" s="213"/>
      <c r="C1662" s="213"/>
      <c r="D1662" s="213"/>
      <c r="E1662" s="213"/>
      <c r="F1662" s="213"/>
      <c r="G1662" s="525"/>
      <c r="H1662" s="213"/>
      <c r="I1662" s="213"/>
      <c r="J1662" s="213"/>
      <c r="K1662" s="213"/>
      <c r="L1662" s="213"/>
      <c r="N1662" s="525"/>
      <c r="O1662" s="525"/>
      <c r="P1662" s="525"/>
      <c r="Q1662" s="58"/>
      <c r="R1662" s="58"/>
      <c r="S1662" s="58"/>
    </row>
    <row r="1663" spans="2:19" x14ac:dyDescent="0.2">
      <c r="B1663" s="213"/>
      <c r="C1663" s="213"/>
      <c r="D1663" s="213"/>
      <c r="E1663" s="213"/>
      <c r="F1663" s="213"/>
      <c r="G1663" s="525"/>
      <c r="H1663" s="213"/>
      <c r="I1663" s="213"/>
      <c r="J1663" s="213"/>
      <c r="K1663" s="213"/>
      <c r="L1663" s="213"/>
      <c r="N1663" s="525"/>
      <c r="O1663" s="525"/>
      <c r="P1663" s="525"/>
      <c r="Q1663" s="58"/>
      <c r="R1663" s="58"/>
      <c r="S1663" s="58"/>
    </row>
    <row r="1664" spans="2:19" x14ac:dyDescent="0.2">
      <c r="B1664" s="213"/>
      <c r="C1664" s="213"/>
      <c r="D1664" s="213"/>
      <c r="E1664" s="213"/>
      <c r="F1664" s="213"/>
      <c r="G1664" s="525"/>
      <c r="H1664" s="213"/>
      <c r="I1664" s="213"/>
      <c r="J1664" s="213"/>
      <c r="K1664" s="213"/>
      <c r="L1664" s="213"/>
      <c r="N1664" s="525"/>
      <c r="O1664" s="525"/>
      <c r="P1664" s="525"/>
      <c r="Q1664" s="58"/>
      <c r="R1664" s="58"/>
      <c r="S1664" s="58"/>
    </row>
    <row r="1665" spans="2:19" x14ac:dyDescent="0.2">
      <c r="B1665" s="213"/>
      <c r="C1665" s="213"/>
      <c r="D1665" s="213"/>
      <c r="E1665" s="213"/>
      <c r="F1665" s="213"/>
      <c r="G1665" s="525"/>
      <c r="H1665" s="213"/>
      <c r="I1665" s="213"/>
      <c r="J1665" s="213"/>
      <c r="K1665" s="213"/>
      <c r="L1665" s="213"/>
      <c r="N1665" s="525"/>
      <c r="O1665" s="525"/>
      <c r="P1665" s="525"/>
      <c r="Q1665" s="58"/>
      <c r="R1665" s="58"/>
      <c r="S1665" s="58"/>
    </row>
    <row r="1666" spans="2:19" x14ac:dyDescent="0.2">
      <c r="B1666" s="213"/>
      <c r="C1666" s="213"/>
      <c r="D1666" s="213"/>
      <c r="E1666" s="213"/>
      <c r="F1666" s="213"/>
      <c r="G1666" s="525"/>
      <c r="H1666" s="213"/>
      <c r="I1666" s="213"/>
      <c r="J1666" s="213"/>
      <c r="K1666" s="213"/>
      <c r="L1666" s="213"/>
      <c r="N1666" s="525"/>
      <c r="O1666" s="525"/>
      <c r="P1666" s="525"/>
      <c r="Q1666" s="58"/>
      <c r="R1666" s="58"/>
      <c r="S1666" s="58"/>
    </row>
    <row r="1667" spans="2:19" x14ac:dyDescent="0.2">
      <c r="B1667" s="213"/>
      <c r="C1667" s="213"/>
      <c r="D1667" s="213"/>
      <c r="E1667" s="213"/>
      <c r="F1667" s="213"/>
      <c r="G1667" s="525"/>
      <c r="H1667" s="213"/>
      <c r="I1667" s="213"/>
      <c r="J1667" s="213"/>
      <c r="K1667" s="213"/>
      <c r="L1667" s="213"/>
      <c r="N1667" s="525"/>
      <c r="O1667" s="525"/>
      <c r="P1667" s="525"/>
      <c r="Q1667" s="58"/>
      <c r="R1667" s="58"/>
      <c r="S1667" s="58"/>
    </row>
    <row r="1668" spans="2:19" x14ac:dyDescent="0.2">
      <c r="B1668" s="213"/>
      <c r="C1668" s="213"/>
      <c r="D1668" s="213"/>
      <c r="E1668" s="213"/>
      <c r="F1668" s="213"/>
      <c r="G1668" s="525"/>
      <c r="H1668" s="213"/>
      <c r="I1668" s="213"/>
      <c r="J1668" s="213"/>
      <c r="K1668" s="213"/>
      <c r="L1668" s="213"/>
      <c r="N1668" s="525"/>
      <c r="O1668" s="525"/>
      <c r="P1668" s="525"/>
      <c r="Q1668" s="58"/>
      <c r="R1668" s="58"/>
      <c r="S1668" s="58"/>
    </row>
    <row r="1669" spans="2:19" x14ac:dyDescent="0.2">
      <c r="B1669" s="213"/>
      <c r="C1669" s="213"/>
      <c r="D1669" s="213"/>
      <c r="E1669" s="213"/>
      <c r="F1669" s="213"/>
      <c r="G1669" s="525"/>
      <c r="H1669" s="213"/>
      <c r="I1669" s="213"/>
      <c r="J1669" s="213"/>
      <c r="K1669" s="213"/>
      <c r="L1669" s="213"/>
      <c r="N1669" s="525"/>
      <c r="O1669" s="525"/>
      <c r="P1669" s="525"/>
      <c r="Q1669" s="58"/>
      <c r="R1669" s="58"/>
      <c r="S1669" s="58"/>
    </row>
    <row r="1670" spans="2:19" x14ac:dyDescent="0.2">
      <c r="B1670" s="213"/>
      <c r="C1670" s="213"/>
      <c r="D1670" s="213"/>
      <c r="E1670" s="213"/>
      <c r="F1670" s="213"/>
      <c r="G1670" s="525"/>
      <c r="H1670" s="213"/>
      <c r="I1670" s="213"/>
      <c r="J1670" s="213"/>
      <c r="K1670" s="213"/>
      <c r="L1670" s="213"/>
      <c r="N1670" s="525"/>
      <c r="O1670" s="525"/>
      <c r="P1670" s="525"/>
      <c r="Q1670" s="58"/>
      <c r="R1670" s="58"/>
      <c r="S1670" s="58"/>
    </row>
    <row r="1671" spans="2:19" x14ac:dyDescent="0.2">
      <c r="B1671" s="213"/>
      <c r="C1671" s="213"/>
      <c r="D1671" s="213"/>
      <c r="E1671" s="213"/>
      <c r="F1671" s="213"/>
      <c r="G1671" s="525"/>
      <c r="H1671" s="213"/>
      <c r="I1671" s="213"/>
      <c r="J1671" s="213"/>
      <c r="K1671" s="213"/>
      <c r="L1671" s="213"/>
      <c r="N1671" s="525"/>
      <c r="O1671" s="525"/>
      <c r="P1671" s="525"/>
      <c r="Q1671" s="58"/>
      <c r="R1671" s="58"/>
      <c r="S1671" s="58"/>
    </row>
    <row r="1672" spans="2:19" x14ac:dyDescent="0.2">
      <c r="B1672" s="213"/>
      <c r="C1672" s="213"/>
      <c r="D1672" s="213"/>
      <c r="E1672" s="213"/>
      <c r="F1672" s="213"/>
      <c r="G1672" s="525"/>
      <c r="H1672" s="213"/>
      <c r="I1672" s="213"/>
      <c r="J1672" s="213"/>
      <c r="K1672" s="213"/>
      <c r="L1672" s="213"/>
      <c r="N1672" s="525"/>
      <c r="O1672" s="525"/>
      <c r="P1672" s="525"/>
      <c r="Q1672" s="58"/>
      <c r="R1672" s="58"/>
      <c r="S1672" s="58"/>
    </row>
    <row r="1673" spans="2:19" x14ac:dyDescent="0.2">
      <c r="B1673" s="213"/>
      <c r="C1673" s="213"/>
      <c r="D1673" s="213"/>
      <c r="E1673" s="213"/>
      <c r="F1673" s="213"/>
      <c r="G1673" s="525"/>
      <c r="H1673" s="213"/>
      <c r="I1673" s="213"/>
      <c r="J1673" s="213"/>
      <c r="K1673" s="213"/>
      <c r="L1673" s="213"/>
      <c r="N1673" s="525"/>
      <c r="O1673" s="525"/>
      <c r="P1673" s="525"/>
      <c r="Q1673" s="58"/>
      <c r="R1673" s="58"/>
      <c r="S1673" s="58"/>
    </row>
    <row r="1674" spans="2:19" x14ac:dyDescent="0.2">
      <c r="B1674" s="213"/>
      <c r="C1674" s="213"/>
      <c r="D1674" s="213"/>
      <c r="E1674" s="213"/>
      <c r="F1674" s="213"/>
      <c r="G1674" s="525"/>
      <c r="H1674" s="213"/>
      <c r="I1674" s="213"/>
      <c r="J1674" s="213"/>
      <c r="K1674" s="213"/>
      <c r="L1674" s="213"/>
      <c r="N1674" s="525"/>
      <c r="O1674" s="525"/>
      <c r="P1674" s="525"/>
      <c r="Q1674" s="58"/>
      <c r="R1674" s="58"/>
      <c r="S1674" s="58"/>
    </row>
    <row r="1675" spans="2:19" x14ac:dyDescent="0.2">
      <c r="B1675" s="213"/>
      <c r="C1675" s="213"/>
      <c r="D1675" s="213"/>
      <c r="E1675" s="213"/>
      <c r="F1675" s="213"/>
      <c r="G1675" s="525"/>
      <c r="H1675" s="213"/>
      <c r="I1675" s="213"/>
      <c r="J1675" s="213"/>
      <c r="K1675" s="213"/>
      <c r="L1675" s="213"/>
      <c r="N1675" s="525"/>
      <c r="O1675" s="525"/>
      <c r="P1675" s="525"/>
      <c r="Q1675" s="58"/>
      <c r="R1675" s="58"/>
      <c r="S1675" s="58"/>
    </row>
    <row r="1676" spans="2:19" x14ac:dyDescent="0.2">
      <c r="B1676" s="213"/>
      <c r="C1676" s="213"/>
      <c r="D1676" s="213"/>
      <c r="E1676" s="213"/>
      <c r="F1676" s="213"/>
      <c r="G1676" s="525"/>
      <c r="H1676" s="213"/>
      <c r="I1676" s="213"/>
      <c r="J1676" s="213"/>
      <c r="K1676" s="213"/>
      <c r="L1676" s="213"/>
      <c r="N1676" s="525"/>
      <c r="O1676" s="525"/>
      <c r="P1676" s="525"/>
      <c r="Q1676" s="58"/>
      <c r="R1676" s="58"/>
      <c r="S1676" s="58"/>
    </row>
    <row r="1677" spans="2:19" x14ac:dyDescent="0.2">
      <c r="B1677" s="213"/>
      <c r="C1677" s="213"/>
      <c r="D1677" s="213"/>
      <c r="E1677" s="213"/>
      <c r="F1677" s="213"/>
      <c r="G1677" s="525"/>
      <c r="H1677" s="213"/>
      <c r="I1677" s="213"/>
      <c r="J1677" s="213"/>
      <c r="K1677" s="213"/>
      <c r="L1677" s="213"/>
      <c r="N1677" s="525"/>
      <c r="O1677" s="525"/>
      <c r="P1677" s="525"/>
      <c r="Q1677" s="58"/>
      <c r="R1677" s="58"/>
      <c r="S1677" s="58"/>
    </row>
    <row r="1678" spans="2:19" x14ac:dyDescent="0.2">
      <c r="B1678" s="213"/>
      <c r="C1678" s="213"/>
      <c r="D1678" s="213"/>
      <c r="E1678" s="213"/>
      <c r="F1678" s="213"/>
      <c r="G1678" s="525"/>
      <c r="H1678" s="213"/>
      <c r="I1678" s="213"/>
      <c r="J1678" s="213"/>
      <c r="K1678" s="213"/>
      <c r="L1678" s="213"/>
      <c r="N1678" s="525"/>
      <c r="O1678" s="525"/>
      <c r="P1678" s="525"/>
      <c r="Q1678" s="58"/>
      <c r="R1678" s="58"/>
      <c r="S1678" s="58"/>
    </row>
    <row r="1679" spans="2:19" x14ac:dyDescent="0.2">
      <c r="B1679" s="213"/>
      <c r="C1679" s="213"/>
      <c r="D1679" s="213"/>
      <c r="E1679" s="213"/>
      <c r="F1679" s="213"/>
      <c r="G1679" s="525"/>
      <c r="H1679" s="213"/>
      <c r="I1679" s="213"/>
      <c r="J1679" s="213"/>
      <c r="K1679" s="213"/>
      <c r="L1679" s="213"/>
      <c r="N1679" s="525"/>
      <c r="O1679" s="525"/>
      <c r="P1679" s="525"/>
      <c r="Q1679" s="58"/>
      <c r="R1679" s="58"/>
      <c r="S1679" s="58"/>
    </row>
    <row r="1680" spans="2:19" x14ac:dyDescent="0.2">
      <c r="B1680" s="213"/>
      <c r="C1680" s="213"/>
      <c r="D1680" s="213"/>
      <c r="E1680" s="213"/>
      <c r="F1680" s="213"/>
      <c r="G1680" s="525"/>
      <c r="H1680" s="213"/>
      <c r="I1680" s="213"/>
      <c r="J1680" s="213"/>
      <c r="K1680" s="213"/>
      <c r="L1680" s="213"/>
      <c r="N1680" s="525"/>
      <c r="O1680" s="525"/>
      <c r="P1680" s="525"/>
      <c r="Q1680" s="58"/>
      <c r="R1680" s="58"/>
      <c r="S1680" s="58"/>
    </row>
    <row r="1681" spans="2:19" x14ac:dyDescent="0.2">
      <c r="B1681" s="213"/>
      <c r="C1681" s="213"/>
      <c r="D1681" s="213"/>
      <c r="E1681" s="213"/>
      <c r="F1681" s="213"/>
      <c r="G1681" s="525"/>
      <c r="H1681" s="213"/>
      <c r="I1681" s="213"/>
      <c r="J1681" s="213"/>
      <c r="K1681" s="213"/>
      <c r="L1681" s="213"/>
      <c r="N1681" s="525"/>
      <c r="O1681" s="525"/>
      <c r="P1681" s="525"/>
      <c r="Q1681" s="58"/>
      <c r="R1681" s="58"/>
      <c r="S1681" s="58"/>
    </row>
    <row r="1682" spans="2:19" x14ac:dyDescent="0.2">
      <c r="B1682" s="213"/>
      <c r="C1682" s="213"/>
      <c r="D1682" s="213"/>
      <c r="E1682" s="213"/>
      <c r="F1682" s="213"/>
      <c r="G1682" s="525"/>
      <c r="H1682" s="213"/>
      <c r="I1682" s="213"/>
      <c r="J1682" s="213"/>
      <c r="K1682" s="213"/>
      <c r="L1682" s="213"/>
      <c r="N1682" s="525"/>
      <c r="O1682" s="525"/>
      <c r="P1682" s="525"/>
      <c r="Q1682" s="58"/>
      <c r="R1682" s="58"/>
      <c r="S1682" s="58"/>
    </row>
    <row r="1683" spans="2:19" x14ac:dyDescent="0.2">
      <c r="B1683" s="213"/>
      <c r="C1683" s="213"/>
      <c r="D1683" s="213"/>
      <c r="E1683" s="213"/>
      <c r="F1683" s="213"/>
      <c r="G1683" s="525"/>
      <c r="H1683" s="213"/>
      <c r="I1683" s="213"/>
      <c r="J1683" s="213"/>
      <c r="K1683" s="213"/>
      <c r="L1683" s="213"/>
      <c r="N1683" s="525"/>
      <c r="O1683" s="525"/>
      <c r="P1683" s="525"/>
      <c r="Q1683" s="58"/>
      <c r="R1683" s="58"/>
      <c r="S1683" s="58"/>
    </row>
    <row r="1684" spans="2:19" x14ac:dyDescent="0.2">
      <c r="B1684" s="213"/>
      <c r="C1684" s="213"/>
      <c r="D1684" s="213"/>
      <c r="E1684" s="213"/>
      <c r="F1684" s="213"/>
      <c r="G1684" s="525"/>
      <c r="H1684" s="213"/>
      <c r="I1684" s="213"/>
      <c r="J1684" s="213"/>
      <c r="K1684" s="213"/>
      <c r="L1684" s="213"/>
      <c r="N1684" s="525"/>
      <c r="O1684" s="525"/>
      <c r="P1684" s="525"/>
      <c r="Q1684" s="58"/>
      <c r="R1684" s="58"/>
      <c r="S1684" s="58"/>
    </row>
    <row r="1685" spans="2:19" x14ac:dyDescent="0.2">
      <c r="B1685" s="213"/>
      <c r="C1685" s="213"/>
      <c r="D1685" s="213"/>
      <c r="E1685" s="213"/>
      <c r="F1685" s="213"/>
      <c r="G1685" s="525"/>
      <c r="H1685" s="213"/>
      <c r="I1685" s="213"/>
      <c r="J1685" s="213"/>
      <c r="K1685" s="213"/>
      <c r="L1685" s="213"/>
      <c r="N1685" s="525"/>
      <c r="O1685" s="525"/>
      <c r="P1685" s="525"/>
      <c r="Q1685" s="58"/>
      <c r="R1685" s="58"/>
      <c r="S1685" s="58"/>
    </row>
    <row r="1686" spans="2:19" x14ac:dyDescent="0.2">
      <c r="B1686" s="213"/>
      <c r="C1686" s="213"/>
      <c r="D1686" s="213"/>
      <c r="E1686" s="213"/>
      <c r="F1686" s="213"/>
      <c r="G1686" s="525"/>
      <c r="H1686" s="213"/>
      <c r="I1686" s="213"/>
      <c r="J1686" s="213"/>
      <c r="K1686" s="213"/>
      <c r="L1686" s="213"/>
      <c r="N1686" s="525"/>
      <c r="O1686" s="525"/>
      <c r="P1686" s="525"/>
      <c r="Q1686" s="58"/>
      <c r="R1686" s="58"/>
      <c r="S1686" s="58"/>
    </row>
    <row r="1687" spans="2:19" x14ac:dyDescent="0.2">
      <c r="B1687" s="213"/>
      <c r="C1687" s="213"/>
      <c r="D1687" s="213"/>
      <c r="E1687" s="213"/>
      <c r="F1687" s="213"/>
      <c r="G1687" s="525"/>
      <c r="H1687" s="213"/>
      <c r="I1687" s="213"/>
      <c r="J1687" s="213"/>
      <c r="K1687" s="213"/>
      <c r="L1687" s="213"/>
      <c r="N1687" s="525"/>
      <c r="O1687" s="525"/>
      <c r="P1687" s="525"/>
      <c r="Q1687" s="58"/>
      <c r="R1687" s="58"/>
      <c r="S1687" s="58"/>
    </row>
    <row r="1688" spans="2:19" x14ac:dyDescent="0.2">
      <c r="B1688" s="213"/>
      <c r="C1688" s="213"/>
      <c r="D1688" s="213"/>
      <c r="E1688" s="213"/>
      <c r="F1688" s="213"/>
      <c r="G1688" s="525"/>
      <c r="H1688" s="213"/>
      <c r="I1688" s="213"/>
      <c r="J1688" s="213"/>
      <c r="K1688" s="213"/>
      <c r="L1688" s="213"/>
      <c r="N1688" s="525"/>
      <c r="O1688" s="525"/>
      <c r="P1688" s="525"/>
      <c r="Q1688" s="58"/>
      <c r="R1688" s="58"/>
      <c r="S1688" s="58"/>
    </row>
    <row r="1689" spans="2:19" x14ac:dyDescent="0.2">
      <c r="B1689" s="213"/>
      <c r="C1689" s="213"/>
      <c r="D1689" s="213"/>
      <c r="E1689" s="213"/>
      <c r="F1689" s="213"/>
      <c r="G1689" s="525"/>
      <c r="H1689" s="213"/>
      <c r="I1689" s="213"/>
      <c r="J1689" s="213"/>
      <c r="K1689" s="213"/>
      <c r="L1689" s="213"/>
      <c r="N1689" s="525"/>
      <c r="O1689" s="525"/>
      <c r="P1689" s="525"/>
      <c r="Q1689" s="58"/>
      <c r="R1689" s="58"/>
      <c r="S1689" s="58"/>
    </row>
    <row r="1690" spans="2:19" x14ac:dyDescent="0.2">
      <c r="B1690" s="213"/>
      <c r="C1690" s="213"/>
      <c r="D1690" s="213"/>
      <c r="E1690" s="213"/>
      <c r="F1690" s="213"/>
      <c r="G1690" s="525"/>
      <c r="H1690" s="213"/>
      <c r="I1690" s="213"/>
      <c r="J1690" s="213"/>
      <c r="K1690" s="213"/>
      <c r="L1690" s="213"/>
      <c r="N1690" s="525"/>
      <c r="O1690" s="525"/>
      <c r="P1690" s="525"/>
      <c r="Q1690" s="58"/>
      <c r="R1690" s="58"/>
      <c r="S1690" s="58"/>
    </row>
    <row r="1691" spans="2:19" x14ac:dyDescent="0.2">
      <c r="B1691" s="213"/>
      <c r="C1691" s="213"/>
      <c r="D1691" s="213"/>
      <c r="E1691" s="213"/>
      <c r="F1691" s="213"/>
      <c r="G1691" s="525"/>
      <c r="H1691" s="213"/>
      <c r="I1691" s="213"/>
      <c r="J1691" s="213"/>
      <c r="K1691" s="213"/>
      <c r="L1691" s="213"/>
      <c r="N1691" s="525"/>
      <c r="O1691" s="525"/>
      <c r="P1691" s="525"/>
      <c r="Q1691" s="58"/>
      <c r="R1691" s="58"/>
      <c r="S1691" s="58"/>
    </row>
    <row r="1692" spans="2:19" x14ac:dyDescent="0.2">
      <c r="B1692" s="213"/>
      <c r="C1692" s="213"/>
      <c r="D1692" s="213"/>
      <c r="E1692" s="213"/>
      <c r="F1692" s="213"/>
      <c r="G1692" s="525"/>
      <c r="H1692" s="213"/>
      <c r="I1692" s="213"/>
      <c r="J1692" s="213"/>
      <c r="K1692" s="213"/>
      <c r="L1692" s="213"/>
      <c r="N1692" s="525"/>
      <c r="O1692" s="525"/>
      <c r="P1692" s="525"/>
      <c r="Q1692" s="58"/>
      <c r="R1692" s="58"/>
      <c r="S1692" s="58"/>
    </row>
    <row r="1693" spans="2:19" x14ac:dyDescent="0.2">
      <c r="B1693" s="213"/>
      <c r="C1693" s="213"/>
      <c r="D1693" s="213"/>
      <c r="E1693" s="213"/>
      <c r="F1693" s="213"/>
      <c r="G1693" s="525"/>
      <c r="H1693" s="213"/>
      <c r="I1693" s="213"/>
      <c r="J1693" s="213"/>
      <c r="K1693" s="213"/>
      <c r="L1693" s="213"/>
      <c r="N1693" s="525"/>
      <c r="O1693" s="525"/>
      <c r="P1693" s="525"/>
      <c r="Q1693" s="58"/>
      <c r="R1693" s="58"/>
      <c r="S1693" s="58"/>
    </row>
    <row r="1694" spans="2:19" x14ac:dyDescent="0.2">
      <c r="B1694" s="213"/>
      <c r="C1694" s="213"/>
      <c r="D1694" s="213"/>
      <c r="E1694" s="213"/>
      <c r="F1694" s="213"/>
      <c r="G1694" s="525"/>
      <c r="H1694" s="213"/>
      <c r="I1694" s="213"/>
      <c r="J1694" s="213"/>
      <c r="K1694" s="213"/>
      <c r="L1694" s="213"/>
      <c r="N1694" s="525"/>
      <c r="O1694" s="525"/>
      <c r="P1694" s="525"/>
      <c r="Q1694" s="58"/>
      <c r="R1694" s="58"/>
      <c r="S1694" s="58"/>
    </row>
    <row r="1695" spans="2:19" x14ac:dyDescent="0.2">
      <c r="B1695" s="213"/>
      <c r="C1695" s="213"/>
      <c r="D1695" s="213"/>
      <c r="E1695" s="213"/>
      <c r="F1695" s="213"/>
      <c r="G1695" s="525"/>
      <c r="H1695" s="213"/>
      <c r="I1695" s="213"/>
      <c r="J1695" s="213"/>
      <c r="K1695" s="213"/>
      <c r="L1695" s="213"/>
      <c r="N1695" s="525"/>
      <c r="O1695" s="525"/>
      <c r="P1695" s="525"/>
      <c r="Q1695" s="58"/>
      <c r="R1695" s="58"/>
      <c r="S1695" s="58"/>
    </row>
    <row r="1696" spans="2:19" x14ac:dyDescent="0.2">
      <c r="B1696" s="213"/>
      <c r="C1696" s="213"/>
      <c r="D1696" s="213"/>
      <c r="E1696" s="213"/>
      <c r="F1696" s="213"/>
      <c r="G1696" s="525"/>
      <c r="H1696" s="213"/>
      <c r="I1696" s="213"/>
      <c r="J1696" s="213"/>
      <c r="K1696" s="213"/>
      <c r="L1696" s="213"/>
      <c r="N1696" s="525"/>
      <c r="O1696" s="525"/>
      <c r="P1696" s="525"/>
      <c r="Q1696" s="58"/>
      <c r="R1696" s="58"/>
      <c r="S1696" s="58"/>
    </row>
    <row r="1697" spans="2:19" x14ac:dyDescent="0.2">
      <c r="B1697" s="213"/>
      <c r="C1697" s="213"/>
      <c r="D1697" s="213"/>
      <c r="E1697" s="213"/>
      <c r="F1697" s="213"/>
      <c r="G1697" s="525"/>
      <c r="H1697" s="213"/>
      <c r="I1697" s="213"/>
      <c r="J1697" s="213"/>
      <c r="K1697" s="213"/>
      <c r="L1697" s="213"/>
      <c r="N1697" s="525"/>
      <c r="O1697" s="525"/>
      <c r="P1697" s="525"/>
      <c r="Q1697" s="58"/>
      <c r="R1697" s="58"/>
      <c r="S1697" s="58"/>
    </row>
    <row r="1698" spans="2:19" x14ac:dyDescent="0.2">
      <c r="B1698" s="213"/>
      <c r="C1698" s="213"/>
      <c r="D1698" s="213"/>
      <c r="E1698" s="213"/>
      <c r="F1698" s="213"/>
      <c r="G1698" s="525"/>
      <c r="H1698" s="213"/>
      <c r="I1698" s="213"/>
      <c r="J1698" s="213"/>
      <c r="K1698" s="213"/>
      <c r="L1698" s="213"/>
      <c r="N1698" s="525"/>
      <c r="O1698" s="525"/>
      <c r="P1698" s="525"/>
      <c r="Q1698" s="58"/>
      <c r="R1698" s="58"/>
      <c r="S1698" s="58"/>
    </row>
    <row r="1699" spans="2:19" x14ac:dyDescent="0.2">
      <c r="B1699" s="213"/>
      <c r="C1699" s="213"/>
      <c r="D1699" s="213"/>
      <c r="E1699" s="213"/>
      <c r="F1699" s="213"/>
      <c r="G1699" s="525"/>
      <c r="H1699" s="213"/>
      <c r="I1699" s="213"/>
      <c r="J1699" s="213"/>
      <c r="K1699" s="213"/>
      <c r="L1699" s="213"/>
      <c r="N1699" s="525"/>
      <c r="O1699" s="525"/>
      <c r="P1699" s="525"/>
      <c r="Q1699" s="58"/>
      <c r="R1699" s="58"/>
      <c r="S1699" s="58"/>
    </row>
    <row r="1700" spans="2:19" x14ac:dyDescent="0.2">
      <c r="B1700" s="213"/>
      <c r="C1700" s="213"/>
      <c r="D1700" s="213"/>
      <c r="E1700" s="213"/>
      <c r="F1700" s="213"/>
      <c r="G1700" s="525"/>
      <c r="H1700" s="213"/>
      <c r="I1700" s="213"/>
      <c r="J1700" s="213"/>
      <c r="K1700" s="213"/>
      <c r="L1700" s="213"/>
      <c r="N1700" s="525"/>
      <c r="O1700" s="525"/>
      <c r="P1700" s="525"/>
      <c r="Q1700" s="58"/>
      <c r="R1700" s="58"/>
      <c r="S1700" s="58"/>
    </row>
    <row r="1701" spans="2:19" x14ac:dyDescent="0.2">
      <c r="B1701" s="213"/>
      <c r="C1701" s="213"/>
      <c r="D1701" s="213"/>
      <c r="E1701" s="213"/>
      <c r="F1701" s="213"/>
      <c r="G1701" s="525"/>
      <c r="H1701" s="213"/>
      <c r="I1701" s="213"/>
      <c r="J1701" s="213"/>
      <c r="K1701" s="213"/>
      <c r="L1701" s="213"/>
      <c r="N1701" s="525"/>
      <c r="O1701" s="525"/>
      <c r="P1701" s="525"/>
      <c r="Q1701" s="58"/>
      <c r="R1701" s="58"/>
      <c r="S1701" s="58"/>
    </row>
    <row r="1702" spans="2:19" x14ac:dyDescent="0.2">
      <c r="B1702" s="213"/>
      <c r="C1702" s="213"/>
      <c r="D1702" s="213"/>
      <c r="E1702" s="213"/>
      <c r="F1702" s="213"/>
      <c r="G1702" s="525"/>
      <c r="H1702" s="213"/>
      <c r="I1702" s="213"/>
      <c r="J1702" s="213"/>
      <c r="K1702" s="213"/>
      <c r="L1702" s="213"/>
      <c r="N1702" s="525"/>
      <c r="O1702" s="525"/>
      <c r="P1702" s="525"/>
      <c r="Q1702" s="58"/>
      <c r="R1702" s="58"/>
      <c r="S1702" s="58"/>
    </row>
    <row r="1703" spans="2:19" x14ac:dyDescent="0.2">
      <c r="B1703" s="213"/>
      <c r="C1703" s="213"/>
      <c r="D1703" s="213"/>
      <c r="E1703" s="213"/>
      <c r="F1703" s="213"/>
      <c r="G1703" s="525"/>
      <c r="H1703" s="213"/>
      <c r="I1703" s="213"/>
      <c r="J1703" s="213"/>
      <c r="K1703" s="213"/>
      <c r="L1703" s="213"/>
      <c r="N1703" s="525"/>
      <c r="O1703" s="525"/>
      <c r="P1703" s="525"/>
      <c r="Q1703" s="58"/>
      <c r="R1703" s="58"/>
      <c r="S1703" s="58"/>
    </row>
    <row r="1704" spans="2:19" x14ac:dyDescent="0.2">
      <c r="B1704" s="213"/>
      <c r="C1704" s="213"/>
      <c r="D1704" s="213"/>
      <c r="E1704" s="213"/>
      <c r="F1704" s="213"/>
      <c r="G1704" s="525"/>
      <c r="H1704" s="213"/>
      <c r="I1704" s="213"/>
      <c r="J1704" s="213"/>
      <c r="K1704" s="213"/>
      <c r="L1704" s="213"/>
      <c r="N1704" s="525"/>
      <c r="O1704" s="525"/>
      <c r="P1704" s="525"/>
      <c r="Q1704" s="58"/>
      <c r="R1704" s="58"/>
      <c r="S1704" s="58"/>
    </row>
    <row r="1705" spans="2:19" x14ac:dyDescent="0.2">
      <c r="B1705" s="213"/>
      <c r="C1705" s="213"/>
      <c r="D1705" s="213"/>
      <c r="E1705" s="213"/>
      <c r="F1705" s="213"/>
      <c r="G1705" s="525"/>
      <c r="H1705" s="213"/>
      <c r="I1705" s="213"/>
      <c r="J1705" s="213"/>
      <c r="K1705" s="213"/>
      <c r="L1705" s="213"/>
      <c r="N1705" s="525"/>
      <c r="O1705" s="525"/>
      <c r="P1705" s="525"/>
      <c r="Q1705" s="58"/>
      <c r="R1705" s="58"/>
      <c r="S1705" s="58"/>
    </row>
    <row r="1706" spans="2:19" x14ac:dyDescent="0.2">
      <c r="B1706" s="213"/>
      <c r="C1706" s="213"/>
      <c r="D1706" s="213"/>
      <c r="E1706" s="213"/>
      <c r="F1706" s="213"/>
      <c r="G1706" s="525"/>
      <c r="H1706" s="213"/>
      <c r="I1706" s="213"/>
      <c r="J1706" s="213"/>
      <c r="K1706" s="213"/>
      <c r="L1706" s="213"/>
      <c r="N1706" s="525"/>
      <c r="O1706" s="525"/>
      <c r="P1706" s="525"/>
      <c r="Q1706" s="58"/>
      <c r="R1706" s="58"/>
      <c r="S1706" s="58"/>
    </row>
    <row r="1707" spans="2:19" x14ac:dyDescent="0.2">
      <c r="B1707" s="213"/>
      <c r="C1707" s="213"/>
      <c r="D1707" s="213"/>
      <c r="E1707" s="213"/>
      <c r="F1707" s="213"/>
      <c r="G1707" s="525"/>
      <c r="H1707" s="213"/>
      <c r="I1707" s="213"/>
      <c r="J1707" s="213"/>
      <c r="K1707" s="213"/>
      <c r="L1707" s="213"/>
      <c r="N1707" s="525"/>
      <c r="O1707" s="525"/>
      <c r="P1707" s="525"/>
      <c r="Q1707" s="58"/>
      <c r="R1707" s="58"/>
      <c r="S1707" s="58"/>
    </row>
    <row r="1708" spans="2:19" x14ac:dyDescent="0.2">
      <c r="B1708" s="213"/>
      <c r="C1708" s="213"/>
      <c r="D1708" s="213"/>
      <c r="E1708" s="213"/>
      <c r="F1708" s="213"/>
      <c r="G1708" s="525"/>
      <c r="H1708" s="213"/>
      <c r="I1708" s="213"/>
      <c r="J1708" s="213"/>
      <c r="K1708" s="213"/>
      <c r="L1708" s="213"/>
      <c r="N1708" s="525"/>
      <c r="O1708" s="525"/>
      <c r="P1708" s="525"/>
      <c r="Q1708" s="58"/>
      <c r="R1708" s="58"/>
      <c r="S1708" s="58"/>
    </row>
    <row r="1709" spans="2:19" x14ac:dyDescent="0.2">
      <c r="B1709" s="213"/>
      <c r="C1709" s="213"/>
      <c r="D1709" s="213"/>
      <c r="E1709" s="213"/>
      <c r="F1709" s="213"/>
      <c r="G1709" s="525"/>
      <c r="H1709" s="213"/>
      <c r="I1709" s="213"/>
      <c r="J1709" s="213"/>
      <c r="K1709" s="213"/>
      <c r="L1709" s="213"/>
      <c r="N1709" s="525"/>
      <c r="O1709" s="525"/>
      <c r="P1709" s="525"/>
      <c r="Q1709" s="58"/>
      <c r="R1709" s="58"/>
      <c r="S1709" s="58"/>
    </row>
    <row r="1710" spans="2:19" x14ac:dyDescent="0.2">
      <c r="B1710" s="213"/>
      <c r="C1710" s="213"/>
      <c r="D1710" s="213"/>
      <c r="E1710" s="213"/>
      <c r="F1710" s="213"/>
      <c r="G1710" s="525"/>
      <c r="H1710" s="213"/>
      <c r="I1710" s="213"/>
      <c r="J1710" s="213"/>
      <c r="K1710" s="213"/>
      <c r="L1710" s="213"/>
      <c r="N1710" s="525"/>
      <c r="O1710" s="525"/>
      <c r="P1710" s="525"/>
      <c r="Q1710" s="58"/>
      <c r="R1710" s="58"/>
      <c r="S1710" s="58"/>
    </row>
    <row r="1711" spans="2:19" x14ac:dyDescent="0.2">
      <c r="B1711" s="213"/>
      <c r="C1711" s="213"/>
      <c r="D1711" s="213"/>
      <c r="E1711" s="213"/>
      <c r="F1711" s="213"/>
      <c r="G1711" s="525"/>
      <c r="H1711" s="213"/>
      <c r="I1711" s="213"/>
      <c r="J1711" s="213"/>
      <c r="K1711" s="213"/>
      <c r="L1711" s="213"/>
      <c r="N1711" s="525"/>
      <c r="O1711" s="525"/>
      <c r="P1711" s="525"/>
      <c r="Q1711" s="58"/>
      <c r="R1711" s="58"/>
      <c r="S1711" s="58"/>
    </row>
    <row r="1712" spans="2:19" x14ac:dyDescent="0.2">
      <c r="B1712" s="213"/>
      <c r="C1712" s="213"/>
      <c r="D1712" s="213"/>
      <c r="E1712" s="213"/>
      <c r="F1712" s="213"/>
      <c r="G1712" s="525"/>
      <c r="H1712" s="213"/>
      <c r="I1712" s="213"/>
      <c r="J1712" s="213"/>
      <c r="K1712" s="213"/>
      <c r="L1712" s="213"/>
      <c r="N1712" s="525"/>
      <c r="O1712" s="525"/>
      <c r="P1712" s="525"/>
      <c r="Q1712" s="58"/>
      <c r="R1712" s="58"/>
      <c r="S1712" s="58"/>
    </row>
    <row r="1713" spans="2:19" x14ac:dyDescent="0.2">
      <c r="B1713" s="213"/>
      <c r="C1713" s="213"/>
      <c r="D1713" s="213"/>
      <c r="E1713" s="213"/>
      <c r="F1713" s="213"/>
      <c r="G1713" s="525"/>
      <c r="H1713" s="213"/>
      <c r="I1713" s="213"/>
      <c r="J1713" s="213"/>
      <c r="K1713" s="213"/>
      <c r="L1713" s="213"/>
      <c r="N1713" s="525"/>
      <c r="O1713" s="525"/>
      <c r="P1713" s="525"/>
      <c r="Q1713" s="58"/>
      <c r="R1713" s="58"/>
      <c r="S1713" s="58"/>
    </row>
    <row r="1714" spans="2:19" x14ac:dyDescent="0.2">
      <c r="B1714" s="213"/>
      <c r="C1714" s="213"/>
      <c r="D1714" s="213"/>
      <c r="E1714" s="213"/>
      <c r="F1714" s="213"/>
      <c r="G1714" s="525"/>
      <c r="H1714" s="213"/>
      <c r="I1714" s="213"/>
      <c r="J1714" s="213"/>
      <c r="K1714" s="213"/>
      <c r="L1714" s="213"/>
      <c r="N1714" s="525"/>
      <c r="O1714" s="525"/>
      <c r="P1714" s="525"/>
      <c r="Q1714" s="58"/>
      <c r="R1714" s="58"/>
      <c r="S1714" s="58"/>
    </row>
    <row r="1715" spans="2:19" x14ac:dyDescent="0.2">
      <c r="B1715" s="213"/>
      <c r="C1715" s="213"/>
      <c r="D1715" s="213"/>
      <c r="E1715" s="213"/>
      <c r="F1715" s="213"/>
      <c r="G1715" s="525"/>
      <c r="H1715" s="213"/>
      <c r="I1715" s="213"/>
      <c r="J1715" s="213"/>
      <c r="K1715" s="213"/>
      <c r="L1715" s="213"/>
      <c r="N1715" s="525"/>
      <c r="O1715" s="525"/>
      <c r="P1715" s="525"/>
      <c r="Q1715" s="58"/>
      <c r="R1715" s="58"/>
      <c r="S1715" s="58"/>
    </row>
    <row r="1716" spans="2:19" x14ac:dyDescent="0.2">
      <c r="B1716" s="213"/>
      <c r="C1716" s="213"/>
      <c r="D1716" s="213"/>
      <c r="E1716" s="213"/>
      <c r="F1716" s="213"/>
      <c r="G1716" s="525"/>
      <c r="H1716" s="213"/>
      <c r="I1716" s="213"/>
      <c r="J1716" s="213"/>
      <c r="K1716" s="213"/>
      <c r="L1716" s="213"/>
      <c r="N1716" s="525"/>
      <c r="O1716" s="525"/>
      <c r="P1716" s="525"/>
      <c r="Q1716" s="58"/>
      <c r="R1716" s="58"/>
      <c r="S1716" s="58"/>
    </row>
    <row r="1717" spans="2:19" x14ac:dyDescent="0.2">
      <c r="B1717" s="213"/>
      <c r="C1717" s="213"/>
      <c r="D1717" s="213"/>
      <c r="E1717" s="213"/>
      <c r="F1717" s="213"/>
      <c r="G1717" s="525"/>
      <c r="H1717" s="213"/>
      <c r="I1717" s="213"/>
      <c r="J1717" s="213"/>
      <c r="K1717" s="213"/>
      <c r="L1717" s="213"/>
      <c r="N1717" s="525"/>
      <c r="O1717" s="525"/>
      <c r="P1717" s="525"/>
      <c r="Q1717" s="58"/>
      <c r="R1717" s="58"/>
      <c r="S1717" s="58"/>
    </row>
    <row r="1718" spans="2:19" x14ac:dyDescent="0.2">
      <c r="B1718" s="213"/>
      <c r="C1718" s="213"/>
      <c r="D1718" s="213"/>
      <c r="E1718" s="213"/>
      <c r="F1718" s="213"/>
      <c r="G1718" s="525"/>
      <c r="H1718" s="213"/>
      <c r="I1718" s="213"/>
      <c r="J1718" s="213"/>
      <c r="K1718" s="213"/>
      <c r="L1718" s="213"/>
      <c r="N1718" s="525"/>
      <c r="O1718" s="525"/>
      <c r="P1718" s="525"/>
      <c r="Q1718" s="58"/>
      <c r="R1718" s="58"/>
      <c r="S1718" s="58"/>
    </row>
    <row r="1719" spans="2:19" x14ac:dyDescent="0.2">
      <c r="B1719" s="213"/>
      <c r="C1719" s="213"/>
      <c r="D1719" s="213"/>
      <c r="E1719" s="213"/>
      <c r="F1719" s="213"/>
      <c r="G1719" s="525"/>
      <c r="H1719" s="213"/>
      <c r="I1719" s="213"/>
      <c r="J1719" s="213"/>
      <c r="K1719" s="213"/>
      <c r="L1719" s="213"/>
      <c r="N1719" s="525"/>
      <c r="O1719" s="525"/>
      <c r="P1719" s="525"/>
      <c r="Q1719" s="58"/>
      <c r="R1719" s="58"/>
      <c r="S1719" s="58"/>
    </row>
    <row r="1720" spans="2:19" x14ac:dyDescent="0.2">
      <c r="B1720" s="213"/>
      <c r="C1720" s="213"/>
      <c r="D1720" s="213"/>
      <c r="E1720" s="213"/>
      <c r="F1720" s="213"/>
      <c r="G1720" s="525"/>
      <c r="H1720" s="213"/>
      <c r="I1720" s="213"/>
      <c r="J1720" s="213"/>
      <c r="K1720" s="213"/>
      <c r="L1720" s="213"/>
      <c r="N1720" s="525"/>
      <c r="O1720" s="525"/>
      <c r="P1720" s="525"/>
      <c r="Q1720" s="58"/>
      <c r="R1720" s="58"/>
      <c r="S1720" s="58"/>
    </row>
    <row r="1721" spans="2:19" x14ac:dyDescent="0.2">
      <c r="B1721" s="213"/>
      <c r="C1721" s="213"/>
      <c r="D1721" s="213"/>
      <c r="E1721" s="213"/>
      <c r="F1721" s="213"/>
      <c r="G1721" s="525"/>
      <c r="H1721" s="213"/>
      <c r="I1721" s="213"/>
      <c r="J1721" s="213"/>
      <c r="K1721" s="213"/>
      <c r="L1721" s="213"/>
      <c r="N1721" s="525"/>
      <c r="O1721" s="525"/>
      <c r="P1721" s="525"/>
      <c r="Q1721" s="58"/>
      <c r="R1721" s="58"/>
      <c r="S1721" s="58"/>
    </row>
    <row r="1722" spans="2:19" x14ac:dyDescent="0.2">
      <c r="B1722" s="213"/>
      <c r="C1722" s="213"/>
      <c r="D1722" s="213"/>
      <c r="E1722" s="213"/>
      <c r="F1722" s="213"/>
      <c r="G1722" s="525"/>
      <c r="H1722" s="213"/>
      <c r="I1722" s="213"/>
      <c r="J1722" s="213"/>
      <c r="K1722" s="213"/>
      <c r="L1722" s="213"/>
      <c r="N1722" s="525"/>
      <c r="O1722" s="525"/>
      <c r="P1722" s="525"/>
      <c r="Q1722" s="58"/>
      <c r="R1722" s="58"/>
      <c r="S1722" s="58"/>
    </row>
    <row r="1723" spans="2:19" x14ac:dyDescent="0.2">
      <c r="B1723" s="213"/>
      <c r="C1723" s="213"/>
      <c r="D1723" s="213"/>
      <c r="E1723" s="213"/>
      <c r="F1723" s="213"/>
      <c r="G1723" s="525"/>
      <c r="H1723" s="213"/>
      <c r="I1723" s="213"/>
      <c r="J1723" s="213"/>
      <c r="K1723" s="213"/>
      <c r="L1723" s="213"/>
      <c r="N1723" s="525"/>
      <c r="O1723" s="525"/>
      <c r="P1723" s="525"/>
      <c r="Q1723" s="58"/>
      <c r="R1723" s="58"/>
      <c r="S1723" s="58"/>
    </row>
    <row r="1724" spans="2:19" x14ac:dyDescent="0.2">
      <c r="B1724" s="213"/>
      <c r="C1724" s="213"/>
      <c r="D1724" s="213"/>
      <c r="E1724" s="213"/>
      <c r="F1724" s="213"/>
      <c r="G1724" s="525"/>
      <c r="H1724" s="213"/>
      <c r="I1724" s="213"/>
      <c r="J1724" s="213"/>
      <c r="K1724" s="213"/>
      <c r="L1724" s="213"/>
      <c r="N1724" s="525"/>
      <c r="O1724" s="525"/>
      <c r="P1724" s="525"/>
      <c r="Q1724" s="58"/>
      <c r="R1724" s="58"/>
      <c r="S1724" s="58"/>
    </row>
    <row r="1725" spans="2:19" x14ac:dyDescent="0.2">
      <c r="B1725" s="213"/>
      <c r="C1725" s="213"/>
      <c r="D1725" s="213"/>
      <c r="E1725" s="213"/>
      <c r="F1725" s="213"/>
      <c r="G1725" s="525"/>
      <c r="H1725" s="213"/>
      <c r="I1725" s="213"/>
      <c r="J1725" s="213"/>
      <c r="K1725" s="213"/>
      <c r="L1725" s="213"/>
      <c r="N1725" s="525"/>
      <c r="O1725" s="525"/>
      <c r="P1725" s="525"/>
      <c r="Q1725" s="58"/>
      <c r="R1725" s="58"/>
      <c r="S1725" s="58"/>
    </row>
    <row r="1726" spans="2:19" x14ac:dyDescent="0.2">
      <c r="B1726" s="213"/>
      <c r="C1726" s="213"/>
      <c r="D1726" s="213"/>
      <c r="E1726" s="213"/>
      <c r="F1726" s="213"/>
      <c r="G1726" s="525"/>
      <c r="H1726" s="213"/>
      <c r="I1726" s="213"/>
      <c r="J1726" s="213"/>
      <c r="K1726" s="213"/>
      <c r="L1726" s="213"/>
      <c r="N1726" s="525"/>
      <c r="O1726" s="525"/>
      <c r="P1726" s="525"/>
      <c r="Q1726" s="58"/>
      <c r="R1726" s="58"/>
      <c r="S1726" s="58"/>
    </row>
    <row r="1727" spans="2:19" x14ac:dyDescent="0.2">
      <c r="B1727" s="213"/>
      <c r="C1727" s="213"/>
      <c r="D1727" s="213"/>
      <c r="E1727" s="213"/>
      <c r="F1727" s="213"/>
      <c r="G1727" s="525"/>
      <c r="H1727" s="213"/>
      <c r="I1727" s="213"/>
      <c r="J1727" s="213"/>
      <c r="K1727" s="213"/>
      <c r="L1727" s="213"/>
      <c r="N1727" s="525"/>
      <c r="O1727" s="525"/>
      <c r="P1727" s="525"/>
      <c r="Q1727" s="58"/>
      <c r="R1727" s="58"/>
      <c r="S1727" s="58"/>
    </row>
    <row r="1728" spans="2:19" x14ac:dyDescent="0.2">
      <c r="B1728" s="213"/>
      <c r="C1728" s="213"/>
      <c r="D1728" s="213"/>
      <c r="E1728" s="213"/>
      <c r="F1728" s="213"/>
      <c r="G1728" s="525"/>
      <c r="H1728" s="213"/>
      <c r="I1728" s="213"/>
      <c r="J1728" s="213"/>
      <c r="K1728" s="213"/>
      <c r="L1728" s="213"/>
      <c r="N1728" s="525"/>
      <c r="O1728" s="525"/>
      <c r="P1728" s="525"/>
      <c r="Q1728" s="58"/>
      <c r="R1728" s="58"/>
      <c r="S1728" s="58"/>
    </row>
    <row r="1729" spans="2:19" x14ac:dyDescent="0.2">
      <c r="B1729" s="213"/>
      <c r="C1729" s="213"/>
      <c r="D1729" s="213"/>
      <c r="E1729" s="213"/>
      <c r="F1729" s="213"/>
      <c r="G1729" s="525"/>
      <c r="H1729" s="213"/>
      <c r="I1729" s="213"/>
      <c r="J1729" s="213"/>
      <c r="K1729" s="213"/>
      <c r="L1729" s="213"/>
      <c r="N1729" s="525"/>
      <c r="O1729" s="525"/>
      <c r="P1729" s="525"/>
      <c r="Q1729" s="58"/>
      <c r="R1729" s="58"/>
      <c r="S1729" s="58"/>
    </row>
    <row r="1730" spans="2:19" x14ac:dyDescent="0.2">
      <c r="B1730" s="213"/>
      <c r="C1730" s="213"/>
      <c r="D1730" s="213"/>
      <c r="E1730" s="213"/>
      <c r="F1730" s="213"/>
      <c r="G1730" s="525"/>
      <c r="H1730" s="213"/>
      <c r="I1730" s="213"/>
      <c r="J1730" s="213"/>
      <c r="K1730" s="213"/>
      <c r="L1730" s="213"/>
      <c r="N1730" s="525"/>
      <c r="O1730" s="525"/>
      <c r="P1730" s="525"/>
      <c r="Q1730" s="58"/>
      <c r="R1730" s="58"/>
      <c r="S1730" s="58"/>
    </row>
    <row r="1731" spans="2:19" x14ac:dyDescent="0.2">
      <c r="B1731" s="213"/>
      <c r="C1731" s="213"/>
      <c r="D1731" s="213"/>
      <c r="E1731" s="213"/>
      <c r="F1731" s="213"/>
      <c r="G1731" s="525"/>
      <c r="H1731" s="213"/>
      <c r="I1731" s="213"/>
      <c r="J1731" s="213"/>
      <c r="K1731" s="213"/>
      <c r="L1731" s="213"/>
      <c r="N1731" s="525"/>
      <c r="O1731" s="525"/>
      <c r="P1731" s="525"/>
      <c r="Q1731" s="58"/>
      <c r="R1731" s="58"/>
      <c r="S1731" s="58"/>
    </row>
    <row r="1732" spans="2:19" x14ac:dyDescent="0.2">
      <c r="B1732" s="213"/>
      <c r="C1732" s="213"/>
      <c r="D1732" s="213"/>
      <c r="E1732" s="213"/>
      <c r="F1732" s="213"/>
      <c r="G1732" s="525"/>
      <c r="H1732" s="213"/>
      <c r="I1732" s="213"/>
      <c r="J1732" s="213"/>
      <c r="K1732" s="213"/>
      <c r="L1732" s="213"/>
      <c r="N1732" s="525"/>
      <c r="O1732" s="525"/>
      <c r="P1732" s="525"/>
      <c r="Q1732" s="58"/>
      <c r="R1732" s="58"/>
      <c r="S1732" s="58"/>
    </row>
    <row r="1733" spans="2:19" x14ac:dyDescent="0.2">
      <c r="B1733" s="213"/>
      <c r="C1733" s="213"/>
      <c r="D1733" s="213"/>
      <c r="E1733" s="213"/>
      <c r="F1733" s="213"/>
      <c r="G1733" s="525"/>
      <c r="H1733" s="213"/>
      <c r="I1733" s="213"/>
      <c r="J1733" s="213"/>
      <c r="K1733" s="213"/>
      <c r="L1733" s="213"/>
      <c r="N1733" s="525"/>
      <c r="O1733" s="525"/>
      <c r="P1733" s="525"/>
      <c r="Q1733" s="58"/>
      <c r="R1733" s="58"/>
      <c r="S1733" s="58"/>
    </row>
    <row r="1734" spans="2:19" x14ac:dyDescent="0.2">
      <c r="B1734" s="213"/>
      <c r="C1734" s="213"/>
      <c r="D1734" s="213"/>
      <c r="E1734" s="213"/>
      <c r="F1734" s="213"/>
      <c r="G1734" s="525"/>
      <c r="H1734" s="213"/>
      <c r="I1734" s="213"/>
      <c r="J1734" s="213"/>
      <c r="K1734" s="213"/>
      <c r="L1734" s="213"/>
      <c r="N1734" s="525"/>
      <c r="O1734" s="525"/>
      <c r="P1734" s="525"/>
      <c r="Q1734" s="58"/>
      <c r="R1734" s="58"/>
      <c r="S1734" s="58"/>
    </row>
    <row r="1735" spans="2:19" x14ac:dyDescent="0.2">
      <c r="B1735" s="213"/>
      <c r="C1735" s="213"/>
      <c r="D1735" s="213"/>
      <c r="E1735" s="213"/>
      <c r="F1735" s="213"/>
      <c r="G1735" s="525"/>
      <c r="H1735" s="213"/>
      <c r="I1735" s="213"/>
      <c r="J1735" s="213"/>
      <c r="K1735" s="213"/>
      <c r="L1735" s="213"/>
      <c r="N1735" s="525"/>
      <c r="O1735" s="525"/>
      <c r="P1735" s="525"/>
      <c r="Q1735" s="58"/>
      <c r="R1735" s="58"/>
      <c r="S1735" s="58"/>
    </row>
    <row r="1736" spans="2:19" x14ac:dyDescent="0.2">
      <c r="B1736" s="213"/>
      <c r="C1736" s="213"/>
      <c r="D1736" s="213"/>
      <c r="E1736" s="213"/>
      <c r="F1736" s="213"/>
      <c r="G1736" s="525"/>
      <c r="H1736" s="213"/>
      <c r="I1736" s="213"/>
      <c r="J1736" s="213"/>
      <c r="K1736" s="213"/>
      <c r="L1736" s="213"/>
      <c r="N1736" s="525"/>
      <c r="O1736" s="525"/>
      <c r="P1736" s="525"/>
      <c r="Q1736" s="58"/>
      <c r="R1736" s="58"/>
      <c r="S1736" s="58"/>
    </row>
    <row r="1737" spans="2:19" x14ac:dyDescent="0.2">
      <c r="B1737" s="213"/>
      <c r="C1737" s="213"/>
      <c r="D1737" s="213"/>
      <c r="E1737" s="213"/>
      <c r="F1737" s="213"/>
      <c r="G1737" s="525"/>
      <c r="H1737" s="213"/>
      <c r="I1737" s="213"/>
      <c r="J1737" s="213"/>
      <c r="K1737" s="213"/>
      <c r="L1737" s="213"/>
      <c r="N1737" s="525"/>
      <c r="O1737" s="525"/>
      <c r="P1737" s="525"/>
      <c r="Q1737" s="58"/>
      <c r="R1737" s="58"/>
      <c r="S1737" s="58"/>
    </row>
    <row r="1738" spans="2:19" x14ac:dyDescent="0.2">
      <c r="B1738" s="213"/>
      <c r="C1738" s="213"/>
      <c r="D1738" s="213"/>
      <c r="E1738" s="213"/>
      <c r="F1738" s="213"/>
      <c r="G1738" s="525"/>
      <c r="H1738" s="213"/>
      <c r="I1738" s="213"/>
      <c r="J1738" s="213"/>
      <c r="K1738" s="213"/>
      <c r="L1738" s="213"/>
      <c r="N1738" s="525"/>
      <c r="O1738" s="525"/>
      <c r="P1738" s="525"/>
      <c r="Q1738" s="58"/>
      <c r="R1738" s="58"/>
      <c r="S1738" s="58"/>
    </row>
    <row r="1739" spans="2:19" x14ac:dyDescent="0.2">
      <c r="B1739" s="213"/>
      <c r="C1739" s="213"/>
      <c r="D1739" s="213"/>
      <c r="E1739" s="213"/>
      <c r="F1739" s="213"/>
      <c r="G1739" s="525"/>
      <c r="H1739" s="213"/>
      <c r="I1739" s="213"/>
      <c r="J1739" s="213"/>
      <c r="K1739" s="213"/>
      <c r="L1739" s="213"/>
      <c r="N1739" s="525"/>
      <c r="O1739" s="525"/>
      <c r="P1739" s="525"/>
      <c r="Q1739" s="58"/>
      <c r="R1739" s="58"/>
      <c r="S1739" s="58"/>
    </row>
    <row r="1740" spans="2:19" x14ac:dyDescent="0.2">
      <c r="B1740" s="213"/>
      <c r="C1740" s="213"/>
      <c r="D1740" s="213"/>
      <c r="E1740" s="213"/>
      <c r="F1740" s="213"/>
      <c r="G1740" s="525"/>
      <c r="H1740" s="213"/>
      <c r="I1740" s="213"/>
      <c r="J1740" s="213"/>
      <c r="K1740" s="213"/>
      <c r="L1740" s="213"/>
      <c r="N1740" s="525"/>
      <c r="O1740" s="525"/>
      <c r="P1740" s="525"/>
      <c r="Q1740" s="58"/>
      <c r="R1740" s="58"/>
      <c r="S1740" s="58"/>
    </row>
    <row r="1741" spans="2:19" x14ac:dyDescent="0.2">
      <c r="B1741" s="213"/>
      <c r="C1741" s="213"/>
      <c r="D1741" s="213"/>
      <c r="E1741" s="213"/>
      <c r="F1741" s="213"/>
      <c r="G1741" s="525"/>
      <c r="H1741" s="213"/>
      <c r="I1741" s="213"/>
      <c r="J1741" s="213"/>
      <c r="K1741" s="213"/>
      <c r="L1741" s="213"/>
      <c r="N1741" s="525"/>
      <c r="O1741" s="525"/>
      <c r="P1741" s="525"/>
      <c r="Q1741" s="58"/>
      <c r="R1741" s="58"/>
      <c r="S1741" s="58"/>
    </row>
    <row r="1742" spans="2:19" x14ac:dyDescent="0.2">
      <c r="B1742" s="213"/>
      <c r="C1742" s="213"/>
      <c r="D1742" s="213"/>
      <c r="E1742" s="213"/>
      <c r="F1742" s="213"/>
      <c r="G1742" s="525"/>
      <c r="H1742" s="213"/>
      <c r="I1742" s="213"/>
      <c r="J1742" s="213"/>
      <c r="K1742" s="213"/>
      <c r="L1742" s="213"/>
      <c r="N1742" s="525"/>
      <c r="O1742" s="525"/>
      <c r="P1742" s="525"/>
      <c r="Q1742" s="58"/>
      <c r="R1742" s="58"/>
      <c r="S1742" s="58"/>
    </row>
    <row r="1743" spans="2:19" x14ac:dyDescent="0.2">
      <c r="B1743" s="213"/>
      <c r="C1743" s="213"/>
      <c r="D1743" s="213"/>
      <c r="E1743" s="213"/>
      <c r="F1743" s="213"/>
      <c r="G1743" s="525"/>
      <c r="H1743" s="213"/>
      <c r="I1743" s="213"/>
      <c r="J1743" s="213"/>
      <c r="K1743" s="213"/>
      <c r="L1743" s="213"/>
      <c r="N1743" s="525"/>
      <c r="O1743" s="525"/>
      <c r="P1743" s="525"/>
      <c r="Q1743" s="58"/>
      <c r="R1743" s="58"/>
      <c r="S1743" s="58"/>
    </row>
    <row r="1744" spans="2:19" x14ac:dyDescent="0.2">
      <c r="B1744" s="213"/>
      <c r="C1744" s="213"/>
      <c r="D1744" s="213"/>
      <c r="E1744" s="213"/>
      <c r="F1744" s="213"/>
      <c r="G1744" s="525"/>
      <c r="H1744" s="213"/>
      <c r="I1744" s="213"/>
      <c r="J1744" s="213"/>
      <c r="K1744" s="213"/>
      <c r="L1744" s="213"/>
      <c r="N1744" s="525"/>
      <c r="O1744" s="525"/>
      <c r="P1744" s="525"/>
      <c r="Q1744" s="58"/>
      <c r="R1744" s="58"/>
      <c r="S1744" s="58"/>
    </row>
    <row r="1745" spans="2:19" x14ac:dyDescent="0.2">
      <c r="B1745" s="213"/>
      <c r="C1745" s="213"/>
      <c r="D1745" s="213"/>
      <c r="E1745" s="213"/>
      <c r="F1745" s="213"/>
      <c r="G1745" s="525"/>
      <c r="H1745" s="213"/>
      <c r="I1745" s="213"/>
      <c r="J1745" s="213"/>
      <c r="K1745" s="213"/>
      <c r="L1745" s="213"/>
      <c r="N1745" s="525"/>
      <c r="O1745" s="525"/>
      <c r="P1745" s="525"/>
      <c r="Q1745" s="58"/>
      <c r="R1745" s="58"/>
      <c r="S1745" s="58"/>
    </row>
    <row r="1746" spans="2:19" x14ac:dyDescent="0.2">
      <c r="B1746" s="213"/>
      <c r="C1746" s="213"/>
      <c r="D1746" s="213"/>
      <c r="E1746" s="213"/>
      <c r="F1746" s="213"/>
      <c r="G1746" s="525"/>
      <c r="H1746" s="213"/>
      <c r="I1746" s="213"/>
      <c r="J1746" s="213"/>
      <c r="K1746" s="213"/>
      <c r="L1746" s="213"/>
      <c r="N1746" s="525"/>
      <c r="O1746" s="525"/>
      <c r="P1746" s="525"/>
      <c r="Q1746" s="58"/>
      <c r="R1746" s="58"/>
      <c r="S1746" s="58"/>
    </row>
    <row r="1747" spans="2:19" x14ac:dyDescent="0.2">
      <c r="B1747" s="213"/>
      <c r="C1747" s="213"/>
      <c r="D1747" s="213"/>
      <c r="E1747" s="213"/>
      <c r="F1747" s="213"/>
      <c r="G1747" s="525"/>
      <c r="H1747" s="213"/>
      <c r="I1747" s="213"/>
      <c r="J1747" s="213"/>
      <c r="K1747" s="213"/>
      <c r="L1747" s="213"/>
      <c r="N1747" s="525"/>
      <c r="O1747" s="525"/>
      <c r="P1747" s="525"/>
      <c r="Q1747" s="58"/>
      <c r="R1747" s="58"/>
      <c r="S1747" s="58"/>
    </row>
    <row r="1748" spans="2:19" x14ac:dyDescent="0.2">
      <c r="B1748" s="213"/>
      <c r="C1748" s="213"/>
      <c r="D1748" s="213"/>
      <c r="E1748" s="213"/>
      <c r="F1748" s="213"/>
      <c r="G1748" s="525"/>
      <c r="H1748" s="213"/>
      <c r="I1748" s="213"/>
      <c r="J1748" s="213"/>
      <c r="K1748" s="213"/>
      <c r="L1748" s="213"/>
      <c r="N1748" s="525"/>
      <c r="O1748" s="525"/>
      <c r="P1748" s="525"/>
      <c r="Q1748" s="58"/>
      <c r="R1748" s="58"/>
      <c r="S1748" s="58"/>
    </row>
    <row r="1749" spans="2:19" x14ac:dyDescent="0.2">
      <c r="B1749" s="213"/>
      <c r="C1749" s="213"/>
      <c r="D1749" s="213"/>
      <c r="E1749" s="213"/>
      <c r="F1749" s="213"/>
      <c r="G1749" s="525"/>
      <c r="H1749" s="213"/>
      <c r="I1749" s="213"/>
      <c r="J1749" s="213"/>
      <c r="K1749" s="213"/>
      <c r="L1749" s="213"/>
      <c r="N1749" s="525"/>
      <c r="O1749" s="525"/>
      <c r="P1749" s="525"/>
      <c r="Q1749" s="58"/>
      <c r="R1749" s="58"/>
      <c r="S1749" s="58"/>
    </row>
    <row r="1750" spans="2:19" x14ac:dyDescent="0.2">
      <c r="B1750" s="213"/>
      <c r="C1750" s="213"/>
      <c r="D1750" s="213"/>
      <c r="E1750" s="213"/>
      <c r="F1750" s="213"/>
      <c r="G1750" s="525"/>
      <c r="H1750" s="213"/>
      <c r="I1750" s="213"/>
      <c r="J1750" s="213"/>
      <c r="K1750" s="213"/>
      <c r="L1750" s="213"/>
      <c r="N1750" s="525"/>
      <c r="O1750" s="525"/>
      <c r="P1750" s="525"/>
      <c r="Q1750" s="58"/>
      <c r="R1750" s="58"/>
      <c r="S1750" s="58"/>
    </row>
    <row r="1751" spans="2:19" x14ac:dyDescent="0.2">
      <c r="B1751" s="213"/>
      <c r="C1751" s="213"/>
      <c r="D1751" s="213"/>
      <c r="E1751" s="213"/>
      <c r="F1751" s="213"/>
      <c r="G1751" s="525"/>
      <c r="H1751" s="213"/>
      <c r="I1751" s="213"/>
      <c r="J1751" s="213"/>
      <c r="K1751" s="213"/>
      <c r="L1751" s="213"/>
      <c r="N1751" s="525"/>
      <c r="O1751" s="525"/>
      <c r="P1751" s="525"/>
      <c r="Q1751" s="58"/>
      <c r="R1751" s="58"/>
      <c r="S1751" s="58"/>
    </row>
    <row r="1752" spans="2:19" x14ac:dyDescent="0.2">
      <c r="B1752" s="213"/>
      <c r="C1752" s="213"/>
      <c r="D1752" s="213"/>
      <c r="E1752" s="213"/>
      <c r="F1752" s="213"/>
      <c r="G1752" s="525"/>
      <c r="H1752" s="213"/>
      <c r="I1752" s="213"/>
      <c r="J1752" s="213"/>
      <c r="K1752" s="213"/>
      <c r="L1752" s="213"/>
      <c r="N1752" s="525"/>
      <c r="O1752" s="525"/>
      <c r="P1752" s="525"/>
      <c r="Q1752" s="58"/>
      <c r="R1752" s="58"/>
      <c r="S1752" s="58"/>
    </row>
    <row r="1753" spans="2:19" x14ac:dyDescent="0.2">
      <c r="B1753" s="213"/>
      <c r="C1753" s="213"/>
      <c r="D1753" s="213"/>
      <c r="E1753" s="213"/>
      <c r="F1753" s="213"/>
      <c r="G1753" s="525"/>
      <c r="H1753" s="213"/>
      <c r="I1753" s="213"/>
      <c r="J1753" s="213"/>
      <c r="K1753" s="213"/>
      <c r="L1753" s="213"/>
      <c r="N1753" s="525"/>
      <c r="O1753" s="525"/>
      <c r="P1753" s="525"/>
      <c r="Q1753" s="58"/>
      <c r="R1753" s="58"/>
      <c r="S1753" s="58"/>
    </row>
    <row r="1754" spans="2:19" x14ac:dyDescent="0.2">
      <c r="B1754" s="213"/>
      <c r="C1754" s="213"/>
      <c r="D1754" s="213"/>
      <c r="E1754" s="213"/>
      <c r="F1754" s="213"/>
      <c r="G1754" s="525"/>
      <c r="H1754" s="213"/>
      <c r="I1754" s="213"/>
      <c r="J1754" s="213"/>
      <c r="K1754" s="213"/>
      <c r="L1754" s="213"/>
      <c r="N1754" s="525"/>
      <c r="O1754" s="525"/>
      <c r="P1754" s="525"/>
      <c r="Q1754" s="58"/>
      <c r="R1754" s="58"/>
      <c r="S1754" s="58"/>
    </row>
    <row r="1755" spans="2:19" x14ac:dyDescent="0.2">
      <c r="B1755" s="213"/>
      <c r="C1755" s="213"/>
      <c r="D1755" s="213"/>
      <c r="E1755" s="213"/>
      <c r="F1755" s="213"/>
      <c r="G1755" s="525"/>
      <c r="H1755" s="213"/>
      <c r="I1755" s="213"/>
      <c r="J1755" s="213"/>
      <c r="K1755" s="213"/>
      <c r="L1755" s="213"/>
      <c r="N1755" s="525"/>
      <c r="O1755" s="525"/>
      <c r="P1755" s="525"/>
      <c r="Q1755" s="58"/>
      <c r="R1755" s="58"/>
      <c r="S1755" s="58"/>
    </row>
    <row r="1756" spans="2:19" x14ac:dyDescent="0.2">
      <c r="B1756" s="213"/>
      <c r="C1756" s="213"/>
      <c r="D1756" s="213"/>
      <c r="E1756" s="213"/>
      <c r="F1756" s="213"/>
      <c r="G1756" s="525"/>
      <c r="H1756" s="213"/>
      <c r="I1756" s="213"/>
      <c r="J1756" s="213"/>
      <c r="K1756" s="213"/>
      <c r="L1756" s="213"/>
      <c r="N1756" s="525"/>
      <c r="O1756" s="525"/>
      <c r="P1756" s="525"/>
      <c r="Q1756" s="58"/>
      <c r="R1756" s="58"/>
      <c r="S1756" s="58"/>
    </row>
    <row r="1757" spans="2:19" x14ac:dyDescent="0.2">
      <c r="B1757" s="213"/>
      <c r="C1757" s="213"/>
      <c r="D1757" s="213"/>
      <c r="E1757" s="213"/>
      <c r="F1757" s="213"/>
      <c r="G1757" s="525"/>
      <c r="H1757" s="213"/>
      <c r="I1757" s="213"/>
      <c r="J1757" s="213"/>
      <c r="K1757" s="213"/>
      <c r="L1757" s="213"/>
      <c r="N1757" s="525"/>
      <c r="O1757" s="525"/>
      <c r="P1757" s="525"/>
      <c r="Q1757" s="58"/>
      <c r="R1757" s="58"/>
      <c r="S1757" s="58"/>
    </row>
    <row r="1758" spans="2:19" x14ac:dyDescent="0.2">
      <c r="B1758" s="213"/>
      <c r="C1758" s="213"/>
      <c r="D1758" s="213"/>
      <c r="E1758" s="213"/>
      <c r="F1758" s="213"/>
      <c r="G1758" s="525"/>
      <c r="H1758" s="213"/>
      <c r="I1758" s="213"/>
      <c r="J1758" s="213"/>
      <c r="K1758" s="213"/>
      <c r="L1758" s="213"/>
      <c r="N1758" s="525"/>
      <c r="O1758" s="525"/>
      <c r="P1758" s="525"/>
      <c r="Q1758" s="58"/>
      <c r="R1758" s="58"/>
      <c r="S1758" s="58"/>
    </row>
    <row r="1759" spans="2:19" x14ac:dyDescent="0.2">
      <c r="B1759" s="213"/>
      <c r="C1759" s="213"/>
      <c r="D1759" s="213"/>
      <c r="E1759" s="213"/>
      <c r="F1759" s="213"/>
      <c r="G1759" s="525"/>
      <c r="H1759" s="213"/>
      <c r="I1759" s="213"/>
      <c r="J1759" s="213"/>
      <c r="K1759" s="213"/>
      <c r="L1759" s="213"/>
      <c r="N1759" s="525"/>
      <c r="O1759" s="525"/>
      <c r="P1759" s="525"/>
      <c r="Q1759" s="58"/>
      <c r="R1759" s="58"/>
      <c r="S1759" s="58"/>
    </row>
    <row r="1760" spans="2:19" x14ac:dyDescent="0.2">
      <c r="B1760" s="213"/>
      <c r="C1760" s="213"/>
      <c r="D1760" s="213"/>
      <c r="E1760" s="213"/>
      <c r="F1760" s="213"/>
      <c r="G1760" s="525"/>
      <c r="H1760" s="213"/>
      <c r="I1760" s="213"/>
      <c r="J1760" s="213"/>
      <c r="K1760" s="213"/>
      <c r="L1760" s="213"/>
      <c r="N1760" s="525"/>
      <c r="O1760" s="525"/>
      <c r="P1760" s="525"/>
      <c r="Q1760" s="58"/>
      <c r="R1760" s="58"/>
      <c r="S1760" s="58"/>
    </row>
    <row r="1761" spans="2:19" x14ac:dyDescent="0.2">
      <c r="B1761" s="213"/>
      <c r="C1761" s="213"/>
      <c r="D1761" s="213"/>
      <c r="E1761" s="213"/>
      <c r="F1761" s="213"/>
      <c r="G1761" s="525"/>
      <c r="H1761" s="213"/>
      <c r="I1761" s="213"/>
      <c r="J1761" s="213"/>
      <c r="K1761" s="213"/>
      <c r="L1761" s="213"/>
      <c r="N1761" s="525"/>
      <c r="O1761" s="525"/>
      <c r="P1761" s="525"/>
      <c r="Q1761" s="58"/>
      <c r="R1761" s="58"/>
      <c r="S1761" s="58"/>
    </row>
    <row r="1762" spans="2:19" x14ac:dyDescent="0.2">
      <c r="B1762" s="213"/>
      <c r="C1762" s="213"/>
      <c r="D1762" s="213"/>
      <c r="E1762" s="213"/>
      <c r="F1762" s="213"/>
      <c r="G1762" s="525"/>
      <c r="H1762" s="213"/>
      <c r="I1762" s="213"/>
      <c r="J1762" s="213"/>
      <c r="K1762" s="213"/>
      <c r="L1762" s="213"/>
      <c r="N1762" s="525"/>
      <c r="O1762" s="525"/>
      <c r="P1762" s="525"/>
      <c r="Q1762" s="58"/>
      <c r="R1762" s="58"/>
      <c r="S1762" s="58"/>
    </row>
    <row r="1763" spans="2:19" x14ac:dyDescent="0.2">
      <c r="B1763" s="213"/>
      <c r="C1763" s="213"/>
      <c r="D1763" s="213"/>
      <c r="E1763" s="213"/>
      <c r="F1763" s="213"/>
      <c r="G1763" s="525"/>
      <c r="H1763" s="213"/>
      <c r="I1763" s="213"/>
      <c r="J1763" s="213"/>
      <c r="K1763" s="213"/>
      <c r="L1763" s="213"/>
      <c r="N1763" s="525"/>
      <c r="O1763" s="525"/>
      <c r="P1763" s="525"/>
      <c r="Q1763" s="58"/>
      <c r="R1763" s="58"/>
      <c r="S1763" s="58"/>
    </row>
    <row r="1764" spans="2:19" x14ac:dyDescent="0.2">
      <c r="B1764" s="213"/>
      <c r="C1764" s="213"/>
      <c r="D1764" s="213"/>
      <c r="E1764" s="213"/>
      <c r="F1764" s="213"/>
      <c r="G1764" s="525"/>
      <c r="H1764" s="213"/>
      <c r="I1764" s="213"/>
      <c r="J1764" s="213"/>
      <c r="K1764" s="213"/>
      <c r="L1764" s="213"/>
      <c r="N1764" s="525"/>
      <c r="O1764" s="525"/>
      <c r="P1764" s="525"/>
      <c r="Q1764" s="58"/>
      <c r="R1764" s="58"/>
      <c r="S1764" s="58"/>
    </row>
    <row r="1765" spans="2:19" x14ac:dyDescent="0.2">
      <c r="B1765" s="213"/>
      <c r="C1765" s="213"/>
      <c r="D1765" s="213"/>
      <c r="E1765" s="213"/>
      <c r="F1765" s="213"/>
      <c r="G1765" s="525"/>
      <c r="H1765" s="213"/>
      <c r="I1765" s="213"/>
      <c r="J1765" s="213"/>
      <c r="K1765" s="213"/>
      <c r="L1765" s="213"/>
      <c r="N1765" s="525"/>
      <c r="O1765" s="525"/>
      <c r="P1765" s="525"/>
      <c r="Q1765" s="58"/>
      <c r="R1765" s="58"/>
      <c r="S1765" s="58"/>
    </row>
    <row r="1766" spans="2:19" x14ac:dyDescent="0.2">
      <c r="B1766" s="213"/>
      <c r="C1766" s="213"/>
      <c r="D1766" s="213"/>
      <c r="E1766" s="213"/>
      <c r="F1766" s="213"/>
      <c r="G1766" s="525"/>
      <c r="H1766" s="213"/>
      <c r="I1766" s="213"/>
      <c r="J1766" s="213"/>
      <c r="K1766" s="213"/>
      <c r="L1766" s="213"/>
      <c r="N1766" s="525"/>
      <c r="O1766" s="525"/>
      <c r="P1766" s="525"/>
      <c r="Q1766" s="58"/>
      <c r="R1766" s="58"/>
      <c r="S1766" s="58"/>
    </row>
    <row r="1767" spans="2:19" x14ac:dyDescent="0.2">
      <c r="B1767" s="213"/>
      <c r="C1767" s="213"/>
      <c r="D1767" s="213"/>
      <c r="E1767" s="213"/>
      <c r="F1767" s="213"/>
      <c r="G1767" s="525"/>
      <c r="H1767" s="213"/>
      <c r="I1767" s="213"/>
      <c r="J1767" s="213"/>
      <c r="K1767" s="213"/>
      <c r="L1767" s="213"/>
      <c r="N1767" s="525"/>
      <c r="O1767" s="525"/>
      <c r="P1767" s="525"/>
      <c r="Q1767" s="58"/>
      <c r="R1767" s="58"/>
      <c r="S1767" s="58"/>
    </row>
    <row r="1768" spans="2:19" x14ac:dyDescent="0.2">
      <c r="B1768" s="213"/>
      <c r="C1768" s="213"/>
      <c r="D1768" s="213"/>
      <c r="E1768" s="213"/>
      <c r="F1768" s="213"/>
      <c r="G1768" s="525"/>
      <c r="H1768" s="213"/>
      <c r="I1768" s="213"/>
      <c r="J1768" s="213"/>
      <c r="K1768" s="213"/>
      <c r="L1768" s="213"/>
      <c r="N1768" s="525"/>
      <c r="O1768" s="525"/>
      <c r="P1768" s="525"/>
      <c r="Q1768" s="58"/>
      <c r="R1768" s="58"/>
      <c r="S1768" s="58"/>
    </row>
    <row r="1769" spans="2:19" x14ac:dyDescent="0.2">
      <c r="B1769" s="213"/>
      <c r="C1769" s="213"/>
      <c r="D1769" s="213"/>
      <c r="E1769" s="213"/>
      <c r="F1769" s="213"/>
      <c r="G1769" s="525"/>
      <c r="H1769" s="213"/>
      <c r="I1769" s="213"/>
      <c r="J1769" s="213"/>
      <c r="K1769" s="213"/>
      <c r="L1769" s="213"/>
      <c r="N1769" s="525"/>
      <c r="O1769" s="525"/>
      <c r="P1769" s="525"/>
      <c r="Q1769" s="58"/>
      <c r="R1769" s="58"/>
      <c r="S1769" s="58"/>
    </row>
    <row r="1770" spans="2:19" x14ac:dyDescent="0.2">
      <c r="B1770" s="213"/>
      <c r="C1770" s="213"/>
      <c r="D1770" s="213"/>
      <c r="E1770" s="213"/>
      <c r="F1770" s="213"/>
      <c r="G1770" s="525"/>
      <c r="H1770" s="213"/>
      <c r="I1770" s="213"/>
      <c r="J1770" s="213"/>
      <c r="K1770" s="213"/>
      <c r="L1770" s="213"/>
      <c r="N1770" s="525"/>
      <c r="O1770" s="525"/>
      <c r="P1770" s="525"/>
      <c r="Q1770" s="58"/>
      <c r="R1770" s="58"/>
      <c r="S1770" s="58"/>
    </row>
    <row r="1771" spans="2:19" x14ac:dyDescent="0.2">
      <c r="B1771" s="213"/>
      <c r="C1771" s="213"/>
      <c r="D1771" s="213"/>
      <c r="E1771" s="213"/>
      <c r="F1771" s="213"/>
      <c r="G1771" s="525"/>
      <c r="H1771" s="213"/>
      <c r="I1771" s="213"/>
      <c r="J1771" s="213"/>
      <c r="K1771" s="213"/>
      <c r="L1771" s="213"/>
      <c r="N1771" s="525"/>
      <c r="O1771" s="525"/>
      <c r="P1771" s="525"/>
      <c r="Q1771" s="58"/>
      <c r="R1771" s="58"/>
      <c r="S1771" s="58"/>
    </row>
    <row r="1772" spans="2:19" x14ac:dyDescent="0.2">
      <c r="B1772" s="213"/>
      <c r="C1772" s="213"/>
      <c r="D1772" s="213"/>
      <c r="E1772" s="213"/>
      <c r="F1772" s="213"/>
      <c r="G1772" s="525"/>
      <c r="H1772" s="213"/>
      <c r="I1772" s="213"/>
      <c r="J1772" s="213"/>
      <c r="K1772" s="213"/>
      <c r="L1772" s="213"/>
      <c r="N1772" s="525"/>
      <c r="O1772" s="525"/>
      <c r="P1772" s="525"/>
      <c r="Q1772" s="58"/>
      <c r="R1772" s="58"/>
      <c r="S1772" s="58"/>
    </row>
    <row r="1773" spans="2:19" x14ac:dyDescent="0.2">
      <c r="B1773" s="213"/>
      <c r="C1773" s="213"/>
      <c r="D1773" s="213"/>
      <c r="E1773" s="213"/>
      <c r="F1773" s="213"/>
      <c r="G1773" s="525"/>
      <c r="H1773" s="213"/>
      <c r="I1773" s="213"/>
      <c r="J1773" s="213"/>
      <c r="K1773" s="213"/>
      <c r="L1773" s="213"/>
      <c r="N1773" s="525"/>
      <c r="O1773" s="525"/>
      <c r="P1773" s="525"/>
      <c r="Q1773" s="58"/>
      <c r="R1773" s="58"/>
      <c r="S1773" s="58"/>
    </row>
    <row r="1774" spans="2:19" x14ac:dyDescent="0.2">
      <c r="B1774" s="213"/>
      <c r="C1774" s="213"/>
      <c r="D1774" s="213"/>
      <c r="E1774" s="213"/>
      <c r="F1774" s="213"/>
      <c r="G1774" s="525"/>
      <c r="H1774" s="213"/>
      <c r="I1774" s="213"/>
      <c r="J1774" s="213"/>
      <c r="K1774" s="213"/>
      <c r="L1774" s="213"/>
      <c r="N1774" s="525"/>
      <c r="O1774" s="525"/>
      <c r="P1774" s="525"/>
      <c r="Q1774" s="58"/>
      <c r="R1774" s="58"/>
      <c r="S1774" s="58"/>
    </row>
    <row r="1775" spans="2:19" x14ac:dyDescent="0.2">
      <c r="B1775" s="213"/>
      <c r="C1775" s="213"/>
      <c r="D1775" s="213"/>
      <c r="E1775" s="213"/>
      <c r="F1775" s="213"/>
      <c r="G1775" s="525"/>
      <c r="H1775" s="213"/>
      <c r="I1775" s="213"/>
      <c r="J1775" s="213"/>
      <c r="K1775" s="213"/>
      <c r="L1775" s="213"/>
      <c r="N1775" s="525"/>
      <c r="O1775" s="525"/>
      <c r="P1775" s="525"/>
      <c r="Q1775" s="58"/>
      <c r="R1775" s="58"/>
      <c r="S1775" s="58"/>
    </row>
    <row r="1776" spans="2:19" x14ac:dyDescent="0.2">
      <c r="B1776" s="213"/>
      <c r="C1776" s="213"/>
      <c r="D1776" s="213"/>
      <c r="E1776" s="213"/>
      <c r="F1776" s="213"/>
      <c r="G1776" s="525"/>
      <c r="H1776" s="213"/>
      <c r="I1776" s="213"/>
      <c r="J1776" s="213"/>
      <c r="K1776" s="213"/>
      <c r="L1776" s="213"/>
      <c r="N1776" s="525"/>
      <c r="O1776" s="525"/>
      <c r="P1776" s="525"/>
      <c r="Q1776" s="58"/>
      <c r="R1776" s="58"/>
      <c r="S1776" s="58"/>
    </row>
    <row r="1777" spans="2:19" x14ac:dyDescent="0.2">
      <c r="B1777" s="213"/>
      <c r="C1777" s="213"/>
      <c r="D1777" s="213"/>
      <c r="E1777" s="213"/>
      <c r="F1777" s="213"/>
      <c r="G1777" s="525"/>
      <c r="H1777" s="213"/>
      <c r="I1777" s="213"/>
      <c r="J1777" s="213"/>
      <c r="K1777" s="213"/>
      <c r="L1777" s="213"/>
      <c r="N1777" s="525"/>
      <c r="O1777" s="525"/>
      <c r="P1777" s="525"/>
      <c r="Q1777" s="58"/>
      <c r="R1777" s="58"/>
      <c r="S1777" s="58"/>
    </row>
    <row r="1778" spans="2:19" x14ac:dyDescent="0.2">
      <c r="B1778" s="213"/>
      <c r="C1778" s="213"/>
      <c r="D1778" s="213"/>
      <c r="E1778" s="213"/>
      <c r="F1778" s="213"/>
      <c r="G1778" s="525"/>
      <c r="H1778" s="213"/>
      <c r="I1778" s="213"/>
      <c r="J1778" s="213"/>
      <c r="K1778" s="213"/>
      <c r="L1778" s="213"/>
      <c r="N1778" s="525"/>
      <c r="O1778" s="525"/>
      <c r="P1778" s="525"/>
      <c r="Q1778" s="58"/>
      <c r="R1778" s="58"/>
      <c r="S1778" s="58"/>
    </row>
    <row r="1779" spans="2:19" x14ac:dyDescent="0.2">
      <c r="B1779" s="213"/>
      <c r="C1779" s="213"/>
      <c r="D1779" s="213"/>
      <c r="E1779" s="213"/>
      <c r="F1779" s="213"/>
      <c r="G1779" s="525"/>
      <c r="H1779" s="213"/>
      <c r="I1779" s="213"/>
      <c r="J1779" s="213"/>
      <c r="K1779" s="213"/>
      <c r="L1779" s="213"/>
      <c r="N1779" s="525"/>
      <c r="O1779" s="525"/>
      <c r="P1779" s="525"/>
      <c r="Q1779" s="58"/>
      <c r="R1779" s="58"/>
      <c r="S1779" s="58"/>
    </row>
    <row r="1780" spans="2:19" x14ac:dyDescent="0.2">
      <c r="B1780" s="213"/>
      <c r="C1780" s="213"/>
      <c r="D1780" s="213"/>
      <c r="E1780" s="213"/>
      <c r="F1780" s="213"/>
      <c r="G1780" s="525"/>
      <c r="H1780" s="213"/>
      <c r="I1780" s="213"/>
      <c r="J1780" s="213"/>
      <c r="K1780" s="213"/>
      <c r="L1780" s="213"/>
      <c r="N1780" s="525"/>
      <c r="O1780" s="525"/>
      <c r="P1780" s="525"/>
      <c r="Q1780" s="58"/>
      <c r="R1780" s="58"/>
      <c r="S1780" s="58"/>
    </row>
    <row r="1781" spans="2:19" x14ac:dyDescent="0.2">
      <c r="B1781" s="213"/>
      <c r="C1781" s="213"/>
      <c r="D1781" s="213"/>
      <c r="E1781" s="213"/>
      <c r="F1781" s="213"/>
      <c r="G1781" s="525"/>
      <c r="H1781" s="213"/>
      <c r="I1781" s="213"/>
      <c r="J1781" s="213"/>
      <c r="K1781" s="213"/>
      <c r="L1781" s="213"/>
      <c r="N1781" s="525"/>
      <c r="O1781" s="525"/>
      <c r="P1781" s="525"/>
      <c r="Q1781" s="58"/>
      <c r="R1781" s="58"/>
      <c r="S1781" s="58"/>
    </row>
    <row r="1782" spans="2:19" x14ac:dyDescent="0.2">
      <c r="B1782" s="213"/>
      <c r="C1782" s="213"/>
      <c r="D1782" s="213"/>
      <c r="E1782" s="213"/>
      <c r="F1782" s="213"/>
      <c r="G1782" s="525"/>
      <c r="H1782" s="213"/>
      <c r="I1782" s="213"/>
      <c r="J1782" s="213"/>
      <c r="K1782" s="213"/>
      <c r="L1782" s="213"/>
      <c r="N1782" s="525"/>
      <c r="O1782" s="525"/>
      <c r="P1782" s="525"/>
      <c r="Q1782" s="58"/>
      <c r="R1782" s="58"/>
      <c r="S1782" s="58"/>
    </row>
    <row r="1783" spans="2:19" x14ac:dyDescent="0.2">
      <c r="B1783" s="213"/>
      <c r="C1783" s="213"/>
      <c r="D1783" s="213"/>
      <c r="E1783" s="213"/>
      <c r="F1783" s="213"/>
      <c r="G1783" s="525"/>
      <c r="H1783" s="213"/>
      <c r="I1783" s="213"/>
      <c r="J1783" s="213"/>
      <c r="K1783" s="213"/>
      <c r="L1783" s="213"/>
      <c r="N1783" s="525"/>
      <c r="O1783" s="525"/>
      <c r="P1783" s="525"/>
      <c r="Q1783" s="58"/>
      <c r="R1783" s="58"/>
      <c r="S1783" s="58"/>
    </row>
    <row r="1784" spans="2:19" x14ac:dyDescent="0.2">
      <c r="B1784" s="213"/>
      <c r="C1784" s="213"/>
      <c r="D1784" s="213"/>
      <c r="E1784" s="213"/>
      <c r="F1784" s="213"/>
      <c r="G1784" s="525"/>
      <c r="H1784" s="213"/>
      <c r="I1784" s="213"/>
      <c r="J1784" s="213"/>
      <c r="K1784" s="213"/>
      <c r="L1784" s="213"/>
      <c r="N1784" s="525"/>
      <c r="O1784" s="525"/>
      <c r="P1784" s="525"/>
      <c r="Q1784" s="58"/>
      <c r="R1784" s="58"/>
      <c r="S1784" s="58"/>
    </row>
    <row r="1785" spans="2:19" x14ac:dyDescent="0.2">
      <c r="B1785" s="213"/>
      <c r="C1785" s="213"/>
      <c r="D1785" s="213"/>
      <c r="E1785" s="213"/>
      <c r="F1785" s="213"/>
      <c r="G1785" s="525"/>
      <c r="H1785" s="213"/>
      <c r="I1785" s="213"/>
      <c r="J1785" s="213"/>
      <c r="K1785" s="213"/>
      <c r="L1785" s="213"/>
      <c r="N1785" s="525"/>
      <c r="O1785" s="525"/>
      <c r="P1785" s="525"/>
      <c r="Q1785" s="58"/>
      <c r="R1785" s="58"/>
      <c r="S1785" s="58"/>
    </row>
    <row r="1786" spans="2:19" x14ac:dyDescent="0.2">
      <c r="B1786" s="213"/>
      <c r="C1786" s="213"/>
      <c r="D1786" s="213"/>
      <c r="E1786" s="213"/>
      <c r="F1786" s="213"/>
      <c r="G1786" s="525"/>
      <c r="H1786" s="213"/>
      <c r="I1786" s="213"/>
      <c r="J1786" s="213"/>
      <c r="K1786" s="213"/>
      <c r="L1786" s="213"/>
      <c r="N1786" s="525"/>
      <c r="O1786" s="525"/>
      <c r="P1786" s="525"/>
      <c r="Q1786" s="58"/>
      <c r="R1786" s="58"/>
      <c r="S1786" s="58"/>
    </row>
    <row r="1787" spans="2:19" x14ac:dyDescent="0.2">
      <c r="B1787" s="213"/>
      <c r="C1787" s="213"/>
      <c r="D1787" s="213"/>
      <c r="E1787" s="213"/>
      <c r="F1787" s="213"/>
      <c r="G1787" s="525"/>
      <c r="H1787" s="213"/>
      <c r="I1787" s="213"/>
      <c r="J1787" s="213"/>
      <c r="K1787" s="213"/>
      <c r="L1787" s="213"/>
      <c r="N1787" s="525"/>
      <c r="O1787" s="525"/>
      <c r="P1787" s="525"/>
      <c r="Q1787" s="58"/>
      <c r="R1787" s="58"/>
      <c r="S1787" s="58"/>
    </row>
    <row r="1788" spans="2:19" x14ac:dyDescent="0.2">
      <c r="B1788" s="213"/>
      <c r="C1788" s="213"/>
      <c r="D1788" s="213"/>
      <c r="E1788" s="213"/>
      <c r="F1788" s="213"/>
      <c r="G1788" s="525"/>
      <c r="H1788" s="213"/>
      <c r="I1788" s="213"/>
      <c r="J1788" s="213"/>
      <c r="K1788" s="213"/>
      <c r="L1788" s="213"/>
      <c r="N1788" s="525"/>
      <c r="O1788" s="525"/>
      <c r="P1788" s="525"/>
      <c r="Q1788" s="58"/>
      <c r="R1788" s="58"/>
      <c r="S1788" s="58"/>
    </row>
    <row r="1789" spans="2:19" x14ac:dyDescent="0.2">
      <c r="B1789" s="213"/>
      <c r="C1789" s="213"/>
      <c r="D1789" s="213"/>
      <c r="E1789" s="213"/>
      <c r="F1789" s="213"/>
      <c r="G1789" s="525"/>
      <c r="H1789" s="213"/>
      <c r="I1789" s="213"/>
      <c r="J1789" s="213"/>
      <c r="K1789" s="213"/>
      <c r="L1789" s="213"/>
      <c r="N1789" s="525"/>
      <c r="O1789" s="525"/>
      <c r="P1789" s="525"/>
      <c r="Q1789" s="58"/>
      <c r="R1789" s="58"/>
      <c r="S1789" s="58"/>
    </row>
    <row r="1790" spans="2:19" x14ac:dyDescent="0.2">
      <c r="B1790" s="213"/>
      <c r="C1790" s="213"/>
      <c r="D1790" s="213"/>
      <c r="E1790" s="213"/>
      <c r="F1790" s="213"/>
      <c r="G1790" s="525"/>
      <c r="H1790" s="213"/>
      <c r="I1790" s="213"/>
      <c r="J1790" s="213"/>
      <c r="K1790" s="213"/>
      <c r="L1790" s="213"/>
      <c r="N1790" s="525"/>
      <c r="O1790" s="525"/>
      <c r="P1790" s="525"/>
      <c r="Q1790" s="58"/>
      <c r="R1790" s="58"/>
      <c r="S1790" s="58"/>
    </row>
    <row r="1791" spans="2:19" x14ac:dyDescent="0.2">
      <c r="B1791" s="213"/>
      <c r="C1791" s="213"/>
      <c r="D1791" s="213"/>
      <c r="E1791" s="213"/>
      <c r="F1791" s="213"/>
      <c r="G1791" s="525"/>
      <c r="H1791" s="213"/>
      <c r="I1791" s="213"/>
      <c r="J1791" s="213"/>
      <c r="K1791" s="213"/>
      <c r="L1791" s="213"/>
      <c r="N1791" s="525"/>
      <c r="O1791" s="525"/>
      <c r="P1791" s="525"/>
      <c r="Q1791" s="58"/>
      <c r="R1791" s="58"/>
      <c r="S1791" s="58"/>
    </row>
    <row r="1792" spans="2:19" x14ac:dyDescent="0.2">
      <c r="B1792" s="213"/>
      <c r="C1792" s="213"/>
      <c r="D1792" s="213"/>
      <c r="E1792" s="213"/>
      <c r="F1792" s="213"/>
      <c r="G1792" s="525"/>
      <c r="H1792" s="213"/>
      <c r="I1792" s="213"/>
      <c r="J1792" s="213"/>
      <c r="K1792" s="213"/>
      <c r="L1792" s="213"/>
      <c r="N1792" s="525"/>
      <c r="O1792" s="525"/>
      <c r="P1792" s="525"/>
      <c r="Q1792" s="58"/>
      <c r="R1792" s="58"/>
      <c r="S1792" s="58"/>
    </row>
    <row r="1793" spans="2:19" x14ac:dyDescent="0.2">
      <c r="B1793" s="213"/>
      <c r="C1793" s="213"/>
      <c r="D1793" s="213"/>
      <c r="E1793" s="213"/>
      <c r="F1793" s="213"/>
      <c r="G1793" s="525"/>
      <c r="H1793" s="213"/>
      <c r="I1793" s="213"/>
      <c r="J1793" s="213"/>
      <c r="K1793" s="213"/>
      <c r="L1793" s="213"/>
      <c r="N1793" s="525"/>
      <c r="O1793" s="525"/>
      <c r="P1793" s="525"/>
      <c r="Q1793" s="58"/>
      <c r="R1793" s="58"/>
      <c r="S1793" s="58"/>
    </row>
    <row r="1794" spans="2:19" x14ac:dyDescent="0.2">
      <c r="B1794" s="213"/>
      <c r="C1794" s="213"/>
      <c r="D1794" s="213"/>
      <c r="E1794" s="213"/>
      <c r="F1794" s="213"/>
      <c r="G1794" s="525"/>
      <c r="H1794" s="213"/>
      <c r="I1794" s="213"/>
      <c r="J1794" s="213"/>
      <c r="K1794" s="213"/>
      <c r="L1794" s="213"/>
      <c r="N1794" s="525"/>
      <c r="O1794" s="525"/>
      <c r="P1794" s="525"/>
      <c r="Q1794" s="58"/>
      <c r="R1794" s="58"/>
      <c r="S1794" s="58"/>
    </row>
    <row r="1795" spans="2:19" x14ac:dyDescent="0.2">
      <c r="B1795" s="213"/>
      <c r="C1795" s="213"/>
      <c r="D1795" s="213"/>
      <c r="E1795" s="213"/>
      <c r="F1795" s="213"/>
      <c r="G1795" s="525"/>
      <c r="H1795" s="213"/>
      <c r="I1795" s="213"/>
      <c r="J1795" s="213"/>
      <c r="K1795" s="213"/>
      <c r="L1795" s="213"/>
      <c r="N1795" s="525"/>
      <c r="O1795" s="525"/>
      <c r="P1795" s="525"/>
      <c r="Q1795" s="58"/>
      <c r="R1795" s="58"/>
      <c r="S1795" s="58"/>
    </row>
    <row r="1796" spans="2:19" x14ac:dyDescent="0.2">
      <c r="B1796" s="213"/>
      <c r="C1796" s="213"/>
      <c r="D1796" s="213"/>
      <c r="E1796" s="213"/>
      <c r="F1796" s="213"/>
      <c r="G1796" s="525"/>
      <c r="H1796" s="213"/>
      <c r="I1796" s="213"/>
      <c r="J1796" s="213"/>
      <c r="K1796" s="213"/>
      <c r="L1796" s="213"/>
      <c r="N1796" s="525"/>
      <c r="O1796" s="525"/>
      <c r="P1796" s="525"/>
      <c r="Q1796" s="58"/>
      <c r="R1796" s="58"/>
      <c r="S1796" s="58"/>
    </row>
    <row r="1797" spans="2:19" x14ac:dyDescent="0.2">
      <c r="B1797" s="213"/>
      <c r="C1797" s="213"/>
      <c r="D1797" s="213"/>
      <c r="E1797" s="213"/>
      <c r="F1797" s="213"/>
      <c r="G1797" s="525"/>
      <c r="H1797" s="213"/>
      <c r="I1797" s="213"/>
      <c r="J1797" s="213"/>
      <c r="K1797" s="213"/>
      <c r="L1797" s="213"/>
      <c r="N1797" s="525"/>
      <c r="O1797" s="525"/>
      <c r="P1797" s="525"/>
      <c r="Q1797" s="58"/>
      <c r="R1797" s="58"/>
      <c r="S1797" s="58"/>
    </row>
    <row r="1798" spans="2:19" x14ac:dyDescent="0.2">
      <c r="B1798" s="213"/>
      <c r="C1798" s="213"/>
      <c r="D1798" s="213"/>
      <c r="E1798" s="213"/>
      <c r="F1798" s="213"/>
      <c r="G1798" s="525"/>
      <c r="H1798" s="213"/>
      <c r="I1798" s="213"/>
      <c r="J1798" s="213"/>
      <c r="K1798" s="213"/>
      <c r="L1798" s="213"/>
      <c r="N1798" s="525"/>
      <c r="O1798" s="525"/>
      <c r="P1798" s="525"/>
      <c r="Q1798" s="58"/>
      <c r="R1798" s="58"/>
      <c r="S1798" s="58"/>
    </row>
    <row r="1799" spans="2:19" x14ac:dyDescent="0.2">
      <c r="B1799" s="213"/>
      <c r="C1799" s="213"/>
      <c r="D1799" s="213"/>
      <c r="E1799" s="213"/>
      <c r="F1799" s="213"/>
      <c r="G1799" s="525"/>
      <c r="H1799" s="213"/>
      <c r="I1799" s="213"/>
      <c r="J1799" s="213"/>
      <c r="K1799" s="213"/>
      <c r="L1799" s="213"/>
      <c r="N1799" s="525"/>
      <c r="O1799" s="525"/>
      <c r="P1799" s="525"/>
      <c r="Q1799" s="58"/>
      <c r="R1799" s="58"/>
      <c r="S1799" s="58"/>
    </row>
    <row r="1800" spans="2:19" x14ac:dyDescent="0.2">
      <c r="B1800" s="213"/>
      <c r="C1800" s="213"/>
      <c r="D1800" s="213"/>
      <c r="E1800" s="213"/>
      <c r="F1800" s="213"/>
      <c r="G1800" s="525"/>
      <c r="H1800" s="213"/>
      <c r="I1800" s="213"/>
      <c r="J1800" s="213"/>
      <c r="K1800" s="213"/>
      <c r="L1800" s="213"/>
      <c r="N1800" s="525"/>
      <c r="O1800" s="525"/>
      <c r="P1800" s="525"/>
      <c r="Q1800" s="58"/>
      <c r="R1800" s="58"/>
      <c r="S1800" s="58"/>
    </row>
    <row r="1801" spans="2:19" x14ac:dyDescent="0.2">
      <c r="B1801" s="213"/>
      <c r="C1801" s="213"/>
      <c r="D1801" s="213"/>
      <c r="E1801" s="213"/>
      <c r="F1801" s="213"/>
      <c r="G1801" s="525"/>
      <c r="H1801" s="213"/>
      <c r="I1801" s="213"/>
      <c r="J1801" s="213"/>
      <c r="K1801" s="213"/>
      <c r="L1801" s="213"/>
      <c r="N1801" s="525"/>
      <c r="O1801" s="525"/>
      <c r="P1801" s="525"/>
      <c r="Q1801" s="58"/>
      <c r="R1801" s="58"/>
      <c r="S1801" s="58"/>
    </row>
    <row r="1802" spans="2:19" x14ac:dyDescent="0.2">
      <c r="B1802" s="213"/>
      <c r="C1802" s="213"/>
      <c r="D1802" s="213"/>
      <c r="E1802" s="213"/>
      <c r="F1802" s="213"/>
      <c r="G1802" s="525"/>
      <c r="H1802" s="213"/>
      <c r="I1802" s="213"/>
      <c r="J1802" s="213"/>
      <c r="K1802" s="213"/>
      <c r="L1802" s="213"/>
      <c r="N1802" s="525"/>
      <c r="O1802" s="525"/>
      <c r="P1802" s="525"/>
      <c r="Q1802" s="58"/>
      <c r="R1802" s="58"/>
      <c r="S1802" s="58"/>
    </row>
    <row r="1803" spans="2:19" x14ac:dyDescent="0.2">
      <c r="B1803" s="213"/>
      <c r="C1803" s="213"/>
      <c r="D1803" s="213"/>
      <c r="E1803" s="213"/>
      <c r="F1803" s="213"/>
      <c r="G1803" s="525"/>
      <c r="H1803" s="213"/>
      <c r="I1803" s="213"/>
      <c r="J1803" s="213"/>
      <c r="K1803" s="213"/>
      <c r="L1803" s="213"/>
      <c r="N1803" s="525"/>
      <c r="O1803" s="525"/>
      <c r="P1803" s="525"/>
      <c r="Q1803" s="58"/>
      <c r="R1803" s="58"/>
      <c r="S1803" s="58"/>
    </row>
    <row r="1804" spans="2:19" x14ac:dyDescent="0.2">
      <c r="B1804" s="213"/>
      <c r="C1804" s="213"/>
      <c r="D1804" s="213"/>
      <c r="E1804" s="213"/>
      <c r="F1804" s="213"/>
      <c r="G1804" s="525"/>
      <c r="H1804" s="213"/>
      <c r="I1804" s="213"/>
      <c r="J1804" s="213"/>
      <c r="K1804" s="213"/>
      <c r="L1804" s="213"/>
      <c r="N1804" s="525"/>
      <c r="O1804" s="525"/>
      <c r="P1804" s="525"/>
      <c r="Q1804" s="58"/>
      <c r="R1804" s="58"/>
      <c r="S1804" s="58"/>
    </row>
    <row r="1805" spans="2:19" x14ac:dyDescent="0.2">
      <c r="B1805" s="213"/>
      <c r="C1805" s="213"/>
      <c r="D1805" s="213"/>
      <c r="E1805" s="213"/>
      <c r="F1805" s="213"/>
      <c r="G1805" s="525"/>
      <c r="H1805" s="213"/>
      <c r="I1805" s="213"/>
      <c r="J1805" s="213"/>
      <c r="K1805" s="213"/>
      <c r="L1805" s="213"/>
      <c r="N1805" s="525"/>
      <c r="O1805" s="525"/>
      <c r="P1805" s="525"/>
      <c r="Q1805" s="58"/>
      <c r="R1805" s="58"/>
      <c r="S1805" s="58"/>
    </row>
    <row r="1806" spans="2:19" x14ac:dyDescent="0.2">
      <c r="B1806" s="213"/>
      <c r="C1806" s="213"/>
      <c r="D1806" s="213"/>
      <c r="E1806" s="213"/>
      <c r="F1806" s="213"/>
      <c r="G1806" s="525"/>
      <c r="H1806" s="213"/>
      <c r="I1806" s="213"/>
      <c r="J1806" s="213"/>
      <c r="K1806" s="213"/>
      <c r="L1806" s="213"/>
      <c r="N1806" s="525"/>
      <c r="O1806" s="525"/>
      <c r="P1806" s="525"/>
      <c r="Q1806" s="58"/>
      <c r="R1806" s="58"/>
      <c r="S1806" s="58"/>
    </row>
    <row r="1807" spans="2:19" x14ac:dyDescent="0.2">
      <c r="B1807" s="213"/>
      <c r="C1807" s="213"/>
      <c r="D1807" s="213"/>
      <c r="E1807" s="213"/>
      <c r="F1807" s="213"/>
      <c r="G1807" s="525"/>
      <c r="H1807" s="213"/>
      <c r="I1807" s="213"/>
      <c r="J1807" s="213"/>
      <c r="K1807" s="213"/>
      <c r="L1807" s="213"/>
      <c r="N1807" s="525"/>
      <c r="O1807" s="525"/>
      <c r="P1807" s="525"/>
      <c r="Q1807" s="58"/>
      <c r="R1807" s="58"/>
      <c r="S1807" s="58"/>
    </row>
    <row r="1808" spans="2:19" x14ac:dyDescent="0.2">
      <c r="B1808" s="213"/>
      <c r="C1808" s="213"/>
      <c r="D1808" s="213"/>
      <c r="E1808" s="213"/>
      <c r="F1808" s="213"/>
      <c r="G1808" s="525"/>
      <c r="H1808" s="213"/>
      <c r="I1808" s="213"/>
      <c r="J1808" s="213"/>
      <c r="K1808" s="213"/>
      <c r="L1808" s="213"/>
      <c r="N1808" s="525"/>
      <c r="O1808" s="525"/>
      <c r="P1808" s="525"/>
      <c r="Q1808" s="58"/>
      <c r="R1808" s="58"/>
      <c r="S1808" s="58"/>
    </row>
    <row r="1809" spans="2:19" x14ac:dyDescent="0.2">
      <c r="B1809" s="213"/>
      <c r="C1809" s="213"/>
      <c r="D1809" s="213"/>
      <c r="E1809" s="213"/>
      <c r="F1809" s="213"/>
      <c r="G1809" s="525"/>
      <c r="H1809" s="213"/>
      <c r="I1809" s="213"/>
      <c r="J1809" s="213"/>
      <c r="K1809" s="213"/>
      <c r="L1809" s="213"/>
      <c r="N1809" s="525"/>
      <c r="O1809" s="525"/>
      <c r="P1809" s="525"/>
      <c r="Q1809" s="58"/>
      <c r="R1809" s="58"/>
      <c r="S1809" s="58"/>
    </row>
    <row r="1810" spans="2:19" x14ac:dyDescent="0.2">
      <c r="B1810" s="213"/>
      <c r="C1810" s="213"/>
      <c r="D1810" s="213"/>
      <c r="E1810" s="213"/>
      <c r="F1810" s="213"/>
      <c r="G1810" s="525"/>
      <c r="H1810" s="213"/>
      <c r="I1810" s="213"/>
      <c r="J1810" s="213"/>
      <c r="K1810" s="213"/>
      <c r="L1810" s="213"/>
      <c r="N1810" s="525"/>
      <c r="O1810" s="525"/>
      <c r="P1810" s="525"/>
      <c r="Q1810" s="58"/>
      <c r="R1810" s="58"/>
      <c r="S1810" s="58"/>
    </row>
    <row r="1811" spans="2:19" x14ac:dyDescent="0.2">
      <c r="B1811" s="213"/>
      <c r="C1811" s="213"/>
      <c r="D1811" s="213"/>
      <c r="E1811" s="213"/>
      <c r="F1811" s="213"/>
      <c r="G1811" s="525"/>
      <c r="H1811" s="213"/>
      <c r="I1811" s="213"/>
      <c r="J1811" s="213"/>
      <c r="K1811" s="213"/>
      <c r="L1811" s="213"/>
      <c r="N1811" s="525"/>
      <c r="O1811" s="525"/>
      <c r="P1811" s="525"/>
      <c r="Q1811" s="58"/>
      <c r="R1811" s="58"/>
      <c r="S1811" s="58"/>
    </row>
    <row r="1812" spans="2:19" x14ac:dyDescent="0.2">
      <c r="B1812" s="213"/>
      <c r="C1812" s="213"/>
      <c r="D1812" s="213"/>
      <c r="E1812" s="213"/>
      <c r="F1812" s="213"/>
      <c r="G1812" s="525"/>
      <c r="H1812" s="213"/>
      <c r="I1812" s="213"/>
      <c r="J1812" s="213"/>
      <c r="K1812" s="213"/>
      <c r="L1812" s="213"/>
      <c r="N1812" s="525"/>
      <c r="O1812" s="525"/>
      <c r="P1812" s="525"/>
      <c r="Q1812" s="58"/>
      <c r="R1812" s="58"/>
      <c r="S1812" s="58"/>
    </row>
    <row r="1813" spans="2:19" x14ac:dyDescent="0.2">
      <c r="B1813" s="213"/>
      <c r="C1813" s="213"/>
      <c r="D1813" s="213"/>
      <c r="E1813" s="213"/>
      <c r="F1813" s="213"/>
      <c r="G1813" s="525"/>
      <c r="H1813" s="213"/>
      <c r="I1813" s="213"/>
      <c r="J1813" s="213"/>
      <c r="K1813" s="213"/>
      <c r="L1813" s="213"/>
      <c r="N1813" s="525"/>
      <c r="O1813" s="525"/>
      <c r="P1813" s="525"/>
      <c r="Q1813" s="58"/>
      <c r="R1813" s="58"/>
      <c r="S1813" s="58"/>
    </row>
    <row r="1814" spans="2:19" x14ac:dyDescent="0.2">
      <c r="B1814" s="213"/>
      <c r="C1814" s="213"/>
      <c r="D1814" s="213"/>
      <c r="E1814" s="213"/>
      <c r="F1814" s="213"/>
      <c r="G1814" s="525"/>
      <c r="H1814" s="213"/>
      <c r="I1814" s="213"/>
      <c r="J1814" s="213"/>
      <c r="K1814" s="213"/>
      <c r="L1814" s="213"/>
      <c r="N1814" s="525"/>
      <c r="O1814" s="525"/>
      <c r="P1814" s="525"/>
      <c r="Q1814" s="58"/>
      <c r="R1814" s="58"/>
      <c r="S1814" s="58"/>
    </row>
    <row r="1815" spans="2:19" x14ac:dyDescent="0.2">
      <c r="B1815" s="213"/>
      <c r="C1815" s="213"/>
      <c r="D1815" s="213"/>
      <c r="E1815" s="213"/>
      <c r="F1815" s="213"/>
      <c r="G1815" s="525"/>
      <c r="H1815" s="213"/>
      <c r="I1815" s="213"/>
      <c r="J1815" s="213"/>
      <c r="K1815" s="213"/>
      <c r="L1815" s="213"/>
      <c r="N1815" s="525"/>
      <c r="O1815" s="525"/>
      <c r="P1815" s="525"/>
      <c r="Q1815" s="58"/>
      <c r="R1815" s="58"/>
      <c r="S1815" s="58"/>
    </row>
    <row r="1816" spans="2:19" x14ac:dyDescent="0.2">
      <c r="B1816" s="213"/>
      <c r="C1816" s="213"/>
      <c r="D1816" s="213"/>
      <c r="E1816" s="213"/>
      <c r="F1816" s="213"/>
      <c r="G1816" s="525"/>
      <c r="H1816" s="213"/>
      <c r="I1816" s="213"/>
      <c r="J1816" s="213"/>
      <c r="K1816" s="213"/>
      <c r="L1816" s="213"/>
      <c r="N1816" s="525"/>
      <c r="O1816" s="525"/>
      <c r="P1816" s="525"/>
      <c r="Q1816" s="58"/>
      <c r="R1816" s="58"/>
      <c r="S1816" s="58"/>
    </row>
    <row r="1817" spans="2:19" x14ac:dyDescent="0.2">
      <c r="B1817" s="213"/>
      <c r="C1817" s="213"/>
      <c r="D1817" s="213"/>
      <c r="E1817" s="213"/>
      <c r="F1817" s="213"/>
      <c r="G1817" s="525"/>
      <c r="H1817" s="213"/>
      <c r="I1817" s="213"/>
      <c r="J1817" s="213"/>
      <c r="K1817" s="213"/>
      <c r="L1817" s="213"/>
      <c r="N1817" s="525"/>
      <c r="O1817" s="525"/>
      <c r="P1817" s="525"/>
      <c r="Q1817" s="58"/>
      <c r="R1817" s="58"/>
      <c r="S1817" s="58"/>
    </row>
    <row r="1818" spans="2:19" x14ac:dyDescent="0.2">
      <c r="B1818" s="213"/>
      <c r="C1818" s="213"/>
      <c r="D1818" s="213"/>
      <c r="E1818" s="213"/>
      <c r="F1818" s="213"/>
      <c r="G1818" s="525"/>
      <c r="H1818" s="213"/>
      <c r="I1818" s="213"/>
      <c r="J1818" s="213"/>
      <c r="K1818" s="213"/>
      <c r="L1818" s="213"/>
      <c r="N1818" s="525"/>
      <c r="O1818" s="525"/>
      <c r="P1818" s="525"/>
      <c r="Q1818" s="58"/>
      <c r="R1818" s="58"/>
      <c r="S1818" s="58"/>
    </row>
    <row r="1819" spans="2:19" x14ac:dyDescent="0.2">
      <c r="B1819" s="213"/>
      <c r="C1819" s="213"/>
      <c r="D1819" s="213"/>
      <c r="E1819" s="213"/>
      <c r="F1819" s="213"/>
      <c r="G1819" s="525"/>
      <c r="H1819" s="213"/>
      <c r="I1819" s="213"/>
      <c r="J1819" s="213"/>
      <c r="K1819" s="213"/>
      <c r="L1819" s="213"/>
      <c r="N1819" s="525"/>
      <c r="O1819" s="525"/>
      <c r="P1819" s="525"/>
      <c r="Q1819" s="58"/>
      <c r="R1819" s="58"/>
      <c r="S1819" s="58"/>
    </row>
    <row r="1820" spans="2:19" x14ac:dyDescent="0.2">
      <c r="B1820" s="213"/>
      <c r="C1820" s="213"/>
      <c r="D1820" s="213"/>
      <c r="E1820" s="213"/>
      <c r="F1820" s="213"/>
      <c r="G1820" s="525"/>
      <c r="H1820" s="213"/>
      <c r="I1820" s="213"/>
      <c r="J1820" s="213"/>
      <c r="K1820" s="213"/>
      <c r="L1820" s="213"/>
      <c r="N1820" s="525"/>
      <c r="O1820" s="525"/>
      <c r="P1820" s="525"/>
      <c r="Q1820" s="58"/>
      <c r="R1820" s="58"/>
      <c r="S1820" s="58"/>
    </row>
    <row r="1821" spans="2:19" x14ac:dyDescent="0.2">
      <c r="B1821" s="213"/>
      <c r="C1821" s="213"/>
      <c r="D1821" s="213"/>
      <c r="E1821" s="213"/>
      <c r="F1821" s="213"/>
      <c r="G1821" s="525"/>
      <c r="H1821" s="213"/>
      <c r="I1821" s="213"/>
      <c r="J1821" s="213"/>
      <c r="K1821" s="213"/>
      <c r="L1821" s="213"/>
      <c r="N1821" s="525"/>
      <c r="O1821" s="525"/>
      <c r="P1821" s="525"/>
      <c r="Q1821" s="58"/>
      <c r="R1821" s="58"/>
      <c r="S1821" s="58"/>
    </row>
    <row r="1822" spans="2:19" x14ac:dyDescent="0.2">
      <c r="B1822" s="213"/>
      <c r="C1822" s="213"/>
      <c r="D1822" s="213"/>
      <c r="E1822" s="213"/>
      <c r="F1822" s="213"/>
      <c r="G1822" s="525"/>
      <c r="H1822" s="213"/>
      <c r="I1822" s="213"/>
      <c r="J1822" s="213"/>
      <c r="K1822" s="213"/>
      <c r="L1822" s="213"/>
      <c r="N1822" s="525"/>
      <c r="O1822" s="525"/>
      <c r="P1822" s="525"/>
      <c r="Q1822" s="58"/>
      <c r="R1822" s="58"/>
      <c r="S1822" s="58"/>
    </row>
    <row r="1823" spans="2:19" x14ac:dyDescent="0.2">
      <c r="B1823" s="213"/>
      <c r="C1823" s="213"/>
      <c r="D1823" s="213"/>
      <c r="E1823" s="213"/>
      <c r="F1823" s="213"/>
      <c r="G1823" s="525"/>
      <c r="H1823" s="213"/>
      <c r="I1823" s="213"/>
      <c r="J1823" s="213"/>
      <c r="K1823" s="213"/>
      <c r="L1823" s="213"/>
      <c r="N1823" s="525"/>
      <c r="O1823" s="525"/>
      <c r="P1823" s="525"/>
      <c r="Q1823" s="58"/>
      <c r="R1823" s="58"/>
      <c r="S1823" s="58"/>
    </row>
    <row r="1824" spans="2:19" x14ac:dyDescent="0.2">
      <c r="B1824" s="213"/>
      <c r="C1824" s="213"/>
      <c r="D1824" s="213"/>
      <c r="E1824" s="213"/>
      <c r="F1824" s="213"/>
      <c r="G1824" s="525"/>
      <c r="H1824" s="213"/>
      <c r="I1824" s="213"/>
      <c r="J1824" s="213"/>
      <c r="K1824" s="213"/>
      <c r="L1824" s="213"/>
      <c r="N1824" s="525"/>
      <c r="O1824" s="525"/>
      <c r="P1824" s="525"/>
      <c r="Q1824" s="58"/>
      <c r="R1824" s="58"/>
      <c r="S1824" s="58"/>
    </row>
    <row r="1825" spans="2:19" x14ac:dyDescent="0.2">
      <c r="B1825" s="213"/>
      <c r="C1825" s="213"/>
      <c r="D1825" s="213"/>
      <c r="E1825" s="213"/>
      <c r="F1825" s="213"/>
      <c r="G1825" s="525"/>
      <c r="H1825" s="213"/>
      <c r="I1825" s="213"/>
      <c r="J1825" s="213"/>
      <c r="K1825" s="213"/>
      <c r="L1825" s="213"/>
      <c r="N1825" s="525"/>
      <c r="O1825" s="525"/>
      <c r="P1825" s="525"/>
      <c r="Q1825" s="58"/>
      <c r="R1825" s="58"/>
      <c r="S1825" s="58"/>
    </row>
    <row r="1826" spans="2:19" x14ac:dyDescent="0.2">
      <c r="B1826" s="213"/>
      <c r="C1826" s="213"/>
      <c r="D1826" s="213"/>
      <c r="E1826" s="213"/>
      <c r="F1826" s="213"/>
      <c r="G1826" s="525"/>
      <c r="H1826" s="213"/>
      <c r="I1826" s="213"/>
      <c r="J1826" s="213"/>
      <c r="K1826" s="213"/>
      <c r="L1826" s="213"/>
      <c r="N1826" s="525"/>
      <c r="O1826" s="525"/>
      <c r="P1826" s="525"/>
      <c r="Q1826" s="58"/>
      <c r="R1826" s="58"/>
      <c r="S1826" s="58"/>
    </row>
    <row r="1827" spans="2:19" x14ac:dyDescent="0.2">
      <c r="B1827" s="213"/>
      <c r="C1827" s="213"/>
      <c r="D1827" s="213"/>
      <c r="E1827" s="213"/>
      <c r="F1827" s="213"/>
      <c r="G1827" s="525"/>
      <c r="H1827" s="213"/>
      <c r="I1827" s="213"/>
      <c r="J1827" s="213"/>
      <c r="K1827" s="213"/>
      <c r="L1827" s="213"/>
      <c r="N1827" s="525"/>
      <c r="O1827" s="525"/>
      <c r="P1827" s="525"/>
      <c r="Q1827" s="58"/>
      <c r="R1827" s="58"/>
      <c r="S1827" s="58"/>
    </row>
    <row r="1828" spans="2:19" x14ac:dyDescent="0.2">
      <c r="B1828" s="213"/>
      <c r="C1828" s="213"/>
      <c r="D1828" s="213"/>
      <c r="E1828" s="213"/>
      <c r="F1828" s="213"/>
      <c r="G1828" s="525"/>
      <c r="H1828" s="213"/>
      <c r="I1828" s="213"/>
      <c r="J1828" s="213"/>
      <c r="K1828" s="213"/>
      <c r="L1828" s="213"/>
      <c r="N1828" s="525"/>
      <c r="O1828" s="525"/>
      <c r="P1828" s="525"/>
      <c r="Q1828" s="58"/>
      <c r="R1828" s="58"/>
      <c r="S1828" s="58"/>
    </row>
    <row r="1829" spans="2:19" x14ac:dyDescent="0.2">
      <c r="B1829" s="213"/>
      <c r="C1829" s="213"/>
      <c r="D1829" s="213"/>
      <c r="E1829" s="213"/>
      <c r="F1829" s="213"/>
      <c r="G1829" s="525"/>
      <c r="H1829" s="213"/>
      <c r="I1829" s="213"/>
      <c r="J1829" s="213"/>
      <c r="K1829" s="213"/>
      <c r="L1829" s="213"/>
      <c r="N1829" s="525"/>
      <c r="O1829" s="525"/>
      <c r="P1829" s="525"/>
      <c r="Q1829" s="58"/>
      <c r="R1829" s="58"/>
      <c r="S1829" s="58"/>
    </row>
    <row r="1830" spans="2:19" x14ac:dyDescent="0.2">
      <c r="B1830" s="213"/>
      <c r="C1830" s="213"/>
      <c r="D1830" s="213"/>
      <c r="E1830" s="213"/>
      <c r="F1830" s="213"/>
      <c r="G1830" s="525"/>
      <c r="H1830" s="213"/>
      <c r="I1830" s="213"/>
      <c r="J1830" s="213"/>
      <c r="K1830" s="213"/>
      <c r="L1830" s="213"/>
      <c r="N1830" s="525"/>
      <c r="O1830" s="525"/>
      <c r="P1830" s="525"/>
      <c r="Q1830" s="58"/>
      <c r="R1830" s="58"/>
      <c r="S1830" s="58"/>
    </row>
    <row r="1831" spans="2:19" x14ac:dyDescent="0.2">
      <c r="B1831" s="213"/>
      <c r="C1831" s="213"/>
      <c r="D1831" s="213"/>
      <c r="E1831" s="213"/>
      <c r="F1831" s="213"/>
      <c r="G1831" s="525"/>
      <c r="H1831" s="213"/>
      <c r="I1831" s="213"/>
      <c r="J1831" s="213"/>
      <c r="K1831" s="213"/>
      <c r="L1831" s="213"/>
      <c r="N1831" s="525"/>
      <c r="O1831" s="525"/>
      <c r="P1831" s="525"/>
      <c r="Q1831" s="58"/>
      <c r="R1831" s="58"/>
      <c r="S1831" s="58"/>
    </row>
    <row r="1832" spans="2:19" x14ac:dyDescent="0.2">
      <c r="B1832" s="213"/>
      <c r="C1832" s="213"/>
      <c r="D1832" s="213"/>
      <c r="E1832" s="213"/>
      <c r="F1832" s="213"/>
      <c r="G1832" s="525"/>
      <c r="H1832" s="213"/>
      <c r="I1832" s="213"/>
      <c r="J1832" s="213"/>
      <c r="K1832" s="213"/>
      <c r="L1832" s="213"/>
      <c r="N1832" s="525"/>
      <c r="O1832" s="525"/>
      <c r="P1832" s="525"/>
      <c r="Q1832" s="58"/>
      <c r="R1832" s="58"/>
      <c r="S1832" s="58"/>
    </row>
    <row r="1833" spans="2:19" x14ac:dyDescent="0.2">
      <c r="B1833" s="213"/>
      <c r="C1833" s="213"/>
      <c r="D1833" s="213"/>
      <c r="E1833" s="213"/>
      <c r="F1833" s="213"/>
      <c r="G1833" s="525"/>
      <c r="H1833" s="213"/>
      <c r="I1833" s="213"/>
      <c r="J1833" s="213"/>
      <c r="K1833" s="213"/>
      <c r="L1833" s="213"/>
      <c r="N1833" s="525"/>
      <c r="O1833" s="525"/>
      <c r="P1833" s="525"/>
      <c r="Q1833" s="58"/>
      <c r="R1833" s="58"/>
      <c r="S1833" s="58"/>
    </row>
    <row r="1834" spans="2:19" x14ac:dyDescent="0.2">
      <c r="B1834" s="213"/>
      <c r="C1834" s="213"/>
      <c r="D1834" s="213"/>
      <c r="E1834" s="213"/>
      <c r="F1834" s="213"/>
      <c r="G1834" s="525"/>
      <c r="H1834" s="213"/>
      <c r="I1834" s="213"/>
      <c r="J1834" s="213"/>
      <c r="K1834" s="213"/>
      <c r="L1834" s="213"/>
      <c r="N1834" s="525"/>
      <c r="O1834" s="525"/>
      <c r="P1834" s="525"/>
      <c r="Q1834" s="58"/>
      <c r="R1834" s="58"/>
      <c r="S1834" s="58"/>
    </row>
    <row r="1835" spans="2:19" x14ac:dyDescent="0.2">
      <c r="B1835" s="213"/>
      <c r="C1835" s="213"/>
      <c r="D1835" s="213"/>
      <c r="E1835" s="213"/>
      <c r="F1835" s="213"/>
      <c r="G1835" s="525"/>
      <c r="H1835" s="213"/>
      <c r="I1835" s="213"/>
      <c r="J1835" s="213"/>
      <c r="K1835" s="213"/>
      <c r="L1835" s="213"/>
      <c r="N1835" s="525"/>
      <c r="O1835" s="525"/>
      <c r="P1835" s="525"/>
      <c r="Q1835" s="58"/>
      <c r="R1835" s="58"/>
      <c r="S1835" s="58"/>
    </row>
    <row r="1836" spans="2:19" x14ac:dyDescent="0.2">
      <c r="B1836" s="213"/>
      <c r="C1836" s="213"/>
      <c r="D1836" s="213"/>
      <c r="E1836" s="213"/>
      <c r="F1836" s="213"/>
      <c r="G1836" s="525"/>
      <c r="H1836" s="213"/>
      <c r="I1836" s="213"/>
      <c r="J1836" s="213"/>
      <c r="K1836" s="213"/>
      <c r="L1836" s="213"/>
      <c r="N1836" s="525"/>
      <c r="O1836" s="525"/>
      <c r="P1836" s="525"/>
      <c r="Q1836" s="58"/>
      <c r="R1836" s="58"/>
      <c r="S1836" s="58"/>
    </row>
    <row r="1837" spans="2:19" x14ac:dyDescent="0.2">
      <c r="B1837" s="213"/>
      <c r="C1837" s="213"/>
      <c r="D1837" s="213"/>
      <c r="E1837" s="213"/>
      <c r="F1837" s="213"/>
      <c r="G1837" s="525"/>
      <c r="H1837" s="213"/>
      <c r="I1837" s="213"/>
      <c r="J1837" s="213"/>
      <c r="K1837" s="213"/>
      <c r="L1837" s="213"/>
      <c r="N1837" s="525"/>
      <c r="O1837" s="525"/>
      <c r="P1837" s="525"/>
      <c r="Q1837" s="58"/>
      <c r="R1837" s="58"/>
      <c r="S1837" s="58"/>
    </row>
    <row r="1838" spans="2:19" x14ac:dyDescent="0.2">
      <c r="B1838" s="213"/>
      <c r="C1838" s="213"/>
      <c r="D1838" s="213"/>
      <c r="E1838" s="213"/>
      <c r="F1838" s="213"/>
      <c r="G1838" s="525"/>
      <c r="H1838" s="213"/>
      <c r="I1838" s="213"/>
      <c r="J1838" s="213"/>
      <c r="K1838" s="213"/>
      <c r="L1838" s="213"/>
      <c r="N1838" s="525"/>
      <c r="O1838" s="525"/>
      <c r="P1838" s="525"/>
      <c r="Q1838" s="58"/>
      <c r="R1838" s="58"/>
      <c r="S1838" s="58"/>
    </row>
    <row r="1839" spans="2:19" x14ac:dyDescent="0.2">
      <c r="B1839" s="213"/>
      <c r="C1839" s="213"/>
      <c r="D1839" s="213"/>
      <c r="E1839" s="213"/>
      <c r="F1839" s="213"/>
      <c r="G1839" s="525"/>
      <c r="H1839" s="213"/>
      <c r="I1839" s="213"/>
      <c r="J1839" s="213"/>
      <c r="K1839" s="213"/>
      <c r="L1839" s="213"/>
      <c r="N1839" s="525"/>
      <c r="O1839" s="525"/>
      <c r="P1839" s="525"/>
      <c r="Q1839" s="58"/>
      <c r="R1839" s="58"/>
      <c r="S1839" s="58"/>
    </row>
    <row r="1840" spans="2:19" x14ac:dyDescent="0.2">
      <c r="B1840" s="213"/>
      <c r="C1840" s="213"/>
      <c r="D1840" s="213"/>
      <c r="E1840" s="213"/>
      <c r="F1840" s="213"/>
      <c r="G1840" s="525"/>
      <c r="H1840" s="213"/>
      <c r="I1840" s="213"/>
      <c r="J1840" s="213"/>
      <c r="K1840" s="213"/>
      <c r="L1840" s="213"/>
      <c r="N1840" s="525"/>
      <c r="O1840" s="525"/>
      <c r="P1840" s="525"/>
      <c r="Q1840" s="58"/>
      <c r="R1840" s="58"/>
      <c r="S1840" s="58"/>
    </row>
    <row r="1841" spans="2:19" x14ac:dyDescent="0.2">
      <c r="B1841" s="213"/>
      <c r="C1841" s="213"/>
      <c r="D1841" s="213"/>
      <c r="E1841" s="213"/>
      <c r="F1841" s="213"/>
      <c r="G1841" s="525"/>
      <c r="H1841" s="213"/>
      <c r="I1841" s="213"/>
      <c r="J1841" s="213"/>
      <c r="K1841" s="213"/>
      <c r="L1841" s="213"/>
      <c r="N1841" s="525"/>
      <c r="O1841" s="525"/>
      <c r="P1841" s="525"/>
      <c r="Q1841" s="58"/>
      <c r="R1841" s="58"/>
      <c r="S1841" s="58"/>
    </row>
    <row r="1842" spans="2:19" x14ac:dyDescent="0.2">
      <c r="B1842" s="213"/>
      <c r="C1842" s="213"/>
      <c r="D1842" s="213"/>
      <c r="E1842" s="213"/>
      <c r="F1842" s="213"/>
      <c r="G1842" s="525"/>
      <c r="H1842" s="213"/>
      <c r="I1842" s="213"/>
      <c r="J1842" s="213"/>
      <c r="K1842" s="213"/>
      <c r="L1842" s="213"/>
      <c r="N1842" s="525"/>
      <c r="O1842" s="525"/>
      <c r="P1842" s="525"/>
      <c r="Q1842" s="58"/>
      <c r="R1842" s="58"/>
      <c r="S1842" s="58"/>
    </row>
    <row r="1843" spans="2:19" x14ac:dyDescent="0.2">
      <c r="B1843" s="213"/>
      <c r="C1843" s="213"/>
      <c r="D1843" s="213"/>
      <c r="E1843" s="213"/>
      <c r="F1843" s="213"/>
      <c r="G1843" s="525"/>
      <c r="H1843" s="213"/>
      <c r="I1843" s="213"/>
      <c r="J1843" s="213"/>
      <c r="K1843" s="213"/>
      <c r="L1843" s="213"/>
      <c r="N1843" s="525"/>
      <c r="O1843" s="525"/>
      <c r="P1843" s="525"/>
      <c r="Q1843" s="58"/>
      <c r="R1843" s="58"/>
      <c r="S1843" s="58"/>
    </row>
    <row r="1844" spans="2:19" x14ac:dyDescent="0.2">
      <c r="B1844" s="213"/>
      <c r="C1844" s="213"/>
      <c r="D1844" s="213"/>
      <c r="E1844" s="213"/>
      <c r="F1844" s="213"/>
      <c r="G1844" s="525"/>
      <c r="H1844" s="213"/>
      <c r="I1844" s="213"/>
      <c r="J1844" s="213"/>
      <c r="K1844" s="213"/>
      <c r="L1844" s="213"/>
      <c r="N1844" s="525"/>
      <c r="O1844" s="525"/>
      <c r="P1844" s="525"/>
      <c r="Q1844" s="58"/>
      <c r="R1844" s="58"/>
      <c r="S1844" s="58"/>
    </row>
    <row r="1845" spans="2:19" x14ac:dyDescent="0.2">
      <c r="B1845" s="213"/>
      <c r="C1845" s="213"/>
      <c r="D1845" s="213"/>
      <c r="E1845" s="213"/>
      <c r="F1845" s="213"/>
      <c r="G1845" s="525"/>
      <c r="H1845" s="213"/>
      <c r="I1845" s="213"/>
      <c r="J1845" s="213"/>
      <c r="K1845" s="213"/>
      <c r="L1845" s="213"/>
      <c r="N1845" s="525"/>
      <c r="O1845" s="525"/>
      <c r="P1845" s="525"/>
      <c r="Q1845" s="58"/>
      <c r="R1845" s="58"/>
      <c r="S1845" s="58"/>
    </row>
    <row r="1846" spans="2:19" x14ac:dyDescent="0.2">
      <c r="B1846" s="213"/>
      <c r="C1846" s="213"/>
      <c r="D1846" s="213"/>
      <c r="E1846" s="213"/>
      <c r="F1846" s="213"/>
      <c r="G1846" s="525"/>
      <c r="H1846" s="213"/>
      <c r="I1846" s="213"/>
      <c r="J1846" s="213"/>
      <c r="K1846" s="213"/>
      <c r="L1846" s="213"/>
      <c r="N1846" s="525"/>
      <c r="O1846" s="525"/>
      <c r="P1846" s="525"/>
      <c r="Q1846" s="58"/>
      <c r="R1846" s="58"/>
      <c r="S1846" s="58"/>
    </row>
    <row r="1847" spans="2:19" x14ac:dyDescent="0.2">
      <c r="B1847" s="213"/>
      <c r="C1847" s="213"/>
      <c r="D1847" s="213"/>
      <c r="E1847" s="213"/>
      <c r="F1847" s="213"/>
      <c r="G1847" s="525"/>
      <c r="H1847" s="213"/>
      <c r="I1847" s="213"/>
      <c r="J1847" s="213"/>
      <c r="K1847" s="213"/>
      <c r="L1847" s="213"/>
      <c r="N1847" s="525"/>
      <c r="O1847" s="525"/>
      <c r="P1847" s="525"/>
      <c r="Q1847" s="58"/>
      <c r="R1847" s="58"/>
      <c r="S1847" s="58"/>
    </row>
    <row r="1848" spans="2:19" x14ac:dyDescent="0.2">
      <c r="B1848" s="213"/>
      <c r="C1848" s="213"/>
      <c r="D1848" s="213"/>
      <c r="E1848" s="213"/>
      <c r="F1848" s="213"/>
      <c r="G1848" s="525"/>
      <c r="H1848" s="213"/>
      <c r="I1848" s="213"/>
      <c r="J1848" s="213"/>
      <c r="K1848" s="213"/>
      <c r="L1848" s="213"/>
      <c r="N1848" s="525"/>
      <c r="O1848" s="525"/>
      <c r="P1848" s="525"/>
      <c r="Q1848" s="58"/>
      <c r="R1848" s="58"/>
      <c r="S1848" s="58"/>
    </row>
    <row r="1849" spans="2:19" x14ac:dyDescent="0.2">
      <c r="B1849" s="213"/>
      <c r="C1849" s="213"/>
      <c r="D1849" s="213"/>
      <c r="E1849" s="213"/>
      <c r="F1849" s="213"/>
      <c r="G1849" s="525"/>
      <c r="H1849" s="213"/>
      <c r="I1849" s="213"/>
      <c r="J1849" s="213"/>
      <c r="K1849" s="213"/>
      <c r="L1849" s="213"/>
      <c r="N1849" s="525"/>
      <c r="O1849" s="525"/>
      <c r="P1849" s="525"/>
      <c r="Q1849" s="58"/>
      <c r="R1849" s="58"/>
      <c r="S1849" s="58"/>
    </row>
    <row r="1850" spans="2:19" x14ac:dyDescent="0.2">
      <c r="B1850" s="213"/>
      <c r="C1850" s="213"/>
      <c r="D1850" s="213"/>
      <c r="E1850" s="213"/>
      <c r="F1850" s="213"/>
      <c r="G1850" s="525"/>
      <c r="H1850" s="213"/>
      <c r="I1850" s="213"/>
      <c r="J1850" s="213"/>
      <c r="K1850" s="213"/>
      <c r="L1850" s="213"/>
      <c r="N1850" s="525"/>
      <c r="O1850" s="525"/>
      <c r="P1850" s="525"/>
      <c r="Q1850" s="58"/>
      <c r="R1850" s="58"/>
      <c r="S1850" s="58"/>
    </row>
    <row r="1851" spans="2:19" x14ac:dyDescent="0.2">
      <c r="B1851" s="213"/>
      <c r="C1851" s="213"/>
      <c r="D1851" s="213"/>
      <c r="E1851" s="213"/>
      <c r="F1851" s="213"/>
      <c r="G1851" s="525"/>
      <c r="H1851" s="213"/>
      <c r="I1851" s="213"/>
      <c r="J1851" s="213"/>
      <c r="K1851" s="213"/>
      <c r="L1851" s="213"/>
      <c r="N1851" s="525"/>
      <c r="O1851" s="525"/>
      <c r="P1851" s="525"/>
      <c r="Q1851" s="58"/>
      <c r="R1851" s="58"/>
      <c r="S1851" s="58"/>
    </row>
    <row r="1852" spans="2:19" x14ac:dyDescent="0.2">
      <c r="B1852" s="213"/>
      <c r="C1852" s="213"/>
      <c r="D1852" s="213"/>
      <c r="E1852" s="213"/>
      <c r="F1852" s="213"/>
      <c r="G1852" s="525"/>
      <c r="H1852" s="213"/>
      <c r="I1852" s="213"/>
      <c r="J1852" s="213"/>
      <c r="K1852" s="213"/>
      <c r="L1852" s="213"/>
      <c r="N1852" s="525"/>
      <c r="O1852" s="525"/>
      <c r="P1852" s="525"/>
      <c r="Q1852" s="58"/>
      <c r="R1852" s="58"/>
      <c r="S1852" s="58"/>
    </row>
    <row r="1853" spans="2:19" x14ac:dyDescent="0.2">
      <c r="B1853" s="213"/>
      <c r="C1853" s="213"/>
      <c r="D1853" s="213"/>
      <c r="E1853" s="213"/>
      <c r="F1853" s="213"/>
      <c r="G1853" s="525"/>
      <c r="H1853" s="213"/>
      <c r="I1853" s="213"/>
      <c r="J1853" s="213"/>
      <c r="K1853" s="213"/>
      <c r="L1853" s="213"/>
      <c r="N1853" s="525"/>
      <c r="O1853" s="525"/>
      <c r="P1853" s="525"/>
      <c r="Q1853" s="58"/>
      <c r="R1853" s="58"/>
      <c r="S1853" s="58"/>
    </row>
    <row r="1854" spans="2:19" x14ac:dyDescent="0.2">
      <c r="B1854" s="213"/>
      <c r="C1854" s="213"/>
      <c r="D1854" s="213"/>
      <c r="E1854" s="213"/>
      <c r="F1854" s="213"/>
      <c r="G1854" s="525"/>
      <c r="H1854" s="213"/>
      <c r="I1854" s="213"/>
      <c r="J1854" s="213"/>
      <c r="K1854" s="213"/>
      <c r="L1854" s="213"/>
      <c r="N1854" s="525"/>
      <c r="O1854" s="525"/>
      <c r="P1854" s="525"/>
      <c r="Q1854" s="58"/>
      <c r="R1854" s="58"/>
      <c r="S1854" s="58"/>
    </row>
    <row r="1855" spans="2:19" x14ac:dyDescent="0.2">
      <c r="B1855" s="213"/>
      <c r="C1855" s="213"/>
      <c r="D1855" s="213"/>
      <c r="E1855" s="213"/>
      <c r="F1855" s="213"/>
      <c r="G1855" s="525"/>
      <c r="H1855" s="213"/>
      <c r="I1855" s="213"/>
      <c r="J1855" s="213"/>
      <c r="K1855" s="213"/>
      <c r="L1855" s="213"/>
      <c r="N1855" s="525"/>
      <c r="O1855" s="525"/>
      <c r="P1855" s="525"/>
      <c r="Q1855" s="58"/>
      <c r="R1855" s="58"/>
      <c r="S1855" s="58"/>
    </row>
    <row r="1856" spans="2:19" x14ac:dyDescent="0.2">
      <c r="B1856" s="213"/>
      <c r="C1856" s="213"/>
      <c r="D1856" s="213"/>
      <c r="E1856" s="213"/>
      <c r="F1856" s="213"/>
      <c r="G1856" s="525"/>
      <c r="H1856" s="213"/>
      <c r="I1856" s="213"/>
      <c r="J1856" s="213"/>
      <c r="K1856" s="213"/>
      <c r="L1856" s="213"/>
      <c r="N1856" s="525"/>
      <c r="O1856" s="525"/>
      <c r="P1856" s="525"/>
      <c r="Q1856" s="58"/>
      <c r="R1856" s="58"/>
      <c r="S1856" s="58"/>
    </row>
    <row r="1857" spans="2:19" x14ac:dyDescent="0.2">
      <c r="B1857" s="213"/>
      <c r="C1857" s="213"/>
      <c r="D1857" s="213"/>
      <c r="E1857" s="213"/>
      <c r="F1857" s="213"/>
      <c r="G1857" s="525"/>
      <c r="H1857" s="213"/>
      <c r="I1857" s="213"/>
      <c r="J1857" s="213"/>
      <c r="K1857" s="213"/>
      <c r="L1857" s="213"/>
      <c r="N1857" s="525"/>
      <c r="O1857" s="525"/>
      <c r="P1857" s="525"/>
      <c r="Q1857" s="58"/>
      <c r="R1857" s="58"/>
      <c r="S1857" s="58"/>
    </row>
    <row r="1858" spans="2:19" x14ac:dyDescent="0.2">
      <c r="B1858" s="213"/>
      <c r="C1858" s="213"/>
      <c r="D1858" s="213"/>
      <c r="E1858" s="213"/>
      <c r="F1858" s="213"/>
      <c r="G1858" s="525"/>
      <c r="H1858" s="213"/>
      <c r="I1858" s="213"/>
      <c r="J1858" s="213"/>
      <c r="K1858" s="213"/>
      <c r="L1858" s="213"/>
      <c r="N1858" s="525"/>
      <c r="O1858" s="525"/>
      <c r="P1858" s="525"/>
      <c r="Q1858" s="58"/>
      <c r="R1858" s="58"/>
      <c r="S1858" s="58"/>
    </row>
    <row r="1859" spans="2:19" x14ac:dyDescent="0.2">
      <c r="B1859" s="213"/>
      <c r="C1859" s="213"/>
      <c r="D1859" s="213"/>
      <c r="E1859" s="213"/>
      <c r="F1859" s="213"/>
      <c r="G1859" s="525"/>
      <c r="H1859" s="213"/>
      <c r="I1859" s="213"/>
      <c r="J1859" s="213"/>
      <c r="K1859" s="213"/>
      <c r="L1859" s="213"/>
      <c r="N1859" s="525"/>
      <c r="O1859" s="525"/>
      <c r="P1859" s="525"/>
      <c r="Q1859" s="58"/>
      <c r="R1859" s="58"/>
      <c r="S1859" s="58"/>
    </row>
    <row r="1860" spans="2:19" x14ac:dyDescent="0.2">
      <c r="B1860" s="213"/>
      <c r="C1860" s="213"/>
      <c r="D1860" s="213"/>
      <c r="E1860" s="213"/>
      <c r="F1860" s="213"/>
      <c r="G1860" s="525"/>
      <c r="H1860" s="213"/>
      <c r="I1860" s="213"/>
      <c r="J1860" s="213"/>
      <c r="K1860" s="213"/>
      <c r="L1860" s="213"/>
      <c r="N1860" s="525"/>
      <c r="O1860" s="525"/>
      <c r="P1860" s="525"/>
      <c r="Q1860" s="58"/>
      <c r="R1860" s="58"/>
      <c r="S1860" s="58"/>
    </row>
    <row r="1861" spans="2:19" x14ac:dyDescent="0.2">
      <c r="B1861" s="213"/>
      <c r="C1861" s="213"/>
      <c r="D1861" s="213"/>
      <c r="E1861" s="213"/>
      <c r="F1861" s="213"/>
      <c r="G1861" s="525"/>
      <c r="H1861" s="213"/>
      <c r="I1861" s="213"/>
      <c r="J1861" s="213"/>
      <c r="K1861" s="213"/>
      <c r="L1861" s="213"/>
      <c r="N1861" s="525"/>
      <c r="O1861" s="525"/>
      <c r="P1861" s="525"/>
      <c r="Q1861" s="58"/>
      <c r="R1861" s="58"/>
      <c r="S1861" s="58"/>
    </row>
    <row r="1862" spans="2:19" x14ac:dyDescent="0.2">
      <c r="B1862" s="213"/>
      <c r="C1862" s="213"/>
      <c r="D1862" s="213"/>
      <c r="E1862" s="213"/>
      <c r="F1862" s="213"/>
      <c r="G1862" s="525"/>
      <c r="H1862" s="213"/>
      <c r="I1862" s="213"/>
      <c r="J1862" s="213"/>
      <c r="K1862" s="213"/>
      <c r="L1862" s="213"/>
      <c r="N1862" s="525"/>
      <c r="O1862" s="525"/>
      <c r="P1862" s="525"/>
      <c r="Q1862" s="58"/>
      <c r="R1862" s="58"/>
      <c r="S1862" s="58"/>
    </row>
    <row r="1863" spans="2:19" x14ac:dyDescent="0.2">
      <c r="B1863" s="213"/>
      <c r="C1863" s="213"/>
      <c r="D1863" s="213"/>
      <c r="E1863" s="213"/>
      <c r="F1863" s="213"/>
      <c r="G1863" s="525"/>
      <c r="H1863" s="213"/>
      <c r="I1863" s="213"/>
      <c r="J1863" s="213"/>
      <c r="K1863" s="213"/>
      <c r="L1863" s="213"/>
      <c r="N1863" s="525"/>
      <c r="O1863" s="525"/>
      <c r="P1863" s="525"/>
      <c r="Q1863" s="58"/>
      <c r="R1863" s="58"/>
      <c r="S1863" s="58"/>
    </row>
    <row r="1864" spans="2:19" x14ac:dyDescent="0.2">
      <c r="B1864" s="213"/>
      <c r="C1864" s="213"/>
      <c r="D1864" s="213"/>
      <c r="E1864" s="213"/>
      <c r="F1864" s="213"/>
      <c r="G1864" s="525"/>
      <c r="H1864" s="213"/>
      <c r="I1864" s="213"/>
      <c r="J1864" s="213"/>
      <c r="K1864" s="213"/>
      <c r="L1864" s="213"/>
      <c r="N1864" s="525"/>
      <c r="O1864" s="525"/>
      <c r="P1864" s="525"/>
      <c r="Q1864" s="58"/>
      <c r="R1864" s="58"/>
      <c r="S1864" s="58"/>
    </row>
    <row r="1865" spans="2:19" x14ac:dyDescent="0.2">
      <c r="B1865" s="213"/>
      <c r="C1865" s="213"/>
      <c r="D1865" s="213"/>
      <c r="E1865" s="213"/>
      <c r="F1865" s="213"/>
      <c r="G1865" s="525"/>
      <c r="H1865" s="213"/>
      <c r="I1865" s="213"/>
      <c r="J1865" s="213"/>
      <c r="K1865" s="213"/>
      <c r="L1865" s="213"/>
      <c r="N1865" s="525"/>
      <c r="O1865" s="525"/>
      <c r="P1865" s="525"/>
      <c r="Q1865" s="58"/>
      <c r="R1865" s="58"/>
      <c r="S1865" s="58"/>
    </row>
    <row r="1866" spans="2:19" x14ac:dyDescent="0.2">
      <c r="B1866" s="213"/>
      <c r="C1866" s="213"/>
      <c r="D1866" s="213"/>
      <c r="E1866" s="213"/>
      <c r="F1866" s="213"/>
      <c r="G1866" s="525"/>
      <c r="H1866" s="213"/>
      <c r="I1866" s="213"/>
      <c r="J1866" s="213"/>
      <c r="K1866" s="213"/>
      <c r="L1866" s="213"/>
      <c r="N1866" s="525"/>
      <c r="O1866" s="525"/>
      <c r="P1866" s="525"/>
      <c r="Q1866" s="58"/>
      <c r="R1866" s="58"/>
      <c r="S1866" s="58"/>
    </row>
    <row r="1867" spans="2:19" x14ac:dyDescent="0.2">
      <c r="B1867" s="213"/>
      <c r="C1867" s="213"/>
      <c r="D1867" s="213"/>
      <c r="E1867" s="213"/>
      <c r="F1867" s="213"/>
      <c r="G1867" s="525"/>
      <c r="H1867" s="213"/>
      <c r="I1867" s="213"/>
      <c r="J1867" s="213"/>
      <c r="K1867" s="213"/>
      <c r="L1867" s="213"/>
      <c r="N1867" s="525"/>
      <c r="O1867" s="525"/>
      <c r="P1867" s="525"/>
      <c r="Q1867" s="58"/>
      <c r="R1867" s="58"/>
      <c r="S1867" s="58"/>
    </row>
    <row r="1868" spans="2:19" x14ac:dyDescent="0.2">
      <c r="B1868" s="213"/>
      <c r="C1868" s="213"/>
      <c r="D1868" s="213"/>
      <c r="E1868" s="213"/>
      <c r="F1868" s="213"/>
      <c r="G1868" s="525"/>
      <c r="H1868" s="213"/>
      <c r="I1868" s="213"/>
      <c r="J1868" s="213"/>
      <c r="K1868" s="213"/>
      <c r="L1868" s="213"/>
      <c r="N1868" s="525"/>
      <c r="O1868" s="525"/>
      <c r="P1868" s="525"/>
      <c r="Q1868" s="58"/>
      <c r="R1868" s="58"/>
      <c r="S1868" s="58"/>
    </row>
    <row r="1869" spans="2:19" x14ac:dyDescent="0.2">
      <c r="B1869" s="213"/>
      <c r="C1869" s="213"/>
      <c r="D1869" s="213"/>
      <c r="E1869" s="213"/>
      <c r="F1869" s="213"/>
      <c r="G1869" s="525"/>
      <c r="H1869" s="213"/>
      <c r="I1869" s="213"/>
      <c r="J1869" s="213"/>
      <c r="K1869" s="213"/>
      <c r="L1869" s="213"/>
      <c r="N1869" s="525"/>
      <c r="O1869" s="525"/>
      <c r="P1869" s="525"/>
      <c r="Q1869" s="58"/>
      <c r="R1869" s="58"/>
      <c r="S1869" s="58"/>
    </row>
    <row r="1870" spans="2:19" x14ac:dyDescent="0.2">
      <c r="B1870" s="213"/>
      <c r="C1870" s="213"/>
      <c r="D1870" s="213"/>
      <c r="E1870" s="213"/>
      <c r="F1870" s="213"/>
      <c r="G1870" s="525"/>
      <c r="H1870" s="213"/>
      <c r="I1870" s="213"/>
      <c r="J1870" s="213"/>
      <c r="K1870" s="213"/>
      <c r="L1870" s="213"/>
      <c r="N1870" s="525"/>
      <c r="O1870" s="525"/>
      <c r="P1870" s="525"/>
      <c r="Q1870" s="58"/>
      <c r="R1870" s="58"/>
      <c r="S1870" s="58"/>
    </row>
    <row r="1871" spans="2:19" x14ac:dyDescent="0.2">
      <c r="B1871" s="213"/>
      <c r="C1871" s="213"/>
      <c r="D1871" s="213"/>
      <c r="E1871" s="213"/>
      <c r="F1871" s="213"/>
      <c r="G1871" s="525"/>
      <c r="H1871" s="213"/>
      <c r="I1871" s="213"/>
      <c r="J1871" s="213"/>
      <c r="K1871" s="213"/>
      <c r="L1871" s="213"/>
      <c r="N1871" s="525"/>
      <c r="O1871" s="525"/>
      <c r="P1871" s="525"/>
      <c r="Q1871" s="58"/>
      <c r="R1871" s="58"/>
      <c r="S1871" s="58"/>
    </row>
    <row r="1872" spans="2:19" x14ac:dyDescent="0.2">
      <c r="B1872" s="213"/>
      <c r="C1872" s="213"/>
      <c r="D1872" s="213"/>
      <c r="E1872" s="213"/>
      <c r="F1872" s="213"/>
      <c r="G1872" s="525"/>
      <c r="H1872" s="213"/>
      <c r="I1872" s="213"/>
      <c r="J1872" s="213"/>
      <c r="K1872" s="213"/>
      <c r="L1872" s="213"/>
      <c r="N1872" s="525"/>
      <c r="O1872" s="525"/>
      <c r="P1872" s="525"/>
      <c r="Q1872" s="58"/>
      <c r="R1872" s="58"/>
      <c r="S1872" s="58"/>
    </row>
    <row r="1873" spans="2:19" x14ac:dyDescent="0.2">
      <c r="B1873" s="213"/>
      <c r="C1873" s="213"/>
      <c r="D1873" s="213"/>
      <c r="E1873" s="213"/>
      <c r="F1873" s="213"/>
      <c r="G1873" s="525"/>
      <c r="H1873" s="213"/>
      <c r="I1873" s="213"/>
      <c r="J1873" s="213"/>
      <c r="K1873" s="213"/>
      <c r="L1873" s="213"/>
      <c r="N1873" s="525"/>
      <c r="O1873" s="525"/>
      <c r="P1873" s="525"/>
      <c r="Q1873" s="58"/>
      <c r="R1873" s="58"/>
      <c r="S1873" s="58"/>
    </row>
    <row r="1874" spans="2:19" x14ac:dyDescent="0.2">
      <c r="B1874" s="213"/>
      <c r="C1874" s="213"/>
      <c r="D1874" s="213"/>
      <c r="E1874" s="213"/>
      <c r="F1874" s="213"/>
      <c r="G1874" s="525"/>
      <c r="H1874" s="213"/>
      <c r="I1874" s="213"/>
      <c r="J1874" s="213"/>
      <c r="K1874" s="213"/>
      <c r="L1874" s="213"/>
      <c r="N1874" s="525"/>
      <c r="O1874" s="525"/>
      <c r="P1874" s="525"/>
      <c r="Q1874" s="58"/>
      <c r="R1874" s="58"/>
      <c r="S1874" s="58"/>
    </row>
    <row r="1875" spans="2:19" x14ac:dyDescent="0.2">
      <c r="B1875" s="213"/>
      <c r="C1875" s="213"/>
      <c r="D1875" s="213"/>
      <c r="E1875" s="213"/>
      <c r="F1875" s="213"/>
      <c r="G1875" s="525"/>
      <c r="H1875" s="213"/>
      <c r="I1875" s="213"/>
      <c r="J1875" s="213"/>
      <c r="K1875" s="213"/>
      <c r="L1875" s="213"/>
      <c r="N1875" s="525"/>
      <c r="O1875" s="525"/>
      <c r="P1875" s="525"/>
      <c r="Q1875" s="58"/>
      <c r="R1875" s="58"/>
      <c r="S1875" s="58"/>
    </row>
    <row r="1876" spans="2:19" x14ac:dyDescent="0.2">
      <c r="B1876" s="213"/>
      <c r="C1876" s="213"/>
      <c r="D1876" s="213"/>
      <c r="E1876" s="213"/>
      <c r="F1876" s="213"/>
      <c r="G1876" s="525"/>
      <c r="H1876" s="213"/>
      <c r="I1876" s="213"/>
      <c r="J1876" s="213"/>
      <c r="K1876" s="213"/>
      <c r="L1876" s="213"/>
      <c r="N1876" s="525"/>
      <c r="O1876" s="525"/>
      <c r="P1876" s="525"/>
      <c r="Q1876" s="58"/>
      <c r="R1876" s="58"/>
      <c r="S1876" s="58"/>
    </row>
    <row r="1877" spans="2:19" x14ac:dyDescent="0.2">
      <c r="B1877" s="213"/>
      <c r="C1877" s="213"/>
      <c r="D1877" s="213"/>
      <c r="E1877" s="213"/>
      <c r="F1877" s="213"/>
      <c r="G1877" s="525"/>
      <c r="H1877" s="213"/>
      <c r="I1877" s="213"/>
      <c r="J1877" s="213"/>
      <c r="K1877" s="213"/>
      <c r="L1877" s="213"/>
      <c r="N1877" s="525"/>
      <c r="O1877" s="525"/>
      <c r="P1877" s="525"/>
      <c r="Q1877" s="58"/>
      <c r="R1877" s="58"/>
      <c r="S1877" s="58"/>
    </row>
    <row r="1878" spans="2:19" x14ac:dyDescent="0.2">
      <c r="B1878" s="213"/>
      <c r="C1878" s="213"/>
      <c r="D1878" s="213"/>
      <c r="E1878" s="213"/>
      <c r="F1878" s="213"/>
      <c r="G1878" s="525"/>
      <c r="H1878" s="213"/>
      <c r="I1878" s="213"/>
      <c r="J1878" s="213"/>
      <c r="K1878" s="213"/>
      <c r="L1878" s="213"/>
      <c r="N1878" s="525"/>
      <c r="O1878" s="525"/>
      <c r="P1878" s="525"/>
      <c r="Q1878" s="58"/>
      <c r="R1878" s="58"/>
      <c r="S1878" s="58"/>
    </row>
    <row r="1879" spans="2:19" x14ac:dyDescent="0.2">
      <c r="B1879" s="213"/>
      <c r="C1879" s="213"/>
      <c r="D1879" s="213"/>
      <c r="E1879" s="213"/>
      <c r="F1879" s="213"/>
      <c r="G1879" s="525"/>
      <c r="H1879" s="213"/>
      <c r="I1879" s="213"/>
      <c r="J1879" s="213"/>
      <c r="K1879" s="213"/>
      <c r="L1879" s="213"/>
      <c r="N1879" s="525"/>
      <c r="O1879" s="525"/>
      <c r="P1879" s="525"/>
      <c r="Q1879" s="58"/>
      <c r="R1879" s="58"/>
      <c r="S1879" s="58"/>
    </row>
    <row r="1880" spans="2:19" x14ac:dyDescent="0.2">
      <c r="B1880" s="213"/>
      <c r="C1880" s="213"/>
      <c r="D1880" s="213"/>
      <c r="E1880" s="213"/>
      <c r="F1880" s="213"/>
      <c r="G1880" s="525"/>
      <c r="H1880" s="213"/>
      <c r="I1880" s="213"/>
      <c r="J1880" s="213"/>
      <c r="K1880" s="213"/>
      <c r="L1880" s="213"/>
      <c r="N1880" s="525"/>
      <c r="O1880" s="525"/>
      <c r="P1880" s="525"/>
      <c r="Q1880" s="58"/>
      <c r="R1880" s="58"/>
      <c r="S1880" s="58"/>
    </row>
    <row r="1881" spans="2:19" x14ac:dyDescent="0.2">
      <c r="B1881" s="213"/>
      <c r="C1881" s="213"/>
      <c r="D1881" s="213"/>
      <c r="E1881" s="213"/>
      <c r="F1881" s="213"/>
      <c r="G1881" s="525"/>
      <c r="H1881" s="213"/>
      <c r="I1881" s="213"/>
      <c r="J1881" s="213"/>
      <c r="K1881" s="213"/>
      <c r="L1881" s="213"/>
      <c r="N1881" s="525"/>
      <c r="O1881" s="525"/>
      <c r="P1881" s="525"/>
      <c r="Q1881" s="58"/>
      <c r="R1881" s="58"/>
      <c r="S1881" s="58"/>
    </row>
    <row r="1882" spans="2:19" x14ac:dyDescent="0.2">
      <c r="B1882" s="213"/>
      <c r="C1882" s="213"/>
      <c r="D1882" s="213"/>
      <c r="E1882" s="213"/>
      <c r="F1882" s="213"/>
      <c r="G1882" s="525"/>
      <c r="H1882" s="213"/>
      <c r="I1882" s="213"/>
      <c r="J1882" s="213"/>
      <c r="K1882" s="213"/>
      <c r="L1882" s="213"/>
      <c r="N1882" s="525"/>
      <c r="O1882" s="525"/>
      <c r="P1882" s="525"/>
      <c r="Q1882" s="58"/>
      <c r="R1882" s="58"/>
      <c r="S1882" s="58"/>
    </row>
    <row r="1883" spans="2:19" x14ac:dyDescent="0.2">
      <c r="B1883" s="213"/>
      <c r="C1883" s="213"/>
      <c r="D1883" s="213"/>
      <c r="E1883" s="213"/>
      <c r="F1883" s="213"/>
      <c r="G1883" s="525"/>
      <c r="H1883" s="213"/>
      <c r="I1883" s="213"/>
      <c r="J1883" s="213"/>
      <c r="K1883" s="213"/>
      <c r="L1883" s="213"/>
      <c r="N1883" s="525"/>
      <c r="O1883" s="525"/>
      <c r="P1883" s="525"/>
      <c r="Q1883" s="58"/>
      <c r="R1883" s="58"/>
      <c r="S1883" s="58"/>
    </row>
    <row r="1884" spans="2:19" x14ac:dyDescent="0.2">
      <c r="B1884" s="213"/>
      <c r="C1884" s="213"/>
      <c r="D1884" s="213"/>
      <c r="E1884" s="213"/>
      <c r="F1884" s="213"/>
      <c r="G1884" s="525"/>
      <c r="H1884" s="213"/>
      <c r="I1884" s="213"/>
      <c r="J1884" s="213"/>
      <c r="K1884" s="213"/>
      <c r="L1884" s="213"/>
      <c r="N1884" s="525"/>
      <c r="O1884" s="525"/>
      <c r="P1884" s="525"/>
      <c r="Q1884" s="58"/>
      <c r="R1884" s="58"/>
      <c r="S1884" s="58"/>
    </row>
    <row r="1885" spans="2:19" x14ac:dyDescent="0.2">
      <c r="B1885" s="213"/>
      <c r="C1885" s="213"/>
      <c r="D1885" s="213"/>
      <c r="E1885" s="213"/>
      <c r="F1885" s="213"/>
      <c r="G1885" s="525"/>
      <c r="H1885" s="213"/>
      <c r="I1885" s="213"/>
      <c r="J1885" s="213"/>
      <c r="K1885" s="213"/>
      <c r="L1885" s="213"/>
      <c r="N1885" s="525"/>
      <c r="O1885" s="525"/>
      <c r="P1885" s="525"/>
      <c r="Q1885" s="58"/>
      <c r="R1885" s="58"/>
      <c r="S1885" s="58"/>
    </row>
    <row r="1886" spans="2:19" x14ac:dyDescent="0.2">
      <c r="B1886" s="213"/>
      <c r="C1886" s="213"/>
      <c r="D1886" s="213"/>
      <c r="E1886" s="213"/>
      <c r="F1886" s="213"/>
      <c r="G1886" s="525"/>
      <c r="H1886" s="213"/>
      <c r="I1886" s="213"/>
      <c r="J1886" s="213"/>
      <c r="K1886" s="213"/>
      <c r="L1886" s="213"/>
      <c r="N1886" s="525"/>
      <c r="O1886" s="525"/>
      <c r="P1886" s="525"/>
      <c r="Q1886" s="58"/>
      <c r="R1886" s="58"/>
      <c r="S1886" s="58"/>
    </row>
    <row r="1887" spans="2:19" x14ac:dyDescent="0.2">
      <c r="B1887" s="213"/>
      <c r="C1887" s="213"/>
      <c r="D1887" s="213"/>
      <c r="E1887" s="213"/>
      <c r="F1887" s="213"/>
      <c r="G1887" s="525"/>
      <c r="H1887" s="213"/>
      <c r="I1887" s="213"/>
      <c r="J1887" s="213"/>
      <c r="K1887" s="213"/>
      <c r="L1887" s="213"/>
      <c r="N1887" s="525"/>
      <c r="O1887" s="525"/>
      <c r="P1887" s="525"/>
      <c r="Q1887" s="58"/>
      <c r="R1887" s="58"/>
      <c r="S1887" s="58"/>
    </row>
    <row r="1888" spans="2:19" x14ac:dyDescent="0.2">
      <c r="B1888" s="213"/>
      <c r="C1888" s="213"/>
      <c r="D1888" s="213"/>
      <c r="E1888" s="213"/>
      <c r="F1888" s="213"/>
      <c r="G1888" s="525"/>
      <c r="H1888" s="213"/>
      <c r="I1888" s="213"/>
      <c r="J1888" s="213"/>
      <c r="K1888" s="213"/>
      <c r="L1888" s="213"/>
      <c r="N1888" s="525"/>
      <c r="O1888" s="525"/>
      <c r="P1888" s="525"/>
      <c r="Q1888" s="58"/>
      <c r="R1888" s="58"/>
      <c r="S1888" s="58"/>
    </row>
    <row r="1889" spans="2:19" x14ac:dyDescent="0.2">
      <c r="B1889" s="213"/>
      <c r="C1889" s="213"/>
      <c r="D1889" s="213"/>
      <c r="E1889" s="213"/>
      <c r="F1889" s="213"/>
      <c r="G1889" s="525"/>
      <c r="H1889" s="213"/>
      <c r="I1889" s="213"/>
      <c r="J1889" s="213"/>
      <c r="K1889" s="213"/>
      <c r="L1889" s="213"/>
      <c r="N1889" s="525"/>
      <c r="O1889" s="525"/>
      <c r="P1889" s="525"/>
      <c r="Q1889" s="58"/>
      <c r="R1889" s="58"/>
      <c r="S1889" s="58"/>
    </row>
    <row r="1890" spans="2:19" x14ac:dyDescent="0.2">
      <c r="B1890" s="213"/>
      <c r="C1890" s="213"/>
      <c r="D1890" s="213"/>
      <c r="E1890" s="213"/>
      <c r="F1890" s="213"/>
      <c r="G1890" s="525"/>
      <c r="H1890" s="213"/>
      <c r="I1890" s="213"/>
      <c r="J1890" s="213"/>
      <c r="K1890" s="213"/>
      <c r="L1890" s="213"/>
      <c r="N1890" s="525"/>
      <c r="O1890" s="525"/>
      <c r="P1890" s="525"/>
      <c r="Q1890" s="58"/>
      <c r="R1890" s="58"/>
      <c r="S1890" s="58"/>
    </row>
    <row r="1891" spans="2:19" x14ac:dyDescent="0.2">
      <c r="B1891" s="213"/>
      <c r="C1891" s="213"/>
      <c r="D1891" s="213"/>
      <c r="E1891" s="213"/>
      <c r="F1891" s="213"/>
      <c r="G1891" s="525"/>
      <c r="H1891" s="213"/>
      <c r="I1891" s="213"/>
      <c r="J1891" s="213"/>
      <c r="K1891" s="213"/>
      <c r="L1891" s="213"/>
      <c r="N1891" s="525"/>
      <c r="O1891" s="525"/>
      <c r="P1891" s="525"/>
      <c r="Q1891" s="58"/>
      <c r="R1891" s="58"/>
      <c r="S1891" s="58"/>
    </row>
    <row r="1892" spans="2:19" x14ac:dyDescent="0.2">
      <c r="B1892" s="213"/>
      <c r="C1892" s="213"/>
      <c r="D1892" s="213"/>
      <c r="E1892" s="213"/>
      <c r="F1892" s="213"/>
      <c r="G1892" s="525"/>
      <c r="H1892" s="213"/>
      <c r="I1892" s="213"/>
      <c r="J1892" s="213"/>
      <c r="K1892" s="213"/>
      <c r="L1892" s="213"/>
      <c r="N1892" s="525"/>
      <c r="O1892" s="525"/>
      <c r="P1892" s="525"/>
      <c r="Q1892" s="58"/>
      <c r="R1892" s="58"/>
      <c r="S1892" s="58"/>
    </row>
    <row r="1893" spans="2:19" x14ac:dyDescent="0.2">
      <c r="B1893" s="213"/>
      <c r="C1893" s="213"/>
      <c r="D1893" s="213"/>
      <c r="E1893" s="213"/>
      <c r="F1893" s="213"/>
      <c r="G1893" s="525"/>
      <c r="H1893" s="213"/>
      <c r="I1893" s="213"/>
      <c r="J1893" s="213"/>
      <c r="K1893" s="213"/>
      <c r="L1893" s="213"/>
      <c r="N1893" s="525"/>
      <c r="O1893" s="525"/>
      <c r="P1893" s="525"/>
      <c r="Q1893" s="58"/>
      <c r="R1893" s="58"/>
      <c r="S1893" s="58"/>
    </row>
    <row r="1894" spans="2:19" x14ac:dyDescent="0.2">
      <c r="B1894" s="213"/>
      <c r="C1894" s="213"/>
      <c r="D1894" s="213"/>
      <c r="E1894" s="213"/>
      <c r="F1894" s="213"/>
      <c r="G1894" s="525"/>
      <c r="H1894" s="213"/>
      <c r="I1894" s="213"/>
      <c r="J1894" s="213"/>
      <c r="K1894" s="213"/>
      <c r="L1894" s="213"/>
      <c r="N1894" s="525"/>
      <c r="O1894" s="525"/>
      <c r="P1894" s="525"/>
      <c r="Q1894" s="58"/>
      <c r="R1894" s="58"/>
      <c r="S1894" s="58"/>
    </row>
    <row r="1895" spans="2:19" x14ac:dyDescent="0.2">
      <c r="B1895" s="213"/>
      <c r="C1895" s="213"/>
      <c r="D1895" s="213"/>
      <c r="E1895" s="213"/>
      <c r="F1895" s="213"/>
      <c r="G1895" s="525"/>
      <c r="H1895" s="213"/>
      <c r="I1895" s="213"/>
      <c r="J1895" s="213"/>
      <c r="K1895" s="213"/>
      <c r="L1895" s="213"/>
      <c r="N1895" s="525"/>
      <c r="O1895" s="525"/>
      <c r="P1895" s="525"/>
      <c r="Q1895" s="58"/>
      <c r="R1895" s="58"/>
      <c r="S1895" s="58"/>
    </row>
    <row r="1896" spans="2:19" x14ac:dyDescent="0.2">
      <c r="B1896" s="213"/>
      <c r="C1896" s="213"/>
      <c r="D1896" s="213"/>
      <c r="E1896" s="213"/>
      <c r="F1896" s="213"/>
      <c r="G1896" s="525"/>
      <c r="H1896" s="213"/>
      <c r="I1896" s="213"/>
      <c r="J1896" s="213"/>
      <c r="K1896" s="213"/>
      <c r="L1896" s="213"/>
      <c r="N1896" s="525"/>
      <c r="O1896" s="525"/>
      <c r="P1896" s="525"/>
      <c r="Q1896" s="58"/>
      <c r="R1896" s="58"/>
      <c r="S1896" s="58"/>
    </row>
    <row r="1897" spans="2:19" x14ac:dyDescent="0.2">
      <c r="B1897" s="213"/>
      <c r="C1897" s="213"/>
      <c r="D1897" s="213"/>
      <c r="E1897" s="213"/>
      <c r="F1897" s="213"/>
      <c r="G1897" s="525"/>
      <c r="H1897" s="213"/>
      <c r="I1897" s="213"/>
      <c r="J1897" s="213"/>
      <c r="K1897" s="213"/>
      <c r="L1897" s="213"/>
      <c r="N1897" s="525"/>
      <c r="O1897" s="525"/>
      <c r="P1897" s="525"/>
      <c r="Q1897" s="58"/>
      <c r="R1897" s="58"/>
      <c r="S1897" s="58"/>
    </row>
    <row r="1898" spans="2:19" x14ac:dyDescent="0.2">
      <c r="B1898" s="213"/>
      <c r="C1898" s="213"/>
      <c r="D1898" s="213"/>
      <c r="E1898" s="213"/>
      <c r="F1898" s="213"/>
      <c r="G1898" s="525"/>
      <c r="H1898" s="213"/>
      <c r="I1898" s="213"/>
      <c r="J1898" s="213"/>
      <c r="K1898" s="213"/>
      <c r="L1898" s="213"/>
      <c r="N1898" s="525"/>
      <c r="O1898" s="525"/>
      <c r="P1898" s="525"/>
      <c r="Q1898" s="58"/>
      <c r="R1898" s="58"/>
      <c r="S1898" s="58"/>
    </row>
    <row r="1899" spans="2:19" x14ac:dyDescent="0.2">
      <c r="B1899" s="213"/>
      <c r="C1899" s="213"/>
      <c r="D1899" s="213"/>
      <c r="E1899" s="213"/>
      <c r="F1899" s="213"/>
      <c r="G1899" s="525"/>
      <c r="H1899" s="213"/>
      <c r="I1899" s="213"/>
      <c r="J1899" s="213"/>
      <c r="K1899" s="213"/>
      <c r="L1899" s="213"/>
      <c r="N1899" s="525"/>
      <c r="O1899" s="525"/>
      <c r="P1899" s="525"/>
      <c r="Q1899" s="58"/>
      <c r="R1899" s="58"/>
      <c r="S1899" s="58"/>
    </row>
    <row r="1900" spans="2:19" x14ac:dyDescent="0.2">
      <c r="B1900" s="213"/>
      <c r="C1900" s="213"/>
      <c r="D1900" s="213"/>
      <c r="E1900" s="213"/>
      <c r="F1900" s="213"/>
      <c r="G1900" s="525"/>
      <c r="H1900" s="213"/>
      <c r="I1900" s="213"/>
      <c r="J1900" s="213"/>
      <c r="K1900" s="213"/>
      <c r="L1900" s="213"/>
      <c r="N1900" s="525"/>
      <c r="O1900" s="525"/>
      <c r="P1900" s="525"/>
      <c r="Q1900" s="58"/>
      <c r="R1900" s="58"/>
      <c r="S1900" s="58"/>
    </row>
    <row r="1901" spans="2:19" x14ac:dyDescent="0.2">
      <c r="B1901" s="213"/>
      <c r="C1901" s="213"/>
      <c r="D1901" s="213"/>
      <c r="E1901" s="213"/>
      <c r="F1901" s="213"/>
      <c r="G1901" s="525"/>
      <c r="H1901" s="213"/>
      <c r="I1901" s="213"/>
      <c r="J1901" s="213"/>
      <c r="K1901" s="213"/>
      <c r="L1901" s="213"/>
      <c r="N1901" s="525"/>
      <c r="O1901" s="525"/>
      <c r="P1901" s="525"/>
      <c r="Q1901" s="58"/>
      <c r="R1901" s="58"/>
      <c r="S1901" s="58"/>
    </row>
    <row r="1902" spans="2:19" x14ac:dyDescent="0.2">
      <c r="B1902" s="213"/>
      <c r="C1902" s="213"/>
      <c r="D1902" s="213"/>
      <c r="E1902" s="213"/>
      <c r="F1902" s="213"/>
      <c r="G1902" s="525"/>
      <c r="H1902" s="213"/>
      <c r="I1902" s="213"/>
      <c r="J1902" s="213"/>
      <c r="K1902" s="213"/>
      <c r="L1902" s="213"/>
      <c r="N1902" s="525"/>
      <c r="O1902" s="525"/>
      <c r="P1902" s="525"/>
      <c r="Q1902" s="58"/>
      <c r="R1902" s="58"/>
      <c r="S1902" s="58"/>
    </row>
    <row r="1903" spans="2:19" x14ac:dyDescent="0.2">
      <c r="B1903" s="213"/>
      <c r="C1903" s="213"/>
      <c r="D1903" s="213"/>
      <c r="E1903" s="213"/>
      <c r="F1903" s="213"/>
      <c r="G1903" s="525"/>
      <c r="H1903" s="213"/>
      <c r="I1903" s="213"/>
      <c r="J1903" s="213"/>
      <c r="K1903" s="213"/>
      <c r="L1903" s="213"/>
      <c r="N1903" s="525"/>
      <c r="O1903" s="525"/>
      <c r="P1903" s="525"/>
      <c r="Q1903" s="58"/>
      <c r="R1903" s="58"/>
      <c r="S1903" s="58"/>
    </row>
    <row r="1904" spans="2:19" x14ac:dyDescent="0.2">
      <c r="B1904" s="213"/>
      <c r="C1904" s="213"/>
      <c r="D1904" s="213"/>
      <c r="E1904" s="213"/>
      <c r="F1904" s="213"/>
      <c r="G1904" s="525"/>
      <c r="H1904" s="213"/>
      <c r="I1904" s="213"/>
      <c r="J1904" s="213"/>
      <c r="K1904" s="213"/>
      <c r="L1904" s="213"/>
      <c r="N1904" s="525"/>
      <c r="O1904" s="525"/>
      <c r="P1904" s="525"/>
      <c r="Q1904" s="58"/>
      <c r="R1904" s="58"/>
      <c r="S1904" s="58"/>
    </row>
    <row r="1905" spans="2:19" x14ac:dyDescent="0.2">
      <c r="B1905" s="213"/>
      <c r="C1905" s="213"/>
      <c r="D1905" s="213"/>
      <c r="E1905" s="213"/>
      <c r="F1905" s="213"/>
      <c r="G1905" s="525"/>
      <c r="H1905" s="213"/>
      <c r="I1905" s="213"/>
      <c r="J1905" s="213"/>
      <c r="K1905" s="213"/>
      <c r="L1905" s="213"/>
      <c r="N1905" s="525"/>
      <c r="O1905" s="525"/>
      <c r="P1905" s="525"/>
      <c r="Q1905" s="58"/>
      <c r="R1905" s="58"/>
      <c r="S1905" s="58"/>
    </row>
    <row r="1906" spans="2:19" x14ac:dyDescent="0.2">
      <c r="B1906" s="213"/>
      <c r="C1906" s="213"/>
      <c r="D1906" s="213"/>
      <c r="E1906" s="213"/>
      <c r="F1906" s="213"/>
      <c r="G1906" s="525"/>
      <c r="H1906" s="213"/>
      <c r="I1906" s="213"/>
      <c r="J1906" s="213"/>
      <c r="K1906" s="213"/>
      <c r="L1906" s="213"/>
      <c r="N1906" s="525"/>
      <c r="O1906" s="525"/>
      <c r="P1906" s="525"/>
      <c r="Q1906" s="58"/>
      <c r="R1906" s="58"/>
      <c r="S1906" s="58"/>
    </row>
    <row r="1907" spans="2:19" x14ac:dyDescent="0.2">
      <c r="B1907" s="213"/>
      <c r="C1907" s="213"/>
      <c r="D1907" s="213"/>
      <c r="E1907" s="213"/>
      <c r="F1907" s="213"/>
      <c r="G1907" s="525"/>
      <c r="H1907" s="213"/>
      <c r="I1907" s="213"/>
      <c r="J1907" s="213"/>
      <c r="K1907" s="213"/>
      <c r="L1907" s="213"/>
      <c r="N1907" s="525"/>
      <c r="O1907" s="525"/>
      <c r="P1907" s="525"/>
      <c r="Q1907" s="58"/>
      <c r="R1907" s="58"/>
      <c r="S1907" s="58"/>
    </row>
    <row r="1908" spans="2:19" x14ac:dyDescent="0.2">
      <c r="B1908" s="213"/>
      <c r="C1908" s="213"/>
      <c r="D1908" s="213"/>
      <c r="E1908" s="213"/>
      <c r="F1908" s="213"/>
      <c r="G1908" s="525"/>
      <c r="H1908" s="213"/>
      <c r="I1908" s="213"/>
      <c r="J1908" s="213"/>
      <c r="K1908" s="213"/>
      <c r="L1908" s="213"/>
      <c r="N1908" s="525"/>
      <c r="O1908" s="525"/>
      <c r="P1908" s="525"/>
      <c r="Q1908" s="58"/>
      <c r="R1908" s="58"/>
      <c r="S1908" s="58"/>
    </row>
    <row r="1909" spans="2:19" x14ac:dyDescent="0.2">
      <c r="B1909" s="213"/>
      <c r="C1909" s="213"/>
      <c r="D1909" s="213"/>
      <c r="E1909" s="213"/>
      <c r="F1909" s="213"/>
      <c r="G1909" s="525"/>
      <c r="H1909" s="213"/>
      <c r="I1909" s="213"/>
      <c r="J1909" s="213"/>
      <c r="K1909" s="213"/>
      <c r="L1909" s="213"/>
      <c r="N1909" s="525"/>
      <c r="O1909" s="525"/>
      <c r="P1909" s="525"/>
      <c r="Q1909" s="58"/>
      <c r="R1909" s="58"/>
      <c r="S1909" s="58"/>
    </row>
    <row r="1910" spans="2:19" x14ac:dyDescent="0.2">
      <c r="B1910" s="213"/>
      <c r="C1910" s="213"/>
      <c r="D1910" s="213"/>
      <c r="E1910" s="213"/>
      <c r="F1910" s="213"/>
      <c r="G1910" s="525"/>
      <c r="H1910" s="213"/>
      <c r="I1910" s="213"/>
      <c r="J1910" s="213"/>
      <c r="K1910" s="213"/>
      <c r="L1910" s="213"/>
      <c r="N1910" s="525"/>
      <c r="O1910" s="525"/>
      <c r="P1910" s="525"/>
      <c r="Q1910" s="58"/>
      <c r="R1910" s="58"/>
      <c r="S1910" s="58"/>
    </row>
    <row r="1911" spans="2:19" x14ac:dyDescent="0.2">
      <c r="B1911" s="213"/>
      <c r="C1911" s="213"/>
      <c r="D1911" s="213"/>
      <c r="E1911" s="213"/>
      <c r="F1911" s="213"/>
      <c r="G1911" s="525"/>
      <c r="H1911" s="213"/>
      <c r="I1911" s="213"/>
      <c r="J1911" s="213"/>
      <c r="K1911" s="213"/>
      <c r="L1911" s="213"/>
      <c r="N1911" s="525"/>
      <c r="O1911" s="525"/>
      <c r="P1911" s="525"/>
      <c r="Q1911" s="58"/>
      <c r="R1911" s="58"/>
      <c r="S1911" s="58"/>
    </row>
    <row r="1912" spans="2:19" x14ac:dyDescent="0.2">
      <c r="B1912" s="213"/>
      <c r="C1912" s="213"/>
      <c r="D1912" s="213"/>
      <c r="E1912" s="213"/>
      <c r="F1912" s="213"/>
      <c r="G1912" s="525"/>
      <c r="H1912" s="213"/>
      <c r="I1912" s="213"/>
      <c r="J1912" s="213"/>
      <c r="K1912" s="213"/>
      <c r="L1912" s="213"/>
      <c r="N1912" s="525"/>
      <c r="O1912" s="525"/>
      <c r="P1912" s="525"/>
      <c r="Q1912" s="58"/>
      <c r="R1912" s="58"/>
      <c r="S1912" s="58"/>
    </row>
    <row r="1913" spans="2:19" x14ac:dyDescent="0.2">
      <c r="B1913" s="213"/>
      <c r="C1913" s="213"/>
      <c r="D1913" s="213"/>
      <c r="E1913" s="213"/>
      <c r="F1913" s="213"/>
      <c r="G1913" s="525"/>
      <c r="H1913" s="213"/>
      <c r="I1913" s="213"/>
      <c r="J1913" s="213"/>
      <c r="K1913" s="213"/>
      <c r="L1913" s="213"/>
      <c r="N1913" s="525"/>
      <c r="O1913" s="525"/>
      <c r="P1913" s="525"/>
      <c r="Q1913" s="58"/>
      <c r="R1913" s="58"/>
      <c r="S1913" s="58"/>
    </row>
    <row r="1914" spans="2:19" x14ac:dyDescent="0.2">
      <c r="B1914" s="213"/>
      <c r="C1914" s="213"/>
      <c r="D1914" s="213"/>
      <c r="E1914" s="213"/>
      <c r="F1914" s="213"/>
      <c r="G1914" s="525"/>
      <c r="H1914" s="213"/>
      <c r="I1914" s="213"/>
      <c r="J1914" s="213"/>
      <c r="K1914" s="213"/>
      <c r="L1914" s="213"/>
      <c r="N1914" s="525"/>
      <c r="O1914" s="525"/>
      <c r="P1914" s="525"/>
      <c r="Q1914" s="58"/>
      <c r="R1914" s="58"/>
      <c r="S1914" s="58"/>
    </row>
    <row r="1915" spans="2:19" x14ac:dyDescent="0.2">
      <c r="B1915" s="213"/>
      <c r="C1915" s="213"/>
      <c r="D1915" s="213"/>
      <c r="E1915" s="213"/>
      <c r="F1915" s="213"/>
      <c r="G1915" s="525"/>
      <c r="H1915" s="213"/>
      <c r="I1915" s="213"/>
      <c r="J1915" s="213"/>
      <c r="K1915" s="213"/>
      <c r="L1915" s="213"/>
      <c r="N1915" s="525"/>
      <c r="O1915" s="525"/>
      <c r="P1915" s="525"/>
      <c r="Q1915" s="58"/>
      <c r="R1915" s="58"/>
      <c r="S1915" s="58"/>
    </row>
    <row r="1916" spans="2:19" x14ac:dyDescent="0.2">
      <c r="B1916" s="213"/>
      <c r="C1916" s="213"/>
      <c r="D1916" s="213"/>
      <c r="E1916" s="213"/>
      <c r="F1916" s="213"/>
      <c r="G1916" s="525"/>
      <c r="H1916" s="213"/>
      <c r="I1916" s="213"/>
      <c r="J1916" s="213"/>
      <c r="K1916" s="213"/>
      <c r="L1916" s="213"/>
      <c r="N1916" s="525"/>
      <c r="O1916" s="525"/>
      <c r="P1916" s="525"/>
      <c r="Q1916" s="58"/>
      <c r="R1916" s="58"/>
      <c r="S1916" s="58"/>
    </row>
    <row r="1917" spans="2:19" x14ac:dyDescent="0.2">
      <c r="B1917" s="213"/>
      <c r="C1917" s="213"/>
      <c r="D1917" s="213"/>
      <c r="E1917" s="213"/>
      <c r="F1917" s="213"/>
      <c r="G1917" s="525"/>
      <c r="H1917" s="213"/>
      <c r="I1917" s="213"/>
      <c r="J1917" s="213"/>
      <c r="K1917" s="213"/>
      <c r="L1917" s="213"/>
      <c r="N1917" s="525"/>
      <c r="O1917" s="525"/>
      <c r="P1917" s="525"/>
      <c r="Q1917" s="58"/>
      <c r="R1917" s="58"/>
      <c r="S1917" s="58"/>
    </row>
    <row r="1918" spans="2:19" x14ac:dyDescent="0.2">
      <c r="B1918" s="213"/>
      <c r="C1918" s="213"/>
      <c r="D1918" s="213"/>
      <c r="E1918" s="213"/>
      <c r="F1918" s="213"/>
      <c r="G1918" s="525"/>
      <c r="H1918" s="213"/>
      <c r="I1918" s="213"/>
      <c r="J1918" s="213"/>
      <c r="K1918" s="213"/>
      <c r="L1918" s="213"/>
      <c r="N1918" s="525"/>
      <c r="O1918" s="525"/>
      <c r="P1918" s="525"/>
      <c r="Q1918" s="58"/>
      <c r="R1918" s="58"/>
      <c r="S1918" s="58"/>
    </row>
    <row r="1919" spans="2:19" x14ac:dyDescent="0.2">
      <c r="B1919" s="213"/>
      <c r="C1919" s="213"/>
      <c r="D1919" s="213"/>
      <c r="E1919" s="213"/>
      <c r="F1919" s="213"/>
      <c r="G1919" s="525"/>
      <c r="H1919" s="213"/>
      <c r="I1919" s="213"/>
      <c r="J1919" s="213"/>
      <c r="K1919" s="213"/>
      <c r="L1919" s="213"/>
      <c r="N1919" s="525"/>
      <c r="O1919" s="525"/>
      <c r="P1919" s="525"/>
      <c r="Q1919" s="58"/>
      <c r="R1919" s="58"/>
      <c r="S1919" s="58"/>
    </row>
    <row r="1920" spans="2:19" x14ac:dyDescent="0.2">
      <c r="B1920" s="213"/>
      <c r="C1920" s="213"/>
      <c r="D1920" s="213"/>
      <c r="E1920" s="213"/>
      <c r="F1920" s="213"/>
      <c r="G1920" s="525"/>
      <c r="H1920" s="213"/>
      <c r="I1920" s="213"/>
      <c r="J1920" s="213"/>
      <c r="K1920" s="213"/>
      <c r="L1920" s="213"/>
      <c r="N1920" s="525"/>
      <c r="O1920" s="525"/>
      <c r="P1920" s="525"/>
      <c r="Q1920" s="58"/>
      <c r="R1920" s="58"/>
      <c r="S1920" s="58"/>
    </row>
    <row r="1921" spans="2:19" x14ac:dyDescent="0.2">
      <c r="B1921" s="213"/>
      <c r="C1921" s="213"/>
      <c r="D1921" s="213"/>
      <c r="E1921" s="213"/>
      <c r="F1921" s="213"/>
      <c r="G1921" s="525"/>
      <c r="H1921" s="213"/>
      <c r="I1921" s="213"/>
      <c r="J1921" s="213"/>
      <c r="K1921" s="213"/>
      <c r="L1921" s="213"/>
      <c r="N1921" s="525"/>
      <c r="O1921" s="525"/>
      <c r="P1921" s="525"/>
      <c r="Q1921" s="58"/>
      <c r="R1921" s="58"/>
      <c r="S1921" s="58"/>
    </row>
    <row r="1922" spans="2:19" x14ac:dyDescent="0.2">
      <c r="B1922" s="213"/>
      <c r="C1922" s="213"/>
      <c r="D1922" s="213"/>
      <c r="E1922" s="213"/>
      <c r="F1922" s="213"/>
      <c r="G1922" s="525"/>
      <c r="H1922" s="213"/>
      <c r="I1922" s="213"/>
      <c r="J1922" s="213"/>
      <c r="K1922" s="213"/>
      <c r="L1922" s="213"/>
      <c r="N1922" s="525"/>
      <c r="O1922" s="525"/>
      <c r="P1922" s="525"/>
      <c r="Q1922" s="58"/>
      <c r="R1922" s="58"/>
      <c r="S1922" s="58"/>
    </row>
    <row r="1923" spans="2:19" x14ac:dyDescent="0.2">
      <c r="B1923" s="213"/>
      <c r="C1923" s="213"/>
      <c r="D1923" s="213"/>
      <c r="E1923" s="213"/>
      <c r="F1923" s="213"/>
      <c r="G1923" s="525"/>
      <c r="H1923" s="213"/>
      <c r="I1923" s="213"/>
      <c r="J1923" s="213"/>
      <c r="K1923" s="213"/>
      <c r="L1923" s="213"/>
      <c r="N1923" s="525"/>
      <c r="O1923" s="525"/>
      <c r="P1923" s="525"/>
      <c r="Q1923" s="58"/>
      <c r="R1923" s="58"/>
      <c r="S1923" s="58"/>
    </row>
    <row r="1924" spans="2:19" x14ac:dyDescent="0.2">
      <c r="B1924" s="213"/>
      <c r="C1924" s="213"/>
      <c r="D1924" s="213"/>
      <c r="E1924" s="213"/>
      <c r="F1924" s="213"/>
      <c r="G1924" s="525"/>
      <c r="H1924" s="213"/>
      <c r="I1924" s="213"/>
      <c r="J1924" s="213"/>
      <c r="K1924" s="213"/>
      <c r="L1924" s="213"/>
      <c r="N1924" s="525"/>
      <c r="O1924" s="525"/>
      <c r="P1924" s="525"/>
      <c r="Q1924" s="58"/>
      <c r="R1924" s="58"/>
      <c r="S1924" s="58"/>
    </row>
    <row r="1925" spans="2:19" x14ac:dyDescent="0.2">
      <c r="B1925" s="213"/>
      <c r="C1925" s="213"/>
      <c r="D1925" s="213"/>
      <c r="E1925" s="213"/>
      <c r="F1925" s="213"/>
      <c r="G1925" s="525"/>
      <c r="H1925" s="213"/>
      <c r="I1925" s="213"/>
      <c r="J1925" s="213"/>
      <c r="K1925" s="213"/>
      <c r="L1925" s="213"/>
      <c r="N1925" s="525"/>
      <c r="O1925" s="525"/>
      <c r="P1925" s="525"/>
      <c r="Q1925" s="58"/>
      <c r="R1925" s="58"/>
      <c r="S1925" s="58"/>
    </row>
    <row r="1926" spans="2:19" x14ac:dyDescent="0.2">
      <c r="B1926" s="213"/>
      <c r="C1926" s="213"/>
      <c r="D1926" s="213"/>
      <c r="E1926" s="213"/>
      <c r="F1926" s="213"/>
      <c r="G1926" s="525"/>
      <c r="H1926" s="213"/>
      <c r="I1926" s="213"/>
      <c r="J1926" s="213"/>
      <c r="K1926" s="213"/>
      <c r="L1926" s="213"/>
      <c r="N1926" s="525"/>
      <c r="O1926" s="525"/>
      <c r="P1926" s="525"/>
      <c r="Q1926" s="58"/>
      <c r="R1926" s="58"/>
      <c r="S1926" s="58"/>
    </row>
    <row r="1927" spans="2:19" x14ac:dyDescent="0.2">
      <c r="B1927" s="213"/>
      <c r="C1927" s="213"/>
      <c r="D1927" s="213"/>
      <c r="E1927" s="213"/>
      <c r="F1927" s="213"/>
      <c r="G1927" s="525"/>
      <c r="H1927" s="213"/>
      <c r="I1927" s="213"/>
      <c r="J1927" s="213"/>
      <c r="K1927" s="213"/>
      <c r="L1927" s="213"/>
      <c r="N1927" s="525"/>
      <c r="O1927" s="525"/>
      <c r="P1927" s="525"/>
      <c r="Q1927" s="58"/>
      <c r="R1927" s="58"/>
      <c r="S1927" s="58"/>
    </row>
    <row r="1928" spans="2:19" x14ac:dyDescent="0.2">
      <c r="B1928" s="213"/>
      <c r="C1928" s="213"/>
      <c r="D1928" s="213"/>
      <c r="E1928" s="213"/>
      <c r="F1928" s="213"/>
      <c r="G1928" s="525"/>
      <c r="H1928" s="213"/>
      <c r="I1928" s="213"/>
      <c r="J1928" s="213"/>
      <c r="K1928" s="213"/>
      <c r="L1928" s="213"/>
      <c r="N1928" s="525"/>
      <c r="O1928" s="525"/>
      <c r="P1928" s="525"/>
      <c r="Q1928" s="58"/>
      <c r="R1928" s="58"/>
      <c r="S1928" s="58"/>
    </row>
    <row r="1929" spans="2:19" x14ac:dyDescent="0.2">
      <c r="B1929" s="213"/>
      <c r="C1929" s="213"/>
      <c r="D1929" s="213"/>
      <c r="E1929" s="213"/>
      <c r="F1929" s="213"/>
      <c r="G1929" s="525"/>
      <c r="H1929" s="213"/>
      <c r="I1929" s="213"/>
      <c r="J1929" s="213"/>
      <c r="K1929" s="213"/>
      <c r="L1929" s="213"/>
      <c r="N1929" s="525"/>
      <c r="O1929" s="525"/>
      <c r="P1929" s="525"/>
      <c r="Q1929" s="58"/>
      <c r="R1929" s="58"/>
      <c r="S1929" s="58"/>
    </row>
    <row r="1930" spans="2:19" x14ac:dyDescent="0.2">
      <c r="B1930" s="213"/>
      <c r="C1930" s="213"/>
      <c r="D1930" s="213"/>
      <c r="E1930" s="213"/>
      <c r="F1930" s="213"/>
      <c r="G1930" s="525"/>
      <c r="H1930" s="213"/>
      <c r="I1930" s="213"/>
      <c r="J1930" s="213"/>
      <c r="K1930" s="213"/>
      <c r="L1930" s="213"/>
      <c r="N1930" s="525"/>
      <c r="O1930" s="525"/>
      <c r="P1930" s="525"/>
      <c r="Q1930" s="58"/>
      <c r="R1930" s="58"/>
      <c r="S1930" s="58"/>
    </row>
    <row r="1931" spans="2:19" x14ac:dyDescent="0.2">
      <c r="B1931" s="213"/>
      <c r="C1931" s="213"/>
      <c r="D1931" s="213"/>
      <c r="E1931" s="213"/>
      <c r="F1931" s="213"/>
      <c r="G1931" s="525"/>
      <c r="H1931" s="213"/>
      <c r="I1931" s="213"/>
      <c r="J1931" s="213"/>
      <c r="K1931" s="213"/>
      <c r="L1931" s="213"/>
      <c r="N1931" s="525"/>
      <c r="O1931" s="525"/>
      <c r="P1931" s="525"/>
      <c r="Q1931" s="58"/>
      <c r="R1931" s="58"/>
      <c r="S1931" s="58"/>
    </row>
    <row r="1932" spans="2:19" x14ac:dyDescent="0.2">
      <c r="B1932" s="213"/>
      <c r="C1932" s="213"/>
      <c r="D1932" s="213"/>
      <c r="E1932" s="213"/>
      <c r="F1932" s="213"/>
      <c r="G1932" s="525"/>
      <c r="H1932" s="213"/>
      <c r="I1932" s="213"/>
      <c r="J1932" s="213"/>
      <c r="K1932" s="213"/>
      <c r="L1932" s="213"/>
      <c r="N1932" s="525"/>
      <c r="O1932" s="525"/>
      <c r="P1932" s="525"/>
      <c r="Q1932" s="58"/>
      <c r="R1932" s="58"/>
      <c r="S1932" s="58"/>
    </row>
    <row r="1933" spans="2:19" x14ac:dyDescent="0.2">
      <c r="B1933" s="213"/>
      <c r="C1933" s="213"/>
      <c r="D1933" s="213"/>
      <c r="E1933" s="213"/>
      <c r="F1933" s="213"/>
      <c r="G1933" s="525"/>
      <c r="H1933" s="213"/>
      <c r="I1933" s="213"/>
      <c r="J1933" s="213"/>
      <c r="K1933" s="213"/>
      <c r="L1933" s="213"/>
      <c r="N1933" s="525"/>
      <c r="O1933" s="525"/>
      <c r="P1933" s="525"/>
      <c r="Q1933" s="58"/>
      <c r="R1933" s="58"/>
      <c r="S1933" s="58"/>
    </row>
    <row r="1934" spans="2:19" x14ac:dyDescent="0.2">
      <c r="B1934" s="213"/>
      <c r="C1934" s="213"/>
      <c r="D1934" s="213"/>
      <c r="E1934" s="213"/>
      <c r="F1934" s="213"/>
      <c r="G1934" s="525"/>
      <c r="H1934" s="213"/>
      <c r="I1934" s="213"/>
      <c r="J1934" s="213"/>
      <c r="K1934" s="213"/>
      <c r="L1934" s="213"/>
      <c r="N1934" s="525"/>
      <c r="O1934" s="525"/>
      <c r="P1934" s="525"/>
      <c r="Q1934" s="58"/>
      <c r="R1934" s="58"/>
      <c r="S1934" s="58"/>
    </row>
    <row r="1935" spans="2:19" x14ac:dyDescent="0.2">
      <c r="B1935" s="213"/>
      <c r="C1935" s="213"/>
      <c r="D1935" s="213"/>
      <c r="E1935" s="213"/>
      <c r="F1935" s="213"/>
      <c r="G1935" s="525"/>
      <c r="H1935" s="213"/>
      <c r="I1935" s="213"/>
      <c r="J1935" s="213"/>
      <c r="K1935" s="213"/>
      <c r="L1935" s="213"/>
      <c r="N1935" s="525"/>
      <c r="O1935" s="525"/>
      <c r="P1935" s="525"/>
      <c r="Q1935" s="58"/>
      <c r="R1935" s="58"/>
      <c r="S1935" s="58"/>
    </row>
    <row r="1936" spans="2:19" x14ac:dyDescent="0.2">
      <c r="B1936" s="213"/>
      <c r="C1936" s="213"/>
      <c r="D1936" s="213"/>
      <c r="E1936" s="213"/>
      <c r="F1936" s="213"/>
      <c r="G1936" s="525"/>
      <c r="H1936" s="213"/>
      <c r="I1936" s="213"/>
      <c r="J1936" s="213"/>
      <c r="K1936" s="213"/>
      <c r="L1936" s="213"/>
      <c r="N1936" s="525"/>
      <c r="O1936" s="525"/>
      <c r="P1936" s="525"/>
      <c r="Q1936" s="58"/>
      <c r="R1936" s="58"/>
      <c r="S1936" s="58"/>
    </row>
    <row r="1937" spans="2:19" x14ac:dyDescent="0.2">
      <c r="B1937" s="213"/>
      <c r="C1937" s="213"/>
      <c r="D1937" s="213"/>
      <c r="E1937" s="213"/>
      <c r="F1937" s="213"/>
      <c r="G1937" s="525"/>
      <c r="H1937" s="213"/>
      <c r="I1937" s="213"/>
      <c r="J1937" s="213"/>
      <c r="K1937" s="213"/>
      <c r="L1937" s="213"/>
      <c r="N1937" s="525"/>
      <c r="O1937" s="525"/>
      <c r="P1937" s="525"/>
      <c r="Q1937" s="58"/>
      <c r="R1937" s="58"/>
      <c r="S1937" s="58"/>
    </row>
    <row r="1938" spans="2:19" x14ac:dyDescent="0.2">
      <c r="B1938" s="213"/>
      <c r="C1938" s="213"/>
      <c r="D1938" s="213"/>
      <c r="E1938" s="213"/>
      <c r="F1938" s="213"/>
      <c r="G1938" s="525"/>
      <c r="H1938" s="213"/>
      <c r="I1938" s="213"/>
      <c r="J1938" s="213"/>
      <c r="K1938" s="213"/>
      <c r="L1938" s="213"/>
      <c r="N1938" s="525"/>
      <c r="O1938" s="525"/>
      <c r="P1938" s="525"/>
      <c r="Q1938" s="58"/>
      <c r="R1938" s="58"/>
      <c r="S1938" s="58"/>
    </row>
    <row r="1939" spans="2:19" x14ac:dyDescent="0.2">
      <c r="B1939" s="213"/>
      <c r="C1939" s="213"/>
      <c r="D1939" s="213"/>
      <c r="E1939" s="213"/>
      <c r="F1939" s="213"/>
      <c r="G1939" s="525"/>
      <c r="H1939" s="213"/>
      <c r="I1939" s="213"/>
      <c r="J1939" s="213"/>
      <c r="K1939" s="213"/>
      <c r="L1939" s="213"/>
      <c r="N1939" s="525"/>
      <c r="O1939" s="525"/>
      <c r="P1939" s="525"/>
      <c r="Q1939" s="58"/>
      <c r="R1939" s="58"/>
      <c r="S1939" s="58"/>
    </row>
    <row r="1940" spans="2:19" x14ac:dyDescent="0.2">
      <c r="B1940" s="213"/>
      <c r="C1940" s="213"/>
      <c r="D1940" s="213"/>
      <c r="E1940" s="213"/>
      <c r="F1940" s="213"/>
      <c r="G1940" s="525"/>
      <c r="H1940" s="213"/>
      <c r="I1940" s="213"/>
      <c r="J1940" s="213"/>
      <c r="K1940" s="213"/>
      <c r="L1940" s="213"/>
      <c r="N1940" s="525"/>
      <c r="O1940" s="525"/>
      <c r="P1940" s="525"/>
      <c r="Q1940" s="58"/>
      <c r="R1940" s="58"/>
      <c r="S1940" s="58"/>
    </row>
    <row r="1941" spans="2:19" x14ac:dyDescent="0.2">
      <c r="B1941" s="213"/>
      <c r="C1941" s="213"/>
      <c r="D1941" s="213"/>
      <c r="E1941" s="213"/>
      <c r="F1941" s="213"/>
      <c r="G1941" s="525"/>
      <c r="H1941" s="213"/>
      <c r="I1941" s="213"/>
      <c r="J1941" s="213"/>
      <c r="K1941" s="213"/>
      <c r="L1941" s="213"/>
      <c r="N1941" s="525"/>
      <c r="O1941" s="525"/>
      <c r="P1941" s="525"/>
      <c r="Q1941" s="58"/>
      <c r="R1941" s="58"/>
      <c r="S1941" s="58"/>
    </row>
    <row r="1942" spans="2:19" x14ac:dyDescent="0.2">
      <c r="B1942" s="213"/>
      <c r="C1942" s="213"/>
      <c r="D1942" s="213"/>
      <c r="E1942" s="213"/>
      <c r="F1942" s="213"/>
      <c r="G1942" s="525"/>
      <c r="H1942" s="213"/>
      <c r="I1942" s="213"/>
      <c r="J1942" s="213"/>
      <c r="K1942" s="213"/>
      <c r="L1942" s="213"/>
      <c r="N1942" s="525"/>
      <c r="O1942" s="525"/>
      <c r="P1942" s="525"/>
      <c r="Q1942" s="58"/>
      <c r="R1942" s="58"/>
      <c r="S1942" s="58"/>
    </row>
    <row r="1943" spans="2:19" x14ac:dyDescent="0.2">
      <c r="B1943" s="213"/>
      <c r="C1943" s="213"/>
      <c r="D1943" s="213"/>
      <c r="E1943" s="213"/>
      <c r="F1943" s="213"/>
      <c r="G1943" s="525"/>
      <c r="H1943" s="213"/>
      <c r="I1943" s="213"/>
      <c r="J1943" s="213"/>
      <c r="K1943" s="213"/>
      <c r="L1943" s="213"/>
      <c r="N1943" s="525"/>
      <c r="O1943" s="525"/>
      <c r="P1943" s="525"/>
      <c r="Q1943" s="58"/>
      <c r="R1943" s="58"/>
      <c r="S1943" s="58"/>
    </row>
    <row r="1944" spans="2:19" x14ac:dyDescent="0.2">
      <c r="B1944" s="213"/>
      <c r="C1944" s="213"/>
      <c r="D1944" s="213"/>
      <c r="E1944" s="213"/>
      <c r="F1944" s="213"/>
      <c r="G1944" s="525"/>
      <c r="H1944" s="213"/>
      <c r="I1944" s="213"/>
      <c r="J1944" s="213"/>
      <c r="K1944" s="213"/>
      <c r="L1944" s="213"/>
      <c r="N1944" s="525"/>
      <c r="O1944" s="525"/>
      <c r="P1944" s="525"/>
      <c r="Q1944" s="58"/>
      <c r="R1944" s="58"/>
      <c r="S1944" s="58"/>
    </row>
    <row r="1945" spans="2:19" x14ac:dyDescent="0.2">
      <c r="B1945" s="213"/>
      <c r="C1945" s="213"/>
      <c r="D1945" s="213"/>
      <c r="E1945" s="213"/>
      <c r="F1945" s="213"/>
      <c r="G1945" s="525"/>
      <c r="H1945" s="213"/>
      <c r="I1945" s="213"/>
      <c r="J1945" s="213"/>
      <c r="K1945" s="213"/>
      <c r="L1945" s="213"/>
      <c r="N1945" s="525"/>
      <c r="O1945" s="525"/>
      <c r="P1945" s="525"/>
      <c r="Q1945" s="58"/>
      <c r="R1945" s="58"/>
      <c r="S1945" s="58"/>
    </row>
    <row r="1946" spans="2:19" x14ac:dyDescent="0.2">
      <c r="B1946" s="213"/>
      <c r="C1946" s="213"/>
      <c r="D1946" s="213"/>
      <c r="E1946" s="213"/>
      <c r="F1946" s="213"/>
      <c r="G1946" s="525"/>
      <c r="H1946" s="213"/>
      <c r="I1946" s="213"/>
      <c r="J1946" s="213"/>
      <c r="K1946" s="213"/>
      <c r="L1946" s="213"/>
      <c r="N1946" s="525"/>
      <c r="O1946" s="525"/>
      <c r="P1946" s="525"/>
      <c r="Q1946" s="58"/>
      <c r="R1946" s="58"/>
      <c r="S1946" s="58"/>
    </row>
    <row r="1947" spans="2:19" x14ac:dyDescent="0.2">
      <c r="B1947" s="213"/>
      <c r="C1947" s="213"/>
      <c r="D1947" s="213"/>
      <c r="E1947" s="213"/>
      <c r="F1947" s="213"/>
      <c r="G1947" s="525"/>
      <c r="H1947" s="213"/>
      <c r="I1947" s="213"/>
      <c r="J1947" s="213"/>
      <c r="K1947" s="213"/>
      <c r="L1947" s="213"/>
      <c r="N1947" s="525"/>
      <c r="O1947" s="525"/>
      <c r="P1947" s="525"/>
      <c r="Q1947" s="58"/>
      <c r="R1947" s="58"/>
      <c r="S1947" s="58"/>
    </row>
    <row r="1948" spans="2:19" x14ac:dyDescent="0.2">
      <c r="B1948" s="213"/>
      <c r="C1948" s="213"/>
      <c r="D1948" s="213"/>
      <c r="E1948" s="213"/>
      <c r="F1948" s="213"/>
      <c r="G1948" s="525"/>
      <c r="H1948" s="213"/>
      <c r="I1948" s="213"/>
      <c r="J1948" s="213"/>
      <c r="K1948" s="213"/>
      <c r="L1948" s="213"/>
      <c r="N1948" s="525"/>
      <c r="O1948" s="525"/>
      <c r="P1948" s="525"/>
      <c r="Q1948" s="58"/>
      <c r="R1948" s="58"/>
      <c r="S1948" s="58"/>
    </row>
    <row r="1949" spans="2:19" x14ac:dyDescent="0.2">
      <c r="B1949" s="213"/>
      <c r="C1949" s="213"/>
      <c r="D1949" s="213"/>
      <c r="E1949" s="213"/>
      <c r="F1949" s="213"/>
      <c r="G1949" s="525"/>
      <c r="H1949" s="213"/>
      <c r="I1949" s="213"/>
      <c r="J1949" s="213"/>
      <c r="K1949" s="213"/>
      <c r="L1949" s="213"/>
      <c r="N1949" s="525"/>
      <c r="O1949" s="525"/>
      <c r="P1949" s="525"/>
      <c r="Q1949" s="58"/>
      <c r="R1949" s="58"/>
      <c r="S1949" s="58"/>
    </row>
    <row r="1950" spans="2:19" x14ac:dyDescent="0.2">
      <c r="B1950" s="213"/>
      <c r="C1950" s="213"/>
      <c r="D1950" s="213"/>
      <c r="E1950" s="213"/>
      <c r="F1950" s="213"/>
      <c r="G1950" s="525"/>
      <c r="H1950" s="213"/>
      <c r="I1950" s="213"/>
      <c r="J1950" s="213"/>
      <c r="K1950" s="213"/>
      <c r="L1950" s="213"/>
      <c r="N1950" s="525"/>
      <c r="O1950" s="525"/>
      <c r="P1950" s="525"/>
      <c r="Q1950" s="58"/>
      <c r="R1950" s="58"/>
      <c r="S1950" s="58"/>
    </row>
    <row r="1951" spans="2:19" x14ac:dyDescent="0.2">
      <c r="B1951" s="213"/>
      <c r="C1951" s="213"/>
      <c r="D1951" s="213"/>
      <c r="E1951" s="213"/>
      <c r="F1951" s="213"/>
      <c r="G1951" s="525"/>
      <c r="H1951" s="213"/>
      <c r="I1951" s="213"/>
      <c r="J1951" s="213"/>
      <c r="K1951" s="213"/>
      <c r="L1951" s="213"/>
      <c r="N1951" s="525"/>
      <c r="O1951" s="525"/>
      <c r="P1951" s="525"/>
      <c r="Q1951" s="58"/>
      <c r="R1951" s="58"/>
      <c r="S1951" s="58"/>
    </row>
    <row r="1952" spans="2:19" x14ac:dyDescent="0.2">
      <c r="B1952" s="213"/>
      <c r="C1952" s="213"/>
      <c r="D1952" s="213"/>
      <c r="E1952" s="213"/>
      <c r="F1952" s="213"/>
      <c r="G1952" s="525"/>
      <c r="H1952" s="213"/>
      <c r="I1952" s="213"/>
      <c r="J1952" s="213"/>
      <c r="K1952" s="213"/>
      <c r="L1952" s="213"/>
      <c r="N1952" s="525"/>
      <c r="O1952" s="525"/>
      <c r="P1952" s="525"/>
      <c r="Q1952" s="58"/>
      <c r="R1952" s="58"/>
      <c r="S1952" s="58"/>
    </row>
    <row r="1953" spans="2:19" x14ac:dyDescent="0.2">
      <c r="B1953" s="213"/>
      <c r="C1953" s="213"/>
      <c r="D1953" s="213"/>
      <c r="E1953" s="213"/>
      <c r="F1953" s="213"/>
      <c r="G1953" s="525"/>
      <c r="H1953" s="213"/>
      <c r="I1953" s="213"/>
      <c r="J1953" s="213"/>
      <c r="K1953" s="213"/>
      <c r="L1953" s="213"/>
      <c r="N1953" s="525"/>
      <c r="O1953" s="525"/>
      <c r="P1953" s="525"/>
      <c r="Q1953" s="58"/>
      <c r="R1953" s="58"/>
      <c r="S1953" s="58"/>
    </row>
    <row r="1954" spans="2:19" x14ac:dyDescent="0.2">
      <c r="B1954" s="213"/>
      <c r="C1954" s="213"/>
      <c r="D1954" s="213"/>
      <c r="E1954" s="213"/>
      <c r="F1954" s="213"/>
      <c r="G1954" s="525"/>
      <c r="H1954" s="213"/>
      <c r="I1954" s="213"/>
      <c r="J1954" s="213"/>
      <c r="K1954" s="213"/>
      <c r="L1954" s="213"/>
      <c r="N1954" s="525"/>
      <c r="O1954" s="525"/>
      <c r="P1954" s="525"/>
      <c r="Q1954" s="58"/>
      <c r="R1954" s="58"/>
      <c r="S1954" s="58"/>
    </row>
    <row r="1955" spans="2:19" x14ac:dyDescent="0.2">
      <c r="B1955" s="213"/>
      <c r="C1955" s="213"/>
      <c r="D1955" s="213"/>
      <c r="E1955" s="213"/>
      <c r="F1955" s="213"/>
      <c r="G1955" s="525"/>
      <c r="H1955" s="213"/>
      <c r="I1955" s="213"/>
      <c r="J1955" s="213"/>
      <c r="K1955" s="213"/>
      <c r="L1955" s="213"/>
      <c r="N1955" s="525"/>
      <c r="O1955" s="525"/>
      <c r="P1955" s="525"/>
      <c r="Q1955" s="58"/>
      <c r="R1955" s="58"/>
      <c r="S1955" s="58"/>
    </row>
    <row r="1956" spans="2:19" x14ac:dyDescent="0.2">
      <c r="B1956" s="213"/>
      <c r="C1956" s="213"/>
      <c r="D1956" s="213"/>
      <c r="E1956" s="213"/>
      <c r="F1956" s="213"/>
      <c r="G1956" s="525"/>
      <c r="H1956" s="213"/>
      <c r="I1956" s="213"/>
      <c r="J1956" s="213"/>
      <c r="K1956" s="213"/>
      <c r="L1956" s="213"/>
      <c r="N1956" s="525"/>
      <c r="O1956" s="525"/>
      <c r="P1956" s="525"/>
      <c r="Q1956" s="58"/>
      <c r="R1956" s="58"/>
      <c r="S1956" s="58"/>
    </row>
    <row r="1957" spans="2:19" x14ac:dyDescent="0.2">
      <c r="B1957" s="213"/>
      <c r="C1957" s="213"/>
      <c r="D1957" s="213"/>
      <c r="E1957" s="213"/>
      <c r="F1957" s="213"/>
      <c r="G1957" s="525"/>
      <c r="H1957" s="213"/>
      <c r="I1957" s="213"/>
      <c r="J1957" s="213"/>
      <c r="K1957" s="213"/>
      <c r="L1957" s="213"/>
      <c r="N1957" s="525"/>
      <c r="O1957" s="525"/>
      <c r="P1957" s="525"/>
      <c r="Q1957" s="58"/>
      <c r="R1957" s="58"/>
      <c r="S1957" s="58"/>
    </row>
    <row r="1958" spans="2:19" x14ac:dyDescent="0.2">
      <c r="B1958" s="213"/>
      <c r="C1958" s="213"/>
      <c r="D1958" s="213"/>
      <c r="E1958" s="213"/>
      <c r="F1958" s="213"/>
      <c r="G1958" s="525"/>
      <c r="H1958" s="213"/>
      <c r="I1958" s="213"/>
      <c r="J1958" s="213"/>
      <c r="K1958" s="213"/>
      <c r="L1958" s="213"/>
      <c r="N1958" s="525"/>
      <c r="O1958" s="525"/>
      <c r="P1958" s="525"/>
      <c r="Q1958" s="58"/>
      <c r="R1958" s="58"/>
      <c r="S1958" s="58"/>
    </row>
    <row r="1959" spans="2:19" x14ac:dyDescent="0.2">
      <c r="B1959" s="213"/>
      <c r="C1959" s="213"/>
      <c r="D1959" s="213"/>
      <c r="E1959" s="213"/>
      <c r="F1959" s="213"/>
      <c r="G1959" s="525"/>
      <c r="H1959" s="213"/>
      <c r="I1959" s="213"/>
      <c r="J1959" s="213"/>
      <c r="K1959" s="213"/>
      <c r="L1959" s="213"/>
      <c r="N1959" s="525"/>
      <c r="O1959" s="525"/>
      <c r="P1959" s="525"/>
      <c r="Q1959" s="58"/>
      <c r="R1959" s="58"/>
      <c r="S1959" s="58"/>
    </row>
    <row r="1960" spans="2:19" x14ac:dyDescent="0.2">
      <c r="B1960" s="213"/>
      <c r="C1960" s="213"/>
      <c r="D1960" s="213"/>
      <c r="E1960" s="213"/>
      <c r="F1960" s="213"/>
      <c r="G1960" s="525"/>
      <c r="H1960" s="213"/>
      <c r="I1960" s="213"/>
      <c r="J1960" s="213"/>
      <c r="K1960" s="213"/>
      <c r="L1960" s="213"/>
      <c r="N1960" s="525"/>
      <c r="O1960" s="525"/>
      <c r="P1960" s="525"/>
      <c r="Q1960" s="58"/>
      <c r="R1960" s="58"/>
      <c r="S1960" s="58"/>
    </row>
    <row r="1961" spans="2:19" x14ac:dyDescent="0.2">
      <c r="B1961" s="213"/>
      <c r="C1961" s="213"/>
      <c r="D1961" s="213"/>
      <c r="E1961" s="213"/>
      <c r="F1961" s="213"/>
      <c r="G1961" s="525"/>
      <c r="H1961" s="213"/>
      <c r="I1961" s="213"/>
      <c r="J1961" s="213"/>
      <c r="K1961" s="213"/>
      <c r="L1961" s="213"/>
      <c r="N1961" s="525"/>
      <c r="O1961" s="525"/>
      <c r="P1961" s="525"/>
      <c r="Q1961" s="58"/>
      <c r="R1961" s="58"/>
      <c r="S1961" s="58"/>
    </row>
    <row r="1962" spans="2:19" x14ac:dyDescent="0.2">
      <c r="B1962" s="213"/>
      <c r="C1962" s="213"/>
      <c r="D1962" s="213"/>
      <c r="E1962" s="213"/>
      <c r="F1962" s="213"/>
      <c r="G1962" s="525"/>
      <c r="H1962" s="213"/>
      <c r="I1962" s="213"/>
      <c r="J1962" s="213"/>
      <c r="K1962" s="213"/>
      <c r="L1962" s="213"/>
      <c r="N1962" s="525"/>
      <c r="O1962" s="525"/>
      <c r="P1962" s="525"/>
      <c r="Q1962" s="58"/>
      <c r="R1962" s="58"/>
      <c r="S1962" s="58"/>
    </row>
    <row r="1963" spans="2:19" x14ac:dyDescent="0.2">
      <c r="B1963" s="213"/>
      <c r="C1963" s="213"/>
      <c r="D1963" s="213"/>
      <c r="E1963" s="213"/>
      <c r="F1963" s="213"/>
      <c r="G1963" s="525"/>
      <c r="H1963" s="213"/>
      <c r="I1963" s="213"/>
      <c r="J1963" s="213"/>
      <c r="K1963" s="213"/>
      <c r="L1963" s="213"/>
      <c r="N1963" s="525"/>
      <c r="O1963" s="525"/>
      <c r="P1963" s="525"/>
      <c r="Q1963" s="58"/>
      <c r="R1963" s="58"/>
      <c r="S1963" s="58"/>
    </row>
    <row r="1964" spans="2:19" x14ac:dyDescent="0.2">
      <c r="B1964" s="213"/>
      <c r="C1964" s="213"/>
      <c r="D1964" s="213"/>
      <c r="E1964" s="213"/>
      <c r="F1964" s="213"/>
      <c r="G1964" s="525"/>
      <c r="H1964" s="213"/>
      <c r="I1964" s="213"/>
      <c r="J1964" s="213"/>
      <c r="K1964" s="213"/>
      <c r="L1964" s="213"/>
      <c r="N1964" s="525"/>
      <c r="O1964" s="525"/>
      <c r="P1964" s="525"/>
      <c r="Q1964" s="58"/>
      <c r="R1964" s="58"/>
      <c r="S1964" s="58"/>
    </row>
    <row r="1965" spans="2:19" x14ac:dyDescent="0.2">
      <c r="B1965" s="213"/>
      <c r="C1965" s="213"/>
      <c r="D1965" s="213"/>
      <c r="E1965" s="213"/>
      <c r="F1965" s="213"/>
      <c r="G1965" s="525"/>
      <c r="H1965" s="213"/>
      <c r="I1965" s="213"/>
      <c r="J1965" s="213"/>
      <c r="K1965" s="213"/>
      <c r="L1965" s="213"/>
      <c r="N1965" s="525"/>
      <c r="O1965" s="525"/>
      <c r="P1965" s="525"/>
      <c r="Q1965" s="58"/>
      <c r="R1965" s="58"/>
      <c r="S1965" s="58"/>
    </row>
    <row r="1966" spans="2:19" x14ac:dyDescent="0.2">
      <c r="B1966" s="213"/>
      <c r="C1966" s="213"/>
      <c r="D1966" s="213"/>
      <c r="E1966" s="213"/>
      <c r="F1966" s="213"/>
      <c r="G1966" s="525"/>
      <c r="H1966" s="213"/>
      <c r="I1966" s="213"/>
      <c r="J1966" s="213"/>
      <c r="K1966" s="213"/>
      <c r="L1966" s="213"/>
      <c r="N1966" s="525"/>
      <c r="O1966" s="525"/>
      <c r="P1966" s="525"/>
      <c r="Q1966" s="58"/>
      <c r="R1966" s="58"/>
      <c r="S1966" s="58"/>
    </row>
    <row r="1967" spans="2:19" x14ac:dyDescent="0.2">
      <c r="B1967" s="213"/>
      <c r="C1967" s="213"/>
      <c r="D1967" s="213"/>
      <c r="E1967" s="213"/>
      <c r="F1967" s="213"/>
      <c r="G1967" s="525"/>
      <c r="H1967" s="213"/>
      <c r="I1967" s="213"/>
      <c r="J1967" s="213"/>
      <c r="K1967" s="213"/>
      <c r="L1967" s="213"/>
      <c r="N1967" s="525"/>
      <c r="O1967" s="525"/>
      <c r="P1967" s="525"/>
      <c r="Q1967" s="58"/>
      <c r="R1967" s="58"/>
      <c r="S1967" s="58"/>
    </row>
    <row r="1968" spans="2:19" x14ac:dyDescent="0.2">
      <c r="B1968" s="213"/>
      <c r="C1968" s="213"/>
      <c r="D1968" s="213"/>
      <c r="E1968" s="213"/>
      <c r="F1968" s="213"/>
      <c r="G1968" s="525"/>
      <c r="H1968" s="213"/>
      <c r="I1968" s="213"/>
      <c r="J1968" s="213"/>
      <c r="K1968" s="213"/>
      <c r="L1968" s="213"/>
      <c r="N1968" s="525"/>
      <c r="O1968" s="525"/>
      <c r="P1968" s="525"/>
      <c r="Q1968" s="58"/>
      <c r="R1968" s="58"/>
      <c r="S1968" s="58"/>
    </row>
    <row r="1969" spans="2:19" x14ac:dyDescent="0.2">
      <c r="B1969" s="213"/>
      <c r="C1969" s="213"/>
      <c r="D1969" s="213"/>
      <c r="E1969" s="213"/>
      <c r="F1969" s="213"/>
      <c r="G1969" s="525"/>
      <c r="H1969" s="213"/>
      <c r="I1969" s="213"/>
      <c r="J1969" s="213"/>
      <c r="K1969" s="213"/>
      <c r="L1969" s="213"/>
      <c r="N1969" s="525"/>
      <c r="O1969" s="525"/>
      <c r="P1969" s="525"/>
      <c r="Q1969" s="58"/>
      <c r="R1969" s="58"/>
      <c r="S1969" s="58"/>
    </row>
    <row r="1970" spans="2:19" x14ac:dyDescent="0.2">
      <c r="B1970" s="213"/>
      <c r="C1970" s="213"/>
      <c r="D1970" s="213"/>
      <c r="E1970" s="213"/>
      <c r="F1970" s="213"/>
      <c r="G1970" s="525"/>
      <c r="H1970" s="213"/>
      <c r="I1970" s="213"/>
      <c r="J1970" s="213"/>
      <c r="K1970" s="213"/>
      <c r="L1970" s="213"/>
      <c r="N1970" s="525"/>
      <c r="O1970" s="525"/>
      <c r="P1970" s="525"/>
      <c r="Q1970" s="58"/>
      <c r="R1970" s="58"/>
      <c r="S1970" s="58"/>
    </row>
    <row r="1971" spans="2:19" x14ac:dyDescent="0.2">
      <c r="B1971" s="213"/>
      <c r="C1971" s="213"/>
      <c r="D1971" s="213"/>
      <c r="E1971" s="213"/>
      <c r="F1971" s="213"/>
      <c r="G1971" s="525"/>
      <c r="H1971" s="213"/>
      <c r="I1971" s="213"/>
      <c r="J1971" s="213"/>
      <c r="K1971" s="213"/>
      <c r="L1971" s="213"/>
      <c r="N1971" s="525"/>
      <c r="O1971" s="525"/>
      <c r="P1971" s="525"/>
      <c r="Q1971" s="58"/>
      <c r="R1971" s="58"/>
      <c r="S1971" s="58"/>
    </row>
    <row r="1972" spans="2:19" x14ac:dyDescent="0.2">
      <c r="B1972" s="213"/>
      <c r="C1972" s="213"/>
      <c r="D1972" s="213"/>
      <c r="E1972" s="213"/>
      <c r="F1972" s="213"/>
      <c r="G1972" s="525"/>
      <c r="H1972" s="213"/>
      <c r="I1972" s="213"/>
      <c r="J1972" s="213"/>
      <c r="K1972" s="213"/>
      <c r="L1972" s="213"/>
      <c r="N1972" s="525"/>
      <c r="O1972" s="525"/>
      <c r="P1972" s="525"/>
      <c r="Q1972" s="58"/>
      <c r="R1972" s="58"/>
      <c r="S1972" s="58"/>
    </row>
    <row r="1973" spans="2:19" x14ac:dyDescent="0.2">
      <c r="B1973" s="213"/>
      <c r="C1973" s="213"/>
      <c r="D1973" s="213"/>
      <c r="E1973" s="213"/>
      <c r="F1973" s="213"/>
      <c r="G1973" s="525"/>
      <c r="H1973" s="213"/>
      <c r="I1973" s="213"/>
      <c r="J1973" s="213"/>
      <c r="K1973" s="213"/>
      <c r="L1973" s="213"/>
      <c r="N1973" s="525"/>
      <c r="O1973" s="525"/>
      <c r="P1973" s="525"/>
      <c r="Q1973" s="58"/>
      <c r="R1973" s="58"/>
      <c r="S1973" s="58"/>
    </row>
    <row r="1974" spans="2:19" x14ac:dyDescent="0.2">
      <c r="B1974" s="213"/>
      <c r="C1974" s="213"/>
      <c r="D1974" s="213"/>
      <c r="E1974" s="213"/>
      <c r="F1974" s="213"/>
      <c r="G1974" s="525"/>
      <c r="H1974" s="213"/>
      <c r="I1974" s="213"/>
      <c r="J1974" s="213"/>
      <c r="K1974" s="213"/>
      <c r="L1974" s="213"/>
      <c r="N1974" s="525"/>
      <c r="O1974" s="525"/>
      <c r="P1974" s="525"/>
      <c r="Q1974" s="58"/>
      <c r="R1974" s="58"/>
      <c r="S1974" s="58"/>
    </row>
    <row r="1975" spans="2:19" x14ac:dyDescent="0.2">
      <c r="B1975" s="213"/>
      <c r="C1975" s="213"/>
      <c r="D1975" s="213"/>
      <c r="E1975" s="213"/>
      <c r="F1975" s="213"/>
      <c r="G1975" s="525"/>
      <c r="H1975" s="213"/>
      <c r="I1975" s="213"/>
      <c r="J1975" s="213"/>
      <c r="K1975" s="213"/>
      <c r="L1975" s="213"/>
      <c r="N1975" s="525"/>
      <c r="O1975" s="525"/>
      <c r="P1975" s="525"/>
      <c r="Q1975" s="58"/>
      <c r="R1975" s="58"/>
      <c r="S1975" s="58"/>
    </row>
    <row r="1976" spans="2:19" x14ac:dyDescent="0.2">
      <c r="B1976" s="213"/>
      <c r="C1976" s="213"/>
      <c r="D1976" s="213"/>
      <c r="E1976" s="213"/>
      <c r="F1976" s="213"/>
      <c r="G1976" s="525"/>
      <c r="H1976" s="213"/>
      <c r="I1976" s="213"/>
      <c r="J1976" s="213"/>
      <c r="K1976" s="213"/>
      <c r="L1976" s="213"/>
      <c r="N1976" s="525"/>
      <c r="O1976" s="525"/>
      <c r="P1976" s="525"/>
      <c r="Q1976" s="58"/>
      <c r="R1976" s="58"/>
      <c r="S1976" s="58"/>
    </row>
    <row r="1977" spans="2:19" x14ac:dyDescent="0.2">
      <c r="B1977" s="213"/>
      <c r="C1977" s="213"/>
      <c r="D1977" s="213"/>
      <c r="E1977" s="213"/>
      <c r="F1977" s="213"/>
      <c r="G1977" s="525"/>
      <c r="H1977" s="213"/>
      <c r="I1977" s="213"/>
      <c r="J1977" s="213"/>
      <c r="K1977" s="213"/>
      <c r="L1977" s="213"/>
      <c r="N1977" s="525"/>
      <c r="O1977" s="525"/>
      <c r="P1977" s="525"/>
      <c r="Q1977" s="58"/>
      <c r="R1977" s="58"/>
      <c r="S1977" s="58"/>
    </row>
    <row r="1978" spans="2:19" x14ac:dyDescent="0.2">
      <c r="B1978" s="213"/>
      <c r="C1978" s="213"/>
      <c r="D1978" s="213"/>
      <c r="E1978" s="213"/>
      <c r="F1978" s="213"/>
      <c r="G1978" s="525"/>
      <c r="H1978" s="213"/>
      <c r="I1978" s="213"/>
      <c r="J1978" s="213"/>
      <c r="K1978" s="213"/>
      <c r="L1978" s="213"/>
      <c r="N1978" s="525"/>
      <c r="O1978" s="525"/>
      <c r="P1978" s="525"/>
      <c r="Q1978" s="58"/>
      <c r="R1978" s="58"/>
      <c r="S1978" s="58"/>
    </row>
    <row r="1979" spans="2:19" x14ac:dyDescent="0.2">
      <c r="B1979" s="213"/>
      <c r="C1979" s="213"/>
      <c r="D1979" s="213"/>
      <c r="E1979" s="213"/>
      <c r="F1979" s="213"/>
      <c r="G1979" s="525"/>
      <c r="H1979" s="213"/>
      <c r="I1979" s="213"/>
      <c r="J1979" s="213"/>
      <c r="K1979" s="213"/>
      <c r="L1979" s="213"/>
      <c r="N1979" s="525"/>
      <c r="O1979" s="525"/>
      <c r="P1979" s="525"/>
      <c r="Q1979" s="58"/>
      <c r="R1979" s="58"/>
      <c r="S1979" s="58"/>
    </row>
    <row r="1980" spans="2:19" x14ac:dyDescent="0.2">
      <c r="B1980" s="213"/>
      <c r="C1980" s="213"/>
      <c r="D1980" s="213"/>
      <c r="E1980" s="213"/>
      <c r="F1980" s="213"/>
      <c r="G1980" s="525"/>
      <c r="H1980" s="213"/>
      <c r="I1980" s="213"/>
      <c r="J1980" s="213"/>
      <c r="K1980" s="213"/>
      <c r="L1980" s="213"/>
      <c r="N1980" s="525"/>
      <c r="O1980" s="525"/>
      <c r="P1980" s="525"/>
      <c r="Q1980" s="58"/>
      <c r="R1980" s="58"/>
      <c r="S1980" s="58"/>
    </row>
    <row r="1981" spans="2:19" x14ac:dyDescent="0.2">
      <c r="B1981" s="213"/>
      <c r="C1981" s="213"/>
      <c r="D1981" s="213"/>
      <c r="E1981" s="213"/>
      <c r="F1981" s="213"/>
      <c r="G1981" s="525"/>
      <c r="H1981" s="213"/>
      <c r="I1981" s="213"/>
      <c r="J1981" s="213"/>
      <c r="K1981" s="213"/>
      <c r="L1981" s="213"/>
      <c r="N1981" s="525"/>
      <c r="O1981" s="525"/>
      <c r="P1981" s="525"/>
      <c r="Q1981" s="58"/>
      <c r="R1981" s="58"/>
      <c r="S1981" s="58"/>
    </row>
    <row r="1982" spans="2:19" x14ac:dyDescent="0.2">
      <c r="B1982" s="213"/>
      <c r="C1982" s="213"/>
      <c r="D1982" s="213"/>
      <c r="E1982" s="213"/>
      <c r="F1982" s="213"/>
      <c r="G1982" s="525"/>
      <c r="H1982" s="213"/>
      <c r="I1982" s="213"/>
      <c r="J1982" s="213"/>
      <c r="K1982" s="213"/>
      <c r="L1982" s="213"/>
      <c r="N1982" s="525"/>
      <c r="O1982" s="525"/>
      <c r="P1982" s="525"/>
      <c r="Q1982" s="58"/>
      <c r="R1982" s="58"/>
      <c r="S1982" s="58"/>
    </row>
    <row r="1983" spans="2:19" x14ac:dyDescent="0.2">
      <c r="B1983" s="213"/>
      <c r="C1983" s="213"/>
      <c r="D1983" s="213"/>
      <c r="E1983" s="213"/>
      <c r="F1983" s="213"/>
      <c r="G1983" s="525"/>
      <c r="H1983" s="213"/>
      <c r="I1983" s="213"/>
      <c r="J1983" s="213"/>
      <c r="K1983" s="213"/>
      <c r="L1983" s="213"/>
      <c r="N1983" s="525"/>
      <c r="O1983" s="525"/>
      <c r="P1983" s="525"/>
      <c r="Q1983" s="58"/>
      <c r="R1983" s="58"/>
      <c r="S1983" s="58"/>
    </row>
    <row r="1984" spans="2:19" x14ac:dyDescent="0.2">
      <c r="B1984" s="213"/>
      <c r="C1984" s="213"/>
      <c r="D1984" s="213"/>
      <c r="E1984" s="213"/>
      <c r="F1984" s="213"/>
      <c r="G1984" s="525"/>
      <c r="H1984" s="213"/>
      <c r="I1984" s="213"/>
      <c r="J1984" s="213"/>
      <c r="K1984" s="213"/>
      <c r="L1984" s="213"/>
      <c r="N1984" s="525"/>
      <c r="O1984" s="525"/>
      <c r="P1984" s="525"/>
      <c r="Q1984" s="58"/>
      <c r="R1984" s="58"/>
      <c r="S1984" s="58"/>
    </row>
    <row r="1985" spans="2:19" x14ac:dyDescent="0.2">
      <c r="B1985" s="213"/>
      <c r="C1985" s="213"/>
      <c r="D1985" s="213"/>
      <c r="E1985" s="213"/>
      <c r="F1985" s="213"/>
      <c r="G1985" s="525"/>
      <c r="H1985" s="213"/>
      <c r="I1985" s="213"/>
      <c r="J1985" s="213"/>
      <c r="K1985" s="213"/>
      <c r="L1985" s="213"/>
      <c r="N1985" s="525"/>
      <c r="O1985" s="525"/>
      <c r="P1985" s="525"/>
      <c r="Q1985" s="58"/>
      <c r="R1985" s="58"/>
      <c r="S1985" s="58"/>
    </row>
    <row r="1986" spans="2:19" x14ac:dyDescent="0.2">
      <c r="B1986" s="213"/>
      <c r="C1986" s="213"/>
      <c r="D1986" s="213"/>
      <c r="E1986" s="213"/>
      <c r="F1986" s="213"/>
      <c r="G1986" s="525"/>
      <c r="H1986" s="213"/>
      <c r="I1986" s="213"/>
      <c r="J1986" s="213"/>
      <c r="K1986" s="213"/>
      <c r="L1986" s="213"/>
      <c r="N1986" s="525"/>
      <c r="O1986" s="525"/>
      <c r="P1986" s="525"/>
      <c r="Q1986" s="58"/>
      <c r="R1986" s="58"/>
      <c r="S1986" s="58"/>
    </row>
    <row r="1987" spans="2:19" x14ac:dyDescent="0.2">
      <c r="B1987" s="213"/>
      <c r="C1987" s="213"/>
      <c r="D1987" s="213"/>
      <c r="E1987" s="213"/>
      <c r="F1987" s="213"/>
      <c r="G1987" s="525"/>
      <c r="H1987" s="213"/>
      <c r="I1987" s="213"/>
      <c r="J1987" s="213"/>
      <c r="K1987" s="213"/>
      <c r="L1987" s="213"/>
      <c r="N1987" s="525"/>
      <c r="O1987" s="525"/>
      <c r="P1987" s="525"/>
      <c r="Q1987" s="58"/>
      <c r="R1987" s="58"/>
      <c r="S1987" s="58"/>
    </row>
    <row r="1988" spans="2:19" x14ac:dyDescent="0.2">
      <c r="B1988" s="213"/>
      <c r="C1988" s="213"/>
      <c r="D1988" s="213"/>
      <c r="E1988" s="213"/>
      <c r="F1988" s="213"/>
      <c r="G1988" s="525"/>
      <c r="H1988" s="213"/>
      <c r="I1988" s="213"/>
      <c r="J1988" s="213"/>
      <c r="K1988" s="213"/>
      <c r="L1988" s="213"/>
      <c r="N1988" s="525"/>
      <c r="O1988" s="525"/>
      <c r="P1988" s="525"/>
      <c r="Q1988" s="58"/>
      <c r="R1988" s="58"/>
      <c r="S1988" s="58"/>
    </row>
    <row r="1989" spans="2:19" x14ac:dyDescent="0.2">
      <c r="B1989" s="213"/>
      <c r="C1989" s="213"/>
      <c r="D1989" s="213"/>
      <c r="E1989" s="213"/>
      <c r="F1989" s="213"/>
      <c r="G1989" s="525"/>
      <c r="H1989" s="213"/>
      <c r="I1989" s="213"/>
      <c r="J1989" s="213"/>
      <c r="K1989" s="213"/>
      <c r="L1989" s="213"/>
      <c r="N1989" s="525"/>
      <c r="O1989" s="525"/>
      <c r="P1989" s="525"/>
      <c r="Q1989" s="58"/>
      <c r="R1989" s="58"/>
      <c r="S1989" s="58"/>
    </row>
    <row r="1990" spans="2:19" x14ac:dyDescent="0.2">
      <c r="B1990" s="213"/>
      <c r="C1990" s="213"/>
      <c r="D1990" s="213"/>
      <c r="E1990" s="213"/>
      <c r="F1990" s="213"/>
      <c r="G1990" s="525"/>
      <c r="H1990" s="213"/>
      <c r="I1990" s="213"/>
      <c r="J1990" s="213"/>
      <c r="K1990" s="213"/>
      <c r="L1990" s="213"/>
      <c r="N1990" s="525"/>
      <c r="O1990" s="525"/>
      <c r="P1990" s="525"/>
      <c r="Q1990" s="58"/>
      <c r="R1990" s="58"/>
      <c r="S1990" s="58"/>
    </row>
    <row r="1991" spans="2:19" x14ac:dyDescent="0.2">
      <c r="B1991" s="213"/>
      <c r="C1991" s="213"/>
      <c r="D1991" s="213"/>
      <c r="E1991" s="213"/>
      <c r="F1991" s="213"/>
      <c r="G1991" s="525"/>
      <c r="H1991" s="213"/>
      <c r="I1991" s="213"/>
      <c r="J1991" s="213"/>
      <c r="K1991" s="213"/>
      <c r="L1991" s="213"/>
      <c r="N1991" s="525"/>
      <c r="O1991" s="525"/>
      <c r="P1991" s="525"/>
      <c r="Q1991" s="58"/>
      <c r="R1991" s="58"/>
      <c r="S1991" s="58"/>
    </row>
    <row r="1992" spans="2:19" x14ac:dyDescent="0.2">
      <c r="B1992" s="213"/>
      <c r="C1992" s="213"/>
      <c r="D1992" s="213"/>
      <c r="E1992" s="213"/>
      <c r="F1992" s="213"/>
      <c r="G1992" s="525"/>
      <c r="H1992" s="213"/>
      <c r="I1992" s="213"/>
      <c r="J1992" s="213"/>
      <c r="K1992" s="213"/>
      <c r="L1992" s="213"/>
      <c r="N1992" s="525"/>
      <c r="O1992" s="525"/>
      <c r="P1992" s="525"/>
      <c r="Q1992" s="58"/>
      <c r="R1992" s="58"/>
      <c r="S1992" s="58"/>
    </row>
    <row r="1993" spans="2:19" x14ac:dyDescent="0.2">
      <c r="B1993" s="213"/>
      <c r="C1993" s="213"/>
      <c r="D1993" s="213"/>
      <c r="E1993" s="213"/>
      <c r="F1993" s="213"/>
      <c r="G1993" s="525"/>
      <c r="H1993" s="213"/>
      <c r="I1993" s="213"/>
      <c r="J1993" s="213"/>
      <c r="K1993" s="213"/>
      <c r="L1993" s="213"/>
      <c r="N1993" s="525"/>
      <c r="O1993" s="525"/>
      <c r="P1993" s="525"/>
      <c r="Q1993" s="58"/>
      <c r="R1993" s="58"/>
      <c r="S1993" s="58"/>
    </row>
    <row r="1994" spans="2:19" x14ac:dyDescent="0.2">
      <c r="B1994" s="213"/>
      <c r="C1994" s="213"/>
      <c r="D1994" s="213"/>
      <c r="E1994" s="213"/>
      <c r="F1994" s="213"/>
      <c r="G1994" s="525"/>
      <c r="H1994" s="213"/>
      <c r="I1994" s="213"/>
      <c r="J1994" s="213"/>
      <c r="K1994" s="213"/>
      <c r="L1994" s="213"/>
      <c r="N1994" s="525"/>
      <c r="O1994" s="525"/>
      <c r="P1994" s="525"/>
      <c r="Q1994" s="58"/>
      <c r="R1994" s="58"/>
      <c r="S1994" s="58"/>
    </row>
    <row r="1995" spans="2:19" x14ac:dyDescent="0.2">
      <c r="B1995" s="213"/>
      <c r="C1995" s="213"/>
      <c r="D1995" s="213"/>
      <c r="E1995" s="213"/>
      <c r="F1995" s="213"/>
      <c r="G1995" s="525"/>
      <c r="H1995" s="213"/>
      <c r="I1995" s="213"/>
      <c r="J1995" s="213"/>
      <c r="K1995" s="213"/>
      <c r="L1995" s="213"/>
      <c r="N1995" s="525"/>
      <c r="O1995" s="525"/>
      <c r="P1995" s="525"/>
      <c r="Q1995" s="58"/>
      <c r="R1995" s="58"/>
      <c r="S1995" s="58"/>
    </row>
    <row r="1996" spans="2:19" x14ac:dyDescent="0.2">
      <c r="B1996" s="213"/>
      <c r="C1996" s="213"/>
      <c r="D1996" s="213"/>
      <c r="E1996" s="213"/>
      <c r="F1996" s="213"/>
      <c r="G1996" s="525"/>
      <c r="H1996" s="213"/>
      <c r="I1996" s="213"/>
      <c r="J1996" s="213"/>
      <c r="K1996" s="213"/>
      <c r="L1996" s="213"/>
      <c r="N1996" s="525"/>
      <c r="O1996" s="525"/>
      <c r="P1996" s="525"/>
      <c r="Q1996" s="58"/>
      <c r="R1996" s="58"/>
      <c r="S1996" s="58"/>
    </row>
    <row r="1997" spans="2:19" x14ac:dyDescent="0.2">
      <c r="B1997" s="213"/>
      <c r="C1997" s="213"/>
      <c r="D1997" s="213"/>
      <c r="E1997" s="213"/>
      <c r="F1997" s="213"/>
      <c r="G1997" s="525"/>
      <c r="H1997" s="213"/>
      <c r="I1997" s="213"/>
      <c r="J1997" s="213"/>
      <c r="K1997" s="213"/>
      <c r="L1997" s="213"/>
      <c r="N1997" s="525"/>
      <c r="O1997" s="525"/>
      <c r="P1997" s="525"/>
      <c r="Q1997" s="58"/>
      <c r="R1997" s="58"/>
      <c r="S1997" s="58"/>
    </row>
    <row r="1998" spans="2:19" x14ac:dyDescent="0.2">
      <c r="B1998" s="213"/>
      <c r="C1998" s="213"/>
      <c r="D1998" s="213"/>
      <c r="E1998" s="213"/>
      <c r="F1998" s="213"/>
      <c r="G1998" s="525"/>
      <c r="H1998" s="213"/>
      <c r="I1998" s="213"/>
      <c r="J1998" s="213"/>
      <c r="K1998" s="213"/>
      <c r="L1998" s="213"/>
      <c r="N1998" s="525"/>
      <c r="O1998" s="525"/>
      <c r="P1998" s="525"/>
      <c r="Q1998" s="58"/>
      <c r="R1998" s="58"/>
      <c r="S1998" s="58"/>
    </row>
    <row r="1999" spans="2:19" x14ac:dyDescent="0.2">
      <c r="B1999" s="213"/>
      <c r="C1999" s="213"/>
      <c r="D1999" s="213"/>
      <c r="E1999" s="213"/>
      <c r="F1999" s="213"/>
      <c r="G1999" s="525"/>
      <c r="H1999" s="213"/>
      <c r="I1999" s="213"/>
      <c r="J1999" s="213"/>
      <c r="K1999" s="213"/>
      <c r="L1999" s="213"/>
      <c r="N1999" s="525"/>
      <c r="O1999" s="525"/>
      <c r="P1999" s="525"/>
      <c r="Q1999" s="58"/>
      <c r="R1999" s="58"/>
      <c r="S1999" s="58"/>
    </row>
    <row r="2000" spans="2:19" x14ac:dyDescent="0.2">
      <c r="B2000" s="213"/>
      <c r="C2000" s="213"/>
      <c r="D2000" s="213"/>
      <c r="E2000" s="213"/>
      <c r="F2000" s="213"/>
      <c r="G2000" s="525"/>
      <c r="H2000" s="213"/>
      <c r="I2000" s="213"/>
      <c r="J2000" s="213"/>
      <c r="K2000" s="213"/>
      <c r="L2000" s="213"/>
      <c r="N2000" s="525"/>
      <c r="O2000" s="525"/>
      <c r="P2000" s="525"/>
      <c r="Q2000" s="58"/>
      <c r="R2000" s="58"/>
      <c r="S2000" s="58"/>
    </row>
    <row r="2001" spans="2:19" x14ac:dyDescent="0.2">
      <c r="B2001" s="213"/>
      <c r="C2001" s="213"/>
      <c r="D2001" s="213"/>
      <c r="E2001" s="213"/>
      <c r="F2001" s="213"/>
      <c r="G2001" s="525"/>
      <c r="H2001" s="213"/>
      <c r="I2001" s="213"/>
      <c r="J2001" s="213"/>
      <c r="K2001" s="213"/>
      <c r="L2001" s="213"/>
      <c r="N2001" s="525"/>
      <c r="O2001" s="525"/>
      <c r="P2001" s="525"/>
      <c r="Q2001" s="58"/>
      <c r="R2001" s="58"/>
      <c r="S2001" s="58"/>
    </row>
    <row r="2002" spans="2:19" x14ac:dyDescent="0.2">
      <c r="B2002" s="213"/>
      <c r="C2002" s="213"/>
      <c r="D2002" s="213"/>
      <c r="E2002" s="213"/>
      <c r="F2002" s="213"/>
      <c r="G2002" s="525"/>
      <c r="H2002" s="213"/>
      <c r="I2002" s="213"/>
      <c r="J2002" s="213"/>
      <c r="K2002" s="213"/>
      <c r="L2002" s="213"/>
      <c r="N2002" s="525"/>
      <c r="O2002" s="525"/>
      <c r="P2002" s="525"/>
      <c r="Q2002" s="58"/>
      <c r="R2002" s="58"/>
      <c r="S2002" s="58"/>
    </row>
    <row r="2003" spans="2:19" x14ac:dyDescent="0.2">
      <c r="B2003" s="213"/>
      <c r="C2003" s="213"/>
      <c r="D2003" s="213"/>
      <c r="E2003" s="213"/>
      <c r="F2003" s="213"/>
      <c r="G2003" s="525"/>
      <c r="H2003" s="213"/>
      <c r="I2003" s="213"/>
      <c r="J2003" s="213"/>
      <c r="K2003" s="213"/>
      <c r="L2003" s="213"/>
      <c r="N2003" s="525"/>
      <c r="O2003" s="525"/>
      <c r="P2003" s="525"/>
      <c r="Q2003" s="58"/>
      <c r="R2003" s="58"/>
      <c r="S2003" s="58"/>
    </row>
    <row r="2004" spans="2:19" x14ac:dyDescent="0.2">
      <c r="B2004" s="213"/>
      <c r="C2004" s="213"/>
      <c r="D2004" s="213"/>
      <c r="E2004" s="213"/>
      <c r="F2004" s="213"/>
      <c r="G2004" s="525"/>
      <c r="H2004" s="213"/>
      <c r="I2004" s="213"/>
      <c r="J2004" s="213"/>
      <c r="K2004" s="213"/>
      <c r="L2004" s="213"/>
      <c r="N2004" s="525"/>
      <c r="O2004" s="525"/>
      <c r="P2004" s="525"/>
      <c r="Q2004" s="58"/>
      <c r="R2004" s="58"/>
      <c r="S2004" s="58"/>
    </row>
    <row r="2005" spans="2:19" x14ac:dyDescent="0.2">
      <c r="B2005" s="213"/>
      <c r="C2005" s="213"/>
      <c r="D2005" s="213"/>
      <c r="E2005" s="213"/>
      <c r="F2005" s="213"/>
      <c r="G2005" s="525"/>
      <c r="H2005" s="213"/>
      <c r="I2005" s="213"/>
      <c r="J2005" s="213"/>
      <c r="K2005" s="213"/>
      <c r="L2005" s="213"/>
      <c r="N2005" s="525"/>
      <c r="O2005" s="525"/>
      <c r="P2005" s="525"/>
      <c r="Q2005" s="58"/>
      <c r="R2005" s="58"/>
      <c r="S2005" s="58"/>
    </row>
    <row r="2006" spans="2:19" x14ac:dyDescent="0.2">
      <c r="B2006" s="213"/>
      <c r="C2006" s="213"/>
      <c r="D2006" s="213"/>
      <c r="E2006" s="213"/>
      <c r="F2006" s="213"/>
      <c r="G2006" s="525"/>
      <c r="H2006" s="213"/>
      <c r="I2006" s="213"/>
      <c r="J2006" s="213"/>
      <c r="K2006" s="213"/>
      <c r="L2006" s="213"/>
      <c r="N2006" s="213"/>
      <c r="O2006" s="213"/>
    </row>
    <row r="2007" spans="2:19" x14ac:dyDescent="0.2">
      <c r="B2007" s="213"/>
      <c r="C2007" s="213"/>
      <c r="D2007" s="213"/>
      <c r="E2007" s="213"/>
      <c r="F2007" s="213"/>
      <c r="G2007" s="525"/>
      <c r="H2007" s="213"/>
      <c r="I2007" s="213"/>
      <c r="J2007" s="213"/>
      <c r="K2007" s="213"/>
      <c r="L2007" s="213"/>
      <c r="N2007" s="213"/>
      <c r="O2007" s="213"/>
    </row>
    <row r="2008" spans="2:19" x14ac:dyDescent="0.2">
      <c r="B2008" s="213"/>
      <c r="C2008" s="213"/>
      <c r="D2008" s="213"/>
      <c r="E2008" s="213"/>
      <c r="F2008" s="213"/>
      <c r="G2008" s="525"/>
      <c r="H2008" s="213"/>
      <c r="I2008" s="213"/>
      <c r="J2008" s="213"/>
      <c r="K2008" s="213"/>
      <c r="L2008" s="213"/>
      <c r="N2008" s="213"/>
      <c r="O2008" s="213"/>
    </row>
    <row r="2009" spans="2:19" x14ac:dyDescent="0.2">
      <c r="B2009" s="213"/>
      <c r="C2009" s="213"/>
      <c r="D2009" s="213"/>
      <c r="E2009" s="213"/>
      <c r="F2009" s="213"/>
      <c r="G2009" s="525"/>
      <c r="H2009" s="213"/>
      <c r="I2009" s="213"/>
      <c r="J2009" s="213"/>
      <c r="K2009" s="213"/>
      <c r="L2009" s="213"/>
      <c r="N2009" s="213"/>
      <c r="O2009" s="213"/>
    </row>
    <row r="2010" spans="2:19" x14ac:dyDescent="0.2">
      <c r="B2010" s="213"/>
      <c r="C2010" s="213"/>
      <c r="D2010" s="213"/>
      <c r="E2010" s="213"/>
      <c r="F2010" s="213"/>
      <c r="G2010" s="525"/>
      <c r="H2010" s="213"/>
      <c r="I2010" s="213"/>
      <c r="J2010" s="213"/>
      <c r="K2010" s="213"/>
      <c r="L2010" s="213"/>
      <c r="N2010" s="213"/>
      <c r="O2010" s="213"/>
    </row>
    <row r="2011" spans="2:19" x14ac:dyDescent="0.2">
      <c r="B2011" s="213"/>
      <c r="C2011" s="213"/>
      <c r="D2011" s="213"/>
      <c r="E2011" s="213"/>
      <c r="F2011" s="213"/>
      <c r="G2011" s="525"/>
      <c r="H2011" s="213"/>
      <c r="I2011" s="213"/>
      <c r="J2011" s="213"/>
      <c r="K2011" s="213"/>
      <c r="L2011" s="213"/>
      <c r="N2011" s="213"/>
      <c r="O2011" s="213"/>
    </row>
    <row r="2012" spans="2:19" x14ac:dyDescent="0.2">
      <c r="B2012" s="213"/>
      <c r="C2012" s="213"/>
      <c r="D2012" s="213"/>
      <c r="E2012" s="213"/>
      <c r="F2012" s="213"/>
      <c r="G2012" s="525"/>
      <c r="H2012" s="213"/>
      <c r="I2012" s="213"/>
      <c r="J2012" s="213"/>
      <c r="K2012" s="213"/>
      <c r="L2012" s="213"/>
      <c r="N2012" s="213"/>
      <c r="O2012" s="213"/>
    </row>
    <row r="2013" spans="2:19" x14ac:dyDescent="0.2">
      <c r="B2013" s="213"/>
      <c r="C2013" s="213"/>
      <c r="D2013" s="213"/>
      <c r="E2013" s="213"/>
      <c r="F2013" s="213"/>
      <c r="G2013" s="525"/>
      <c r="H2013" s="213"/>
      <c r="I2013" s="213"/>
      <c r="J2013" s="213"/>
      <c r="K2013" s="213"/>
      <c r="L2013" s="213"/>
      <c r="N2013" s="213"/>
      <c r="O2013" s="213"/>
    </row>
    <row r="2014" spans="2:19" x14ac:dyDescent="0.2">
      <c r="B2014" s="213"/>
      <c r="C2014" s="213"/>
      <c r="D2014" s="213"/>
      <c r="E2014" s="213"/>
      <c r="F2014" s="213"/>
      <c r="G2014" s="525"/>
      <c r="H2014" s="213"/>
      <c r="I2014" s="213"/>
      <c r="J2014" s="213"/>
      <c r="K2014" s="213"/>
      <c r="L2014" s="213"/>
      <c r="N2014" s="213"/>
      <c r="O2014" s="213"/>
    </row>
    <row r="2015" spans="2:19" x14ac:dyDescent="0.2">
      <c r="B2015" s="213"/>
      <c r="C2015" s="213"/>
      <c r="D2015" s="213"/>
      <c r="E2015" s="213"/>
      <c r="F2015" s="213"/>
      <c r="G2015" s="525"/>
      <c r="H2015" s="213"/>
      <c r="I2015" s="213"/>
      <c r="J2015" s="213"/>
      <c r="K2015" s="213"/>
      <c r="L2015" s="213"/>
      <c r="N2015" s="213"/>
      <c r="O2015" s="213"/>
    </row>
    <row r="2016" spans="2:19" x14ac:dyDescent="0.2">
      <c r="B2016" s="213"/>
      <c r="C2016" s="213"/>
      <c r="D2016" s="213"/>
      <c r="E2016" s="213"/>
      <c r="F2016" s="213"/>
      <c r="G2016" s="525"/>
      <c r="H2016" s="213"/>
      <c r="I2016" s="213"/>
      <c r="J2016" s="213"/>
      <c r="K2016" s="213"/>
      <c r="L2016" s="213"/>
      <c r="N2016" s="213"/>
      <c r="O2016" s="213"/>
    </row>
    <row r="2017" spans="2:15" x14ac:dyDescent="0.2">
      <c r="B2017" s="213"/>
      <c r="C2017" s="213"/>
      <c r="D2017" s="213"/>
      <c r="E2017" s="213"/>
      <c r="F2017" s="213"/>
      <c r="G2017" s="525"/>
      <c r="H2017" s="213"/>
      <c r="I2017" s="213"/>
      <c r="J2017" s="213"/>
      <c r="K2017" s="213"/>
      <c r="L2017" s="213"/>
      <c r="N2017" s="213"/>
      <c r="O2017" s="213"/>
    </row>
    <row r="2018" spans="2:15" x14ac:dyDescent="0.2">
      <c r="B2018" s="213"/>
      <c r="C2018" s="213"/>
      <c r="D2018" s="213"/>
      <c r="E2018" s="213"/>
      <c r="F2018" s="213"/>
      <c r="G2018" s="525"/>
      <c r="H2018" s="213"/>
      <c r="I2018" s="213"/>
      <c r="J2018" s="213"/>
      <c r="K2018" s="213"/>
      <c r="L2018" s="213"/>
      <c r="N2018" s="213"/>
      <c r="O2018" s="213"/>
    </row>
    <row r="2019" spans="2:15" x14ac:dyDescent="0.2">
      <c r="B2019" s="213"/>
      <c r="C2019" s="213"/>
      <c r="D2019" s="213"/>
      <c r="E2019" s="213"/>
      <c r="F2019" s="213"/>
      <c r="G2019" s="525"/>
      <c r="H2019" s="213"/>
      <c r="I2019" s="213"/>
      <c r="J2019" s="213"/>
      <c r="K2019" s="213"/>
      <c r="L2019" s="213"/>
      <c r="N2019" s="213"/>
      <c r="O2019" s="213"/>
    </row>
    <row r="2020" spans="2:15" x14ac:dyDescent="0.2">
      <c r="B2020" s="213"/>
      <c r="C2020" s="213"/>
      <c r="D2020" s="213"/>
      <c r="E2020" s="213"/>
      <c r="F2020" s="213"/>
      <c r="G2020" s="525"/>
      <c r="H2020" s="213"/>
      <c r="I2020" s="213"/>
      <c r="J2020" s="213"/>
      <c r="K2020" s="213"/>
      <c r="L2020" s="213"/>
      <c r="N2020" s="213"/>
      <c r="O2020" s="213"/>
    </row>
    <row r="2021" spans="2:15" x14ac:dyDescent="0.2">
      <c r="B2021" s="213"/>
      <c r="C2021" s="213"/>
      <c r="D2021" s="213"/>
      <c r="E2021" s="213"/>
      <c r="F2021" s="213"/>
      <c r="G2021" s="525"/>
      <c r="H2021" s="213"/>
      <c r="I2021" s="213"/>
      <c r="J2021" s="213"/>
      <c r="K2021" s="213"/>
      <c r="L2021" s="213"/>
      <c r="N2021" s="213"/>
      <c r="O2021" s="213"/>
    </row>
    <row r="2022" spans="2:15" x14ac:dyDescent="0.2">
      <c r="B2022" s="213"/>
      <c r="C2022" s="213"/>
      <c r="D2022" s="213"/>
      <c r="E2022" s="213"/>
      <c r="F2022" s="213"/>
      <c r="G2022" s="525"/>
      <c r="H2022" s="213"/>
      <c r="I2022" s="213"/>
      <c r="J2022" s="213"/>
      <c r="K2022" s="213"/>
      <c r="L2022" s="213"/>
      <c r="N2022" s="213"/>
      <c r="O2022" s="213"/>
    </row>
    <row r="2023" spans="2:15" x14ac:dyDescent="0.2">
      <c r="B2023" s="213"/>
      <c r="C2023" s="213"/>
      <c r="D2023" s="213"/>
      <c r="E2023" s="213"/>
      <c r="F2023" s="213"/>
      <c r="G2023" s="525"/>
      <c r="H2023" s="213"/>
      <c r="I2023" s="213"/>
      <c r="J2023" s="213"/>
      <c r="K2023" s="213"/>
      <c r="L2023" s="213"/>
      <c r="N2023" s="213"/>
      <c r="O2023" s="213"/>
    </row>
    <row r="2024" spans="2:15" x14ac:dyDescent="0.2">
      <c r="B2024" s="213"/>
      <c r="C2024" s="213"/>
      <c r="D2024" s="213"/>
      <c r="E2024" s="213"/>
      <c r="F2024" s="213"/>
      <c r="G2024" s="525"/>
      <c r="H2024" s="213"/>
      <c r="I2024" s="213"/>
      <c r="J2024" s="213"/>
      <c r="K2024" s="213"/>
      <c r="L2024" s="213"/>
      <c r="N2024" s="213"/>
      <c r="O2024" s="213"/>
    </row>
    <row r="2025" spans="2:15" x14ac:dyDescent="0.2">
      <c r="B2025" s="213"/>
      <c r="C2025" s="213"/>
      <c r="D2025" s="213"/>
      <c r="E2025" s="213"/>
      <c r="F2025" s="213"/>
      <c r="G2025" s="525"/>
      <c r="H2025" s="213"/>
      <c r="I2025" s="213"/>
      <c r="J2025" s="213"/>
      <c r="K2025" s="213"/>
      <c r="L2025" s="213"/>
      <c r="N2025" s="213"/>
      <c r="O2025" s="213"/>
    </row>
    <row r="2026" spans="2:15" x14ac:dyDescent="0.2">
      <c r="B2026" s="213"/>
      <c r="C2026" s="213"/>
      <c r="D2026" s="213"/>
      <c r="E2026" s="213"/>
      <c r="F2026" s="213"/>
      <c r="G2026" s="525"/>
      <c r="H2026" s="525"/>
      <c r="I2026" s="525"/>
      <c r="J2026" s="525"/>
      <c r="K2026" s="525"/>
      <c r="L2026" s="213"/>
      <c r="N2026" s="213"/>
      <c r="O2026" s="213"/>
    </row>
    <row r="2027" spans="2:15" x14ac:dyDescent="0.2">
      <c r="B2027" s="213"/>
      <c r="C2027" s="213"/>
      <c r="D2027" s="213"/>
      <c r="E2027" s="213"/>
      <c r="F2027" s="213"/>
      <c r="G2027" s="525"/>
      <c r="H2027" s="525"/>
      <c r="I2027" s="525"/>
      <c r="J2027" s="525"/>
      <c r="K2027" s="525"/>
      <c r="L2027" s="213"/>
      <c r="N2027" s="213"/>
      <c r="O2027" s="213"/>
    </row>
    <row r="2028" spans="2:15" hidden="1" x14ac:dyDescent="0.2">
      <c r="G2028" s="525"/>
      <c r="H2028" s="321"/>
      <c r="I2028" s="321"/>
      <c r="J2028" s="321"/>
      <c r="K2028" s="321"/>
    </row>
    <row r="2029" spans="2:15" hidden="1" x14ac:dyDescent="0.2">
      <c r="G2029" s="525"/>
      <c r="H2029" s="321"/>
      <c r="I2029" s="321"/>
      <c r="J2029" s="321"/>
      <c r="K2029" s="321"/>
    </row>
    <row r="2030" spans="2:15" hidden="1" x14ac:dyDescent="0.2">
      <c r="G2030" s="525"/>
      <c r="H2030" s="321"/>
      <c r="I2030" s="321"/>
      <c r="J2030" s="321"/>
      <c r="K2030" s="321"/>
    </row>
    <row r="2031" spans="2:15" hidden="1" x14ac:dyDescent="0.2">
      <c r="G2031" s="525"/>
      <c r="H2031" s="321"/>
      <c r="I2031" s="321"/>
      <c r="J2031" s="321"/>
      <c r="K2031" s="321"/>
    </row>
    <row r="2032" spans="2:15" hidden="1" x14ac:dyDescent="0.2">
      <c r="G2032" s="525"/>
      <c r="H2032" s="321"/>
      <c r="I2032" s="321"/>
      <c r="J2032" s="321"/>
      <c r="K2032" s="321"/>
    </row>
    <row r="2033" spans="7:11" hidden="1" x14ac:dyDescent="0.2">
      <c r="G2033" s="525"/>
      <c r="H2033" s="321"/>
      <c r="I2033" s="321"/>
      <c r="J2033" s="321"/>
      <c r="K2033" s="321"/>
    </row>
    <row r="2034" spans="7:11" hidden="1" x14ac:dyDescent="0.2">
      <c r="G2034" s="525"/>
      <c r="H2034" s="321"/>
      <c r="I2034" s="321"/>
      <c r="J2034" s="321"/>
      <c r="K2034" s="321"/>
    </row>
    <row r="2035" spans="7:11" hidden="1" x14ac:dyDescent="0.2">
      <c r="G2035" s="525"/>
      <c r="H2035" s="321"/>
      <c r="I2035" s="321"/>
      <c r="J2035" s="321"/>
      <c r="K2035" s="321"/>
    </row>
    <row r="2036" spans="7:11" hidden="1" x14ac:dyDescent="0.2">
      <c r="G2036" s="525"/>
      <c r="H2036" s="321"/>
      <c r="I2036" s="321"/>
      <c r="J2036" s="321"/>
      <c r="K2036" s="321"/>
    </row>
    <row r="2037" spans="7:11" hidden="1" x14ac:dyDescent="0.2">
      <c r="G2037" s="525"/>
      <c r="H2037" s="321"/>
      <c r="I2037" s="321"/>
      <c r="J2037" s="321"/>
      <c r="K2037" s="321"/>
    </row>
    <row r="2038" spans="7:11" hidden="1" x14ac:dyDescent="0.2">
      <c r="G2038" s="525"/>
      <c r="H2038" s="321"/>
      <c r="I2038" s="321"/>
      <c r="J2038" s="321"/>
      <c r="K2038" s="321"/>
    </row>
    <row r="2039" spans="7:11" hidden="1" x14ac:dyDescent="0.2">
      <c r="G2039" s="525"/>
      <c r="H2039" s="321"/>
      <c r="I2039" s="321"/>
      <c r="J2039" s="321"/>
      <c r="K2039" s="321"/>
    </row>
    <row r="2040" spans="7:11" hidden="1" x14ac:dyDescent="0.2">
      <c r="G2040" s="525"/>
      <c r="H2040" s="321"/>
      <c r="I2040" s="321"/>
      <c r="J2040" s="321"/>
      <c r="K2040" s="321"/>
    </row>
    <row r="2041" spans="7:11" hidden="1" x14ac:dyDescent="0.2">
      <c r="G2041" s="525"/>
      <c r="H2041" s="321"/>
      <c r="I2041" s="321"/>
      <c r="J2041" s="321"/>
      <c r="K2041" s="321"/>
    </row>
    <row r="2042" spans="7:11" hidden="1" x14ac:dyDescent="0.2">
      <c r="G2042" s="525"/>
      <c r="H2042" s="321"/>
      <c r="I2042" s="321"/>
      <c r="J2042" s="321"/>
      <c r="K2042" s="321"/>
    </row>
    <row r="2043" spans="7:11" hidden="1" x14ac:dyDescent="0.2">
      <c r="G2043" s="525"/>
      <c r="H2043" s="321"/>
      <c r="I2043" s="321"/>
      <c r="J2043" s="321"/>
      <c r="K2043" s="321"/>
    </row>
    <row r="2044" spans="7:11" hidden="1" x14ac:dyDescent="0.2">
      <c r="G2044" s="525"/>
      <c r="H2044" s="321"/>
      <c r="I2044" s="321"/>
      <c r="J2044" s="321"/>
      <c r="K2044" s="321"/>
    </row>
    <row r="2045" spans="7:11" hidden="1" x14ac:dyDescent="0.2">
      <c r="G2045" s="525"/>
      <c r="H2045" s="321"/>
      <c r="I2045" s="321"/>
      <c r="J2045" s="321"/>
      <c r="K2045" s="321"/>
    </row>
    <row r="2046" spans="7:11" hidden="1" x14ac:dyDescent="0.2">
      <c r="G2046" s="525"/>
      <c r="H2046" s="321"/>
      <c r="I2046" s="321"/>
      <c r="J2046" s="321"/>
      <c r="K2046" s="321"/>
    </row>
    <row r="2047" spans="7:11" hidden="1" x14ac:dyDescent="0.2">
      <c r="G2047" s="525"/>
      <c r="H2047" s="321"/>
      <c r="I2047" s="321"/>
      <c r="J2047" s="321"/>
      <c r="K2047" s="321"/>
    </row>
    <row r="2048" spans="7:11" hidden="1" x14ac:dyDescent="0.2">
      <c r="G2048" s="525"/>
      <c r="H2048" s="321"/>
      <c r="I2048" s="321"/>
      <c r="J2048" s="321"/>
      <c r="K2048" s="321"/>
    </row>
    <row r="2049" spans="7:11" hidden="1" x14ac:dyDescent="0.2">
      <c r="G2049" s="525"/>
      <c r="H2049" s="321"/>
      <c r="I2049" s="321"/>
      <c r="J2049" s="321"/>
      <c r="K2049" s="321"/>
    </row>
    <row r="2050" spans="7:11" hidden="1" x14ac:dyDescent="0.2">
      <c r="G2050" s="525"/>
      <c r="H2050" s="321"/>
      <c r="I2050" s="321"/>
      <c r="J2050" s="321"/>
      <c r="K2050" s="321"/>
    </row>
    <row r="2051" spans="7:11" hidden="1" x14ac:dyDescent="0.2">
      <c r="G2051" s="525"/>
      <c r="H2051" s="321"/>
      <c r="I2051" s="321"/>
      <c r="J2051" s="321"/>
      <c r="K2051" s="321"/>
    </row>
    <row r="2052" spans="7:11" hidden="1" x14ac:dyDescent="0.2">
      <c r="G2052" s="525"/>
      <c r="H2052" s="321"/>
      <c r="I2052" s="321"/>
      <c r="J2052" s="321"/>
      <c r="K2052" s="321"/>
    </row>
    <row r="2053" spans="7:11" hidden="1" x14ac:dyDescent="0.2">
      <c r="G2053" s="525"/>
      <c r="H2053" s="321"/>
      <c r="I2053" s="321"/>
      <c r="J2053" s="321"/>
      <c r="K2053" s="321"/>
    </row>
    <row r="2054" spans="7:11" hidden="1" x14ac:dyDescent="0.2">
      <c r="G2054" s="525"/>
      <c r="H2054" s="321"/>
      <c r="I2054" s="321"/>
      <c r="J2054" s="321"/>
      <c r="K2054" s="321"/>
    </row>
    <row r="2055" spans="7:11" hidden="1" x14ac:dyDescent="0.2">
      <c r="G2055" s="525"/>
      <c r="H2055" s="321"/>
      <c r="I2055" s="321"/>
      <c r="J2055" s="321"/>
      <c r="K2055" s="321"/>
    </row>
    <row r="2056" spans="7:11" hidden="1" x14ac:dyDescent="0.2">
      <c r="G2056" s="525"/>
      <c r="H2056" s="321"/>
      <c r="I2056" s="321"/>
      <c r="J2056" s="321"/>
      <c r="K2056" s="321"/>
    </row>
    <row r="2057" spans="7:11" hidden="1" x14ac:dyDescent="0.2">
      <c r="G2057" s="525"/>
      <c r="H2057" s="321"/>
      <c r="I2057" s="321"/>
      <c r="J2057" s="321"/>
      <c r="K2057" s="321"/>
    </row>
    <row r="2058" spans="7:11" hidden="1" x14ac:dyDescent="0.2">
      <c r="G2058" s="525"/>
      <c r="H2058" s="321"/>
      <c r="I2058" s="321"/>
      <c r="J2058" s="321"/>
      <c r="K2058" s="321"/>
    </row>
    <row r="2059" spans="7:11" hidden="1" x14ac:dyDescent="0.2">
      <c r="G2059" s="525"/>
      <c r="H2059" s="321"/>
      <c r="I2059" s="321"/>
      <c r="J2059" s="321"/>
      <c r="K2059" s="321"/>
    </row>
    <row r="2060" spans="7:11" hidden="1" x14ac:dyDescent="0.2">
      <c r="G2060" s="525"/>
      <c r="H2060" s="321"/>
      <c r="I2060" s="321"/>
      <c r="J2060" s="321"/>
      <c r="K2060" s="321"/>
    </row>
    <row r="2061" spans="7:11" hidden="1" x14ac:dyDescent="0.2">
      <c r="G2061" s="525"/>
      <c r="H2061" s="321"/>
      <c r="I2061" s="321"/>
      <c r="J2061" s="321"/>
      <c r="K2061" s="321"/>
    </row>
    <row r="2062" spans="7:11" hidden="1" x14ac:dyDescent="0.2">
      <c r="G2062" s="525"/>
      <c r="H2062" s="321"/>
      <c r="I2062" s="321"/>
      <c r="J2062" s="321"/>
      <c r="K2062" s="321"/>
    </row>
    <row r="2063" spans="7:11" hidden="1" x14ac:dyDescent="0.2">
      <c r="G2063" s="525"/>
      <c r="H2063" s="321"/>
      <c r="I2063" s="321"/>
      <c r="J2063" s="321"/>
      <c r="K2063" s="321"/>
    </row>
    <row r="2064" spans="7:11" hidden="1" x14ac:dyDescent="0.2">
      <c r="G2064" s="525"/>
      <c r="H2064" s="321"/>
      <c r="I2064" s="321"/>
      <c r="J2064" s="321"/>
      <c r="K2064" s="321"/>
    </row>
    <row r="2065" spans="7:11" hidden="1" x14ac:dyDescent="0.2">
      <c r="G2065" s="525"/>
      <c r="H2065" s="321"/>
      <c r="I2065" s="321"/>
      <c r="J2065" s="321"/>
      <c r="K2065" s="321"/>
    </row>
    <row r="2066" spans="7:11" hidden="1" x14ac:dyDescent="0.2">
      <c r="G2066" s="525"/>
      <c r="H2066" s="321"/>
      <c r="I2066" s="321"/>
      <c r="J2066" s="321"/>
      <c r="K2066" s="321"/>
    </row>
    <row r="2067" spans="7:11" hidden="1" x14ac:dyDescent="0.2">
      <c r="G2067" s="525"/>
      <c r="H2067" s="321"/>
      <c r="I2067" s="321"/>
      <c r="J2067" s="321"/>
      <c r="K2067" s="321"/>
    </row>
    <row r="2068" spans="7:11" hidden="1" x14ac:dyDescent="0.2">
      <c r="G2068" s="525"/>
      <c r="H2068" s="321"/>
      <c r="I2068" s="321"/>
      <c r="J2068" s="321"/>
      <c r="K2068" s="321"/>
    </row>
    <row r="2069" spans="7:11" hidden="1" x14ac:dyDescent="0.2">
      <c r="G2069" s="525"/>
      <c r="H2069" s="321"/>
      <c r="I2069" s="321"/>
      <c r="J2069" s="321"/>
      <c r="K2069" s="321"/>
    </row>
    <row r="2070" spans="7:11" hidden="1" x14ac:dyDescent="0.2">
      <c r="G2070" s="525"/>
      <c r="H2070" s="321"/>
      <c r="I2070" s="321"/>
      <c r="J2070" s="321"/>
      <c r="K2070" s="321"/>
    </row>
    <row r="2071" spans="7:11" hidden="1" x14ac:dyDescent="0.2">
      <c r="G2071" s="525"/>
      <c r="H2071" s="321"/>
      <c r="I2071" s="321"/>
      <c r="J2071" s="321"/>
      <c r="K2071" s="321"/>
    </row>
    <row r="2072" spans="7:11" hidden="1" x14ac:dyDescent="0.2">
      <c r="G2072" s="525"/>
      <c r="H2072" s="321"/>
      <c r="I2072" s="321"/>
      <c r="J2072" s="321"/>
      <c r="K2072" s="321"/>
    </row>
    <row r="2073" spans="7:11" hidden="1" x14ac:dyDescent="0.2">
      <c r="G2073" s="525"/>
      <c r="H2073" s="321"/>
      <c r="I2073" s="321"/>
      <c r="J2073" s="321"/>
      <c r="K2073" s="321"/>
    </row>
    <row r="2074" spans="7:11" hidden="1" x14ac:dyDescent="0.2">
      <c r="G2074" s="525"/>
      <c r="H2074" s="321"/>
      <c r="I2074" s="321"/>
      <c r="J2074" s="321"/>
      <c r="K2074" s="321"/>
    </row>
    <row r="2075" spans="7:11" hidden="1" x14ac:dyDescent="0.2">
      <c r="G2075" s="525"/>
      <c r="H2075" s="321"/>
      <c r="I2075" s="321"/>
      <c r="J2075" s="321"/>
      <c r="K2075" s="321"/>
    </row>
    <row r="2076" spans="7:11" hidden="1" x14ac:dyDescent="0.2">
      <c r="G2076" s="525"/>
      <c r="H2076" s="321"/>
      <c r="I2076" s="321"/>
      <c r="J2076" s="321"/>
      <c r="K2076" s="321"/>
    </row>
    <row r="2077" spans="7:11" hidden="1" x14ac:dyDescent="0.2">
      <c r="G2077" s="525"/>
      <c r="H2077" s="321"/>
      <c r="I2077" s="321"/>
      <c r="J2077" s="321"/>
      <c r="K2077" s="321"/>
    </row>
    <row r="2078" spans="7:11" hidden="1" x14ac:dyDescent="0.2">
      <c r="G2078" s="525"/>
      <c r="H2078" s="321"/>
      <c r="I2078" s="321"/>
      <c r="J2078" s="321"/>
      <c r="K2078" s="321"/>
    </row>
    <row r="2079" spans="7:11" hidden="1" x14ac:dyDescent="0.2">
      <c r="G2079" s="525"/>
      <c r="H2079" s="321"/>
      <c r="I2079" s="321"/>
      <c r="J2079" s="321"/>
      <c r="K2079" s="321"/>
    </row>
    <row r="2080" spans="7:11" hidden="1" x14ac:dyDescent="0.2">
      <c r="G2080" s="525"/>
      <c r="H2080" s="321"/>
      <c r="I2080" s="321"/>
      <c r="J2080" s="321"/>
      <c r="K2080" s="321"/>
    </row>
    <row r="2081" spans="7:11" hidden="1" x14ac:dyDescent="0.2">
      <c r="G2081" s="525"/>
      <c r="H2081" s="321"/>
      <c r="I2081" s="321"/>
      <c r="J2081" s="321"/>
      <c r="K2081" s="321"/>
    </row>
    <row r="2082" spans="7:11" hidden="1" x14ac:dyDescent="0.2">
      <c r="G2082" s="525"/>
      <c r="H2082" s="321"/>
      <c r="I2082" s="321"/>
      <c r="J2082" s="321"/>
      <c r="K2082" s="321"/>
    </row>
    <row r="2083" spans="7:11" hidden="1" x14ac:dyDescent="0.2">
      <c r="G2083" s="525"/>
      <c r="H2083" s="321"/>
      <c r="I2083" s="321"/>
      <c r="J2083" s="321"/>
      <c r="K2083" s="321"/>
    </row>
    <row r="2084" spans="7:11" hidden="1" x14ac:dyDescent="0.2">
      <c r="G2084" s="525"/>
      <c r="H2084" s="321"/>
      <c r="I2084" s="321"/>
      <c r="J2084" s="321"/>
      <c r="K2084" s="321"/>
    </row>
    <row r="2085" spans="7:11" hidden="1" x14ac:dyDescent="0.2">
      <c r="G2085" s="525"/>
      <c r="H2085" s="321"/>
      <c r="I2085" s="321"/>
      <c r="J2085" s="321"/>
      <c r="K2085" s="321"/>
    </row>
    <row r="2086" spans="7:11" hidden="1" x14ac:dyDescent="0.2">
      <c r="G2086" s="525"/>
      <c r="H2086" s="321"/>
      <c r="I2086" s="321"/>
      <c r="J2086" s="321"/>
      <c r="K2086" s="321"/>
    </row>
    <row r="2087" spans="7:11" hidden="1" x14ac:dyDescent="0.2">
      <c r="G2087" s="525"/>
      <c r="H2087" s="321"/>
      <c r="I2087" s="321"/>
      <c r="J2087" s="321"/>
      <c r="K2087" s="321"/>
    </row>
    <row r="2088" spans="7:11" hidden="1" x14ac:dyDescent="0.2">
      <c r="G2088" s="525"/>
      <c r="H2088" s="321"/>
      <c r="I2088" s="321"/>
      <c r="J2088" s="321"/>
      <c r="K2088" s="321"/>
    </row>
    <row r="2089" spans="7:11" hidden="1" x14ac:dyDescent="0.2">
      <c r="G2089" s="525"/>
      <c r="H2089" s="321"/>
      <c r="I2089" s="321"/>
      <c r="J2089" s="321"/>
      <c r="K2089" s="321"/>
    </row>
    <row r="2090" spans="7:11" hidden="1" x14ac:dyDescent="0.2">
      <c r="G2090" s="525"/>
      <c r="H2090" s="321"/>
      <c r="I2090" s="321"/>
      <c r="J2090" s="321"/>
      <c r="K2090" s="321"/>
    </row>
    <row r="2091" spans="7:11" hidden="1" x14ac:dyDescent="0.2">
      <c r="G2091" s="525"/>
      <c r="H2091" s="321"/>
      <c r="I2091" s="321"/>
      <c r="J2091" s="321"/>
      <c r="K2091" s="321"/>
    </row>
    <row r="2092" spans="7:11" hidden="1" x14ac:dyDescent="0.2">
      <c r="G2092" s="525"/>
      <c r="H2092" s="321"/>
      <c r="I2092" s="321"/>
      <c r="J2092" s="321"/>
      <c r="K2092" s="321"/>
    </row>
    <row r="2093" spans="7:11" hidden="1" x14ac:dyDescent="0.2">
      <c r="G2093" s="525"/>
      <c r="H2093" s="321"/>
      <c r="I2093" s="321"/>
      <c r="J2093" s="321"/>
      <c r="K2093" s="321"/>
    </row>
    <row r="2094" spans="7:11" hidden="1" x14ac:dyDescent="0.2">
      <c r="G2094" s="525"/>
      <c r="H2094" s="321"/>
      <c r="I2094" s="321"/>
      <c r="J2094" s="321"/>
      <c r="K2094" s="321"/>
    </row>
    <row r="2095" spans="7:11" hidden="1" x14ac:dyDescent="0.2">
      <c r="G2095" s="525"/>
      <c r="H2095" s="321"/>
      <c r="I2095" s="321"/>
      <c r="J2095" s="321"/>
      <c r="K2095" s="321"/>
    </row>
    <row r="2096" spans="7:11" hidden="1" x14ac:dyDescent="0.2">
      <c r="G2096" s="525"/>
      <c r="H2096" s="321"/>
      <c r="I2096" s="321"/>
      <c r="J2096" s="321"/>
      <c r="K2096" s="321"/>
    </row>
    <row r="2097" spans="7:11" hidden="1" x14ac:dyDescent="0.2">
      <c r="G2097" s="525"/>
      <c r="H2097" s="321"/>
      <c r="I2097" s="321"/>
      <c r="J2097" s="321"/>
      <c r="K2097" s="321"/>
    </row>
    <row r="2098" spans="7:11" hidden="1" x14ac:dyDescent="0.2">
      <c r="G2098" s="525"/>
      <c r="H2098" s="321"/>
      <c r="I2098" s="321"/>
      <c r="J2098" s="321"/>
      <c r="K2098" s="321"/>
    </row>
    <row r="2099" spans="7:11" hidden="1" x14ac:dyDescent="0.2">
      <c r="G2099" s="525"/>
      <c r="H2099" s="321"/>
      <c r="I2099" s="321"/>
      <c r="J2099" s="321"/>
      <c r="K2099" s="321"/>
    </row>
    <row r="2100" spans="7:11" hidden="1" x14ac:dyDescent="0.2">
      <c r="G2100" s="525"/>
      <c r="H2100" s="321"/>
      <c r="I2100" s="321"/>
      <c r="J2100" s="321"/>
      <c r="K2100" s="321"/>
    </row>
    <row r="2101" spans="7:11" hidden="1" x14ac:dyDescent="0.2">
      <c r="G2101" s="525"/>
      <c r="H2101" s="321"/>
      <c r="I2101" s="321"/>
      <c r="J2101" s="321"/>
      <c r="K2101" s="321"/>
    </row>
    <row r="2102" spans="7:11" hidden="1" x14ac:dyDescent="0.2">
      <c r="G2102" s="525"/>
      <c r="H2102" s="321"/>
      <c r="I2102" s="321"/>
      <c r="J2102" s="321"/>
      <c r="K2102" s="321"/>
    </row>
    <row r="2103" spans="7:11" hidden="1" x14ac:dyDescent="0.2">
      <c r="G2103" s="525"/>
      <c r="H2103" s="321"/>
      <c r="I2103" s="321"/>
      <c r="J2103" s="321"/>
      <c r="K2103" s="321"/>
    </row>
    <row r="2104" spans="7:11" hidden="1" x14ac:dyDescent="0.2">
      <c r="G2104" s="525"/>
      <c r="H2104" s="321"/>
      <c r="I2104" s="321"/>
      <c r="J2104" s="321"/>
      <c r="K2104" s="321"/>
    </row>
    <row r="2105" spans="7:11" hidden="1" x14ac:dyDescent="0.2">
      <c r="G2105" s="525"/>
      <c r="H2105" s="321"/>
      <c r="I2105" s="321"/>
      <c r="J2105" s="321"/>
      <c r="K2105" s="321"/>
    </row>
    <row r="2106" spans="7:11" hidden="1" x14ac:dyDescent="0.2">
      <c r="G2106" s="525"/>
      <c r="H2106" s="321"/>
      <c r="I2106" s="321"/>
      <c r="J2106" s="321"/>
      <c r="K2106" s="321"/>
    </row>
    <row r="2107" spans="7:11" hidden="1" x14ac:dyDescent="0.2">
      <c r="G2107" s="525"/>
      <c r="H2107" s="321"/>
      <c r="I2107" s="321"/>
      <c r="J2107" s="321"/>
      <c r="K2107" s="321"/>
    </row>
    <row r="2108" spans="7:11" hidden="1" x14ac:dyDescent="0.2">
      <c r="G2108" s="525"/>
      <c r="H2108" s="321"/>
      <c r="I2108" s="321"/>
      <c r="J2108" s="321"/>
      <c r="K2108" s="321"/>
    </row>
    <row r="2109" spans="7:11" hidden="1" x14ac:dyDescent="0.2">
      <c r="G2109" s="525"/>
      <c r="H2109" s="321"/>
      <c r="I2109" s="321"/>
      <c r="J2109" s="321"/>
      <c r="K2109" s="321"/>
    </row>
    <row r="2110" spans="7:11" hidden="1" x14ac:dyDescent="0.2">
      <c r="G2110" s="525"/>
      <c r="H2110" s="321"/>
      <c r="I2110" s="321"/>
      <c r="J2110" s="321"/>
      <c r="K2110" s="321"/>
    </row>
    <row r="2111" spans="7:11" hidden="1" x14ac:dyDescent="0.2">
      <c r="G2111" s="525"/>
      <c r="H2111" s="321"/>
      <c r="I2111" s="321"/>
      <c r="J2111" s="321"/>
      <c r="K2111" s="321"/>
    </row>
    <row r="2112" spans="7:11" hidden="1" x14ac:dyDescent="0.2">
      <c r="G2112" s="525"/>
      <c r="H2112" s="321"/>
      <c r="I2112" s="321"/>
      <c r="J2112" s="321"/>
      <c r="K2112" s="321"/>
    </row>
    <row r="2113" spans="7:11" hidden="1" x14ac:dyDescent="0.2">
      <c r="G2113" s="525"/>
      <c r="H2113" s="321"/>
      <c r="I2113" s="321"/>
      <c r="J2113" s="321"/>
      <c r="K2113" s="321"/>
    </row>
    <row r="2114" spans="7:11" hidden="1" x14ac:dyDescent="0.2">
      <c r="G2114" s="525"/>
      <c r="H2114" s="321"/>
      <c r="I2114" s="321"/>
      <c r="J2114" s="321"/>
      <c r="K2114" s="321"/>
    </row>
    <row r="2115" spans="7:11" hidden="1" x14ac:dyDescent="0.2">
      <c r="G2115" s="525"/>
      <c r="H2115" s="321"/>
      <c r="I2115" s="321"/>
      <c r="J2115" s="321"/>
      <c r="K2115" s="321"/>
    </row>
    <row r="2116" spans="7:11" hidden="1" x14ac:dyDescent="0.2">
      <c r="G2116" s="525"/>
      <c r="H2116" s="321"/>
      <c r="I2116" s="321"/>
      <c r="J2116" s="321"/>
      <c r="K2116" s="321"/>
    </row>
    <row r="2117" spans="7:11" hidden="1" x14ac:dyDescent="0.2">
      <c r="G2117" s="525"/>
      <c r="H2117" s="321"/>
      <c r="I2117" s="321"/>
      <c r="J2117" s="321"/>
      <c r="K2117" s="321"/>
    </row>
    <row r="2118" spans="7:11" hidden="1" x14ac:dyDescent="0.2">
      <c r="G2118" s="525"/>
      <c r="H2118" s="321"/>
      <c r="I2118" s="321"/>
      <c r="J2118" s="321"/>
      <c r="K2118" s="321"/>
    </row>
    <row r="2119" spans="7:11" hidden="1" x14ac:dyDescent="0.2">
      <c r="G2119" s="525"/>
      <c r="H2119" s="321"/>
      <c r="I2119" s="321"/>
      <c r="J2119" s="321"/>
      <c r="K2119" s="321"/>
    </row>
    <row r="2120" spans="7:11" hidden="1" x14ac:dyDescent="0.2">
      <c r="G2120" s="525"/>
      <c r="H2120" s="321"/>
      <c r="I2120" s="321"/>
      <c r="J2120" s="321"/>
      <c r="K2120" s="321"/>
    </row>
    <row r="2121" spans="7:11" hidden="1" x14ac:dyDescent="0.2">
      <c r="G2121" s="525"/>
      <c r="H2121" s="321"/>
      <c r="I2121" s="321"/>
      <c r="J2121" s="321"/>
      <c r="K2121" s="321"/>
    </row>
    <row r="2122" spans="7:11" hidden="1" x14ac:dyDescent="0.2">
      <c r="G2122" s="525"/>
      <c r="H2122" s="321"/>
      <c r="I2122" s="321"/>
      <c r="J2122" s="321"/>
      <c r="K2122" s="321"/>
    </row>
    <row r="2123" spans="7:11" hidden="1" x14ac:dyDescent="0.2">
      <c r="G2123" s="525"/>
      <c r="H2123" s="321"/>
      <c r="I2123" s="321"/>
      <c r="J2123" s="321"/>
      <c r="K2123" s="321"/>
    </row>
    <row r="2124" spans="7:11" hidden="1" x14ac:dyDescent="0.2">
      <c r="G2124" s="525"/>
      <c r="H2124" s="321"/>
      <c r="I2124" s="321"/>
      <c r="J2124" s="321"/>
      <c r="K2124" s="321"/>
    </row>
    <row r="2125" spans="7:11" hidden="1" x14ac:dyDescent="0.2">
      <c r="G2125" s="525"/>
      <c r="H2125" s="321"/>
      <c r="I2125" s="321"/>
      <c r="J2125" s="321"/>
      <c r="K2125" s="321"/>
    </row>
    <row r="2126" spans="7:11" hidden="1" x14ac:dyDescent="0.2">
      <c r="G2126" s="525"/>
      <c r="H2126" s="321"/>
      <c r="I2126" s="321"/>
      <c r="J2126" s="321"/>
      <c r="K2126" s="321"/>
    </row>
    <row r="2127" spans="7:11" hidden="1" x14ac:dyDescent="0.2">
      <c r="G2127" s="525"/>
      <c r="H2127" s="321"/>
      <c r="I2127" s="321"/>
      <c r="J2127" s="321"/>
      <c r="K2127" s="321"/>
    </row>
    <row r="2128" spans="7:11" hidden="1" x14ac:dyDescent="0.2">
      <c r="G2128" s="525"/>
      <c r="H2128" s="321"/>
      <c r="I2128" s="321"/>
      <c r="J2128" s="321"/>
      <c r="K2128" s="321"/>
    </row>
    <row r="2129" spans="7:11" hidden="1" x14ac:dyDescent="0.2">
      <c r="G2129" s="525"/>
      <c r="H2129" s="321"/>
      <c r="I2129" s="321"/>
      <c r="J2129" s="321"/>
      <c r="K2129" s="321"/>
    </row>
    <row r="2130" spans="7:11" hidden="1" x14ac:dyDescent="0.2">
      <c r="G2130" s="525"/>
      <c r="H2130" s="321"/>
      <c r="I2130" s="321"/>
      <c r="J2130" s="321"/>
      <c r="K2130" s="321"/>
    </row>
    <row r="2131" spans="7:11" hidden="1" x14ac:dyDescent="0.2">
      <c r="G2131" s="525"/>
      <c r="H2131" s="321"/>
      <c r="I2131" s="321"/>
      <c r="J2131" s="321"/>
      <c r="K2131" s="321"/>
    </row>
    <row r="2132" spans="7:11" hidden="1" x14ac:dyDescent="0.2">
      <c r="G2132" s="525"/>
      <c r="H2132" s="321"/>
      <c r="I2132" s="321"/>
      <c r="J2132" s="321"/>
      <c r="K2132" s="321"/>
    </row>
    <row r="2133" spans="7:11" hidden="1" x14ac:dyDescent="0.2">
      <c r="G2133" s="525"/>
      <c r="H2133" s="321"/>
      <c r="I2133" s="321"/>
      <c r="J2133" s="321"/>
      <c r="K2133" s="321"/>
    </row>
    <row r="2134" spans="7:11" hidden="1" x14ac:dyDescent="0.2">
      <c r="G2134" s="525"/>
      <c r="H2134" s="321"/>
      <c r="I2134" s="321"/>
      <c r="J2134" s="321"/>
      <c r="K2134" s="321"/>
    </row>
    <row r="2135" spans="7:11" hidden="1" x14ac:dyDescent="0.2">
      <c r="G2135" s="525"/>
      <c r="H2135" s="321"/>
      <c r="I2135" s="321"/>
      <c r="J2135" s="321"/>
      <c r="K2135" s="321"/>
    </row>
    <row r="2136" spans="7:11" hidden="1" x14ac:dyDescent="0.2">
      <c r="G2136" s="525"/>
      <c r="H2136" s="321"/>
      <c r="I2136" s="321"/>
      <c r="J2136" s="321"/>
      <c r="K2136" s="321"/>
    </row>
    <row r="2137" spans="7:11" hidden="1" x14ac:dyDescent="0.2">
      <c r="G2137" s="525"/>
      <c r="H2137" s="321"/>
      <c r="I2137" s="321"/>
      <c r="J2137" s="321"/>
      <c r="K2137" s="321"/>
    </row>
    <row r="2138" spans="7:11" hidden="1" x14ac:dyDescent="0.2">
      <c r="G2138" s="525"/>
      <c r="H2138" s="321"/>
      <c r="I2138" s="321"/>
      <c r="J2138" s="321"/>
      <c r="K2138" s="321"/>
    </row>
    <row r="2139" spans="7:11" hidden="1" x14ac:dyDescent="0.2">
      <c r="G2139" s="525"/>
      <c r="H2139" s="321"/>
      <c r="I2139" s="321"/>
      <c r="J2139" s="321"/>
      <c r="K2139" s="321"/>
    </row>
    <row r="2140" spans="7:11" hidden="1" x14ac:dyDescent="0.2">
      <c r="G2140" s="525"/>
      <c r="H2140" s="321"/>
      <c r="I2140" s="321"/>
      <c r="J2140" s="321"/>
      <c r="K2140" s="321"/>
    </row>
    <row r="2141" spans="7:11" hidden="1" x14ac:dyDescent="0.2">
      <c r="G2141" s="525"/>
      <c r="H2141" s="321"/>
      <c r="I2141" s="321"/>
      <c r="J2141" s="321"/>
      <c r="K2141" s="321"/>
    </row>
    <row r="2142" spans="7:11" hidden="1" x14ac:dyDescent="0.2">
      <c r="G2142" s="525"/>
      <c r="H2142" s="321"/>
      <c r="I2142" s="321"/>
      <c r="J2142" s="321"/>
      <c r="K2142" s="321"/>
    </row>
    <row r="2143" spans="7:11" hidden="1" x14ac:dyDescent="0.2">
      <c r="G2143" s="525"/>
      <c r="H2143" s="321"/>
      <c r="I2143" s="321"/>
      <c r="J2143" s="321"/>
      <c r="K2143" s="321"/>
    </row>
    <row r="2144" spans="7:11" hidden="1" x14ac:dyDescent="0.2">
      <c r="G2144" s="525"/>
      <c r="H2144" s="321"/>
      <c r="I2144" s="321"/>
      <c r="J2144" s="321"/>
      <c r="K2144" s="321"/>
    </row>
    <row r="2145" spans="7:11" hidden="1" x14ac:dyDescent="0.2">
      <c r="G2145" s="525"/>
      <c r="H2145" s="321"/>
      <c r="I2145" s="321"/>
      <c r="J2145" s="321"/>
      <c r="K2145" s="321"/>
    </row>
    <row r="2146" spans="7:11" hidden="1" x14ac:dyDescent="0.2">
      <c r="G2146" s="525"/>
      <c r="H2146" s="321"/>
      <c r="I2146" s="321"/>
      <c r="J2146" s="321"/>
      <c r="K2146" s="321"/>
    </row>
    <row r="2147" spans="7:11" hidden="1" x14ac:dyDescent="0.2">
      <c r="G2147" s="525"/>
      <c r="H2147" s="321"/>
      <c r="I2147" s="321"/>
      <c r="J2147" s="321"/>
      <c r="K2147" s="321"/>
    </row>
    <row r="2148" spans="7:11" hidden="1" x14ac:dyDescent="0.2">
      <c r="G2148" s="525"/>
      <c r="H2148" s="321"/>
      <c r="I2148" s="321"/>
      <c r="J2148" s="321"/>
      <c r="K2148" s="321"/>
    </row>
    <row r="2149" spans="7:11" hidden="1" x14ac:dyDescent="0.2">
      <c r="G2149" s="525"/>
      <c r="H2149" s="321"/>
      <c r="I2149" s="321"/>
      <c r="J2149" s="321"/>
      <c r="K2149" s="321"/>
    </row>
    <row r="2150" spans="7:11" hidden="1" x14ac:dyDescent="0.2">
      <c r="G2150" s="525"/>
      <c r="H2150" s="321"/>
      <c r="I2150" s="321"/>
      <c r="J2150" s="321"/>
      <c r="K2150" s="321"/>
    </row>
    <row r="2151" spans="7:11" hidden="1" x14ac:dyDescent="0.2">
      <c r="G2151" s="525"/>
      <c r="H2151" s="321"/>
      <c r="I2151" s="321"/>
      <c r="J2151" s="321"/>
      <c r="K2151" s="321"/>
    </row>
    <row r="2152" spans="7:11" hidden="1" x14ac:dyDescent="0.2">
      <c r="G2152" s="525"/>
      <c r="H2152" s="321"/>
      <c r="I2152" s="321"/>
      <c r="J2152" s="321"/>
      <c r="K2152" s="321"/>
    </row>
    <row r="2153" spans="7:11" hidden="1" x14ac:dyDescent="0.2">
      <c r="G2153" s="525"/>
      <c r="H2153" s="321"/>
      <c r="I2153" s="321"/>
      <c r="J2153" s="321"/>
      <c r="K2153" s="321"/>
    </row>
    <row r="2154" spans="7:11" hidden="1" x14ac:dyDescent="0.2">
      <c r="G2154" s="525"/>
      <c r="H2154" s="321"/>
      <c r="I2154" s="321"/>
      <c r="J2154" s="321"/>
      <c r="K2154" s="321"/>
    </row>
    <row r="2155" spans="7:11" hidden="1" x14ac:dyDescent="0.2">
      <c r="G2155" s="525"/>
      <c r="H2155" s="321"/>
      <c r="I2155" s="321"/>
      <c r="J2155" s="321"/>
      <c r="K2155" s="321"/>
    </row>
    <row r="2156" spans="7:11" hidden="1" x14ac:dyDescent="0.2">
      <c r="G2156" s="525"/>
      <c r="H2156" s="321"/>
      <c r="I2156" s="321"/>
      <c r="J2156" s="321"/>
      <c r="K2156" s="321"/>
    </row>
    <row r="2157" spans="7:11" hidden="1" x14ac:dyDescent="0.2">
      <c r="G2157" s="525"/>
      <c r="H2157" s="321"/>
      <c r="I2157" s="321"/>
      <c r="J2157" s="321"/>
      <c r="K2157" s="321"/>
    </row>
    <row r="2158" spans="7:11" hidden="1" x14ac:dyDescent="0.2">
      <c r="G2158" s="525"/>
      <c r="H2158" s="321"/>
      <c r="I2158" s="321"/>
      <c r="J2158" s="321"/>
      <c r="K2158" s="321"/>
    </row>
    <row r="2159" spans="7:11" hidden="1" x14ac:dyDescent="0.2">
      <c r="G2159" s="525"/>
      <c r="H2159" s="321"/>
      <c r="I2159" s="321"/>
      <c r="J2159" s="321"/>
      <c r="K2159" s="321"/>
    </row>
    <row r="2160" spans="7:11" hidden="1" x14ac:dyDescent="0.2">
      <c r="G2160" s="525"/>
      <c r="H2160" s="321"/>
      <c r="I2160" s="321"/>
      <c r="J2160" s="321"/>
      <c r="K2160" s="321"/>
    </row>
    <row r="2161" spans="7:11" hidden="1" x14ac:dyDescent="0.2">
      <c r="G2161" s="525"/>
      <c r="H2161" s="321"/>
      <c r="I2161" s="321"/>
      <c r="J2161" s="321"/>
      <c r="K2161" s="321"/>
    </row>
    <row r="2162" spans="7:11" hidden="1" x14ac:dyDescent="0.2">
      <c r="G2162" s="525"/>
      <c r="H2162" s="321"/>
      <c r="I2162" s="321"/>
      <c r="J2162" s="321"/>
      <c r="K2162" s="321"/>
    </row>
    <row r="2163" spans="7:11" hidden="1" x14ac:dyDescent="0.2">
      <c r="G2163" s="525"/>
      <c r="H2163" s="321"/>
      <c r="I2163" s="321"/>
      <c r="J2163" s="321"/>
      <c r="K2163" s="321"/>
    </row>
    <row r="2164" spans="7:11" hidden="1" x14ac:dyDescent="0.2">
      <c r="G2164" s="525"/>
      <c r="H2164" s="321"/>
      <c r="I2164" s="321"/>
      <c r="J2164" s="321"/>
      <c r="K2164" s="321"/>
    </row>
    <row r="2165" spans="7:11" hidden="1" x14ac:dyDescent="0.2">
      <c r="G2165" s="525"/>
      <c r="H2165" s="321"/>
      <c r="I2165" s="321"/>
      <c r="J2165" s="321"/>
      <c r="K2165" s="321"/>
    </row>
    <row r="2166" spans="7:11" hidden="1" x14ac:dyDescent="0.2">
      <c r="G2166" s="525"/>
      <c r="H2166" s="321"/>
      <c r="I2166" s="321"/>
      <c r="J2166" s="321"/>
      <c r="K2166" s="321"/>
    </row>
    <row r="2167" spans="7:11" hidden="1" x14ac:dyDescent="0.2">
      <c r="G2167" s="525"/>
      <c r="H2167" s="321"/>
      <c r="I2167" s="321"/>
      <c r="J2167" s="321"/>
      <c r="K2167" s="321"/>
    </row>
    <row r="2168" spans="7:11" hidden="1" x14ac:dyDescent="0.2">
      <c r="G2168" s="525"/>
      <c r="H2168" s="321"/>
      <c r="I2168" s="321"/>
      <c r="J2168" s="321"/>
      <c r="K2168" s="321"/>
    </row>
    <row r="2169" spans="7:11" hidden="1" x14ac:dyDescent="0.2">
      <c r="G2169" s="525"/>
      <c r="H2169" s="321"/>
      <c r="I2169" s="321"/>
      <c r="J2169" s="321"/>
      <c r="K2169" s="321"/>
    </row>
    <row r="2170" spans="7:11" hidden="1" x14ac:dyDescent="0.2">
      <c r="G2170" s="525"/>
      <c r="H2170" s="321"/>
      <c r="I2170" s="321"/>
      <c r="J2170" s="321"/>
      <c r="K2170" s="321"/>
    </row>
    <row r="2171" spans="7:11" hidden="1" x14ac:dyDescent="0.2">
      <c r="G2171" s="525"/>
      <c r="H2171" s="321"/>
      <c r="I2171" s="321"/>
      <c r="J2171" s="321"/>
      <c r="K2171" s="321"/>
    </row>
    <row r="2172" spans="7:11" hidden="1" x14ac:dyDescent="0.2">
      <c r="G2172" s="525"/>
      <c r="H2172" s="321"/>
      <c r="I2172" s="321"/>
      <c r="J2172" s="321"/>
      <c r="K2172" s="321"/>
    </row>
    <row r="2173" spans="7:11" hidden="1" x14ac:dyDescent="0.2">
      <c r="G2173" s="525"/>
      <c r="H2173" s="321"/>
      <c r="I2173" s="321"/>
      <c r="J2173" s="321"/>
      <c r="K2173" s="321"/>
    </row>
    <row r="2174" spans="7:11" hidden="1" x14ac:dyDescent="0.2">
      <c r="G2174" s="525"/>
      <c r="H2174" s="321"/>
      <c r="I2174" s="321"/>
      <c r="J2174" s="321"/>
      <c r="K2174" s="321"/>
    </row>
    <row r="2175" spans="7:11" hidden="1" x14ac:dyDescent="0.2">
      <c r="G2175" s="525"/>
      <c r="H2175" s="321"/>
      <c r="I2175" s="321"/>
      <c r="J2175" s="321"/>
      <c r="K2175" s="321"/>
    </row>
    <row r="2176" spans="7:11" hidden="1" x14ac:dyDescent="0.2">
      <c r="G2176" s="525"/>
      <c r="H2176" s="321"/>
      <c r="I2176" s="321"/>
      <c r="J2176" s="321"/>
      <c r="K2176" s="321"/>
    </row>
    <row r="2177" spans="7:11" hidden="1" x14ac:dyDescent="0.2">
      <c r="G2177" s="525"/>
      <c r="H2177" s="321"/>
      <c r="I2177" s="321"/>
      <c r="J2177" s="321"/>
      <c r="K2177" s="321"/>
    </row>
    <row r="2178" spans="7:11" hidden="1" x14ac:dyDescent="0.2">
      <c r="G2178" s="525"/>
      <c r="H2178" s="321"/>
      <c r="I2178" s="321"/>
      <c r="J2178" s="321"/>
      <c r="K2178" s="321"/>
    </row>
    <row r="2179" spans="7:11" hidden="1" x14ac:dyDescent="0.2">
      <c r="G2179" s="525"/>
      <c r="H2179" s="321"/>
      <c r="I2179" s="321"/>
      <c r="J2179" s="321"/>
      <c r="K2179" s="321"/>
    </row>
    <row r="2180" spans="7:11" hidden="1" x14ac:dyDescent="0.2">
      <c r="G2180" s="525"/>
      <c r="H2180" s="321"/>
      <c r="I2180" s="321"/>
      <c r="J2180" s="321"/>
      <c r="K2180" s="321"/>
    </row>
    <row r="2181" spans="7:11" hidden="1" x14ac:dyDescent="0.2">
      <c r="G2181" s="525"/>
      <c r="H2181" s="321"/>
      <c r="I2181" s="321"/>
      <c r="J2181" s="321"/>
      <c r="K2181" s="321"/>
    </row>
    <row r="2182" spans="7:11" hidden="1" x14ac:dyDescent="0.2">
      <c r="G2182" s="525"/>
      <c r="H2182" s="321"/>
      <c r="I2182" s="321"/>
      <c r="J2182" s="321"/>
      <c r="K2182" s="321"/>
    </row>
    <row r="2183" spans="7:11" hidden="1" x14ac:dyDescent="0.2">
      <c r="G2183" s="525"/>
      <c r="H2183" s="321"/>
      <c r="I2183" s="321"/>
      <c r="J2183" s="321"/>
      <c r="K2183" s="321"/>
    </row>
    <row r="2184" spans="7:11" hidden="1" x14ac:dyDescent="0.2">
      <c r="G2184" s="525"/>
      <c r="H2184" s="321"/>
      <c r="I2184" s="321"/>
      <c r="J2184" s="321"/>
      <c r="K2184" s="321"/>
    </row>
    <row r="2185" spans="7:11" hidden="1" x14ac:dyDescent="0.2">
      <c r="G2185" s="525"/>
      <c r="H2185" s="321"/>
      <c r="I2185" s="321"/>
      <c r="J2185" s="321"/>
      <c r="K2185" s="321"/>
    </row>
    <row r="2186" spans="7:11" hidden="1" x14ac:dyDescent="0.2">
      <c r="G2186" s="525"/>
      <c r="H2186" s="321"/>
      <c r="I2186" s="321"/>
      <c r="J2186" s="321"/>
      <c r="K2186" s="321"/>
    </row>
    <row r="2187" spans="7:11" hidden="1" x14ac:dyDescent="0.2">
      <c r="G2187" s="525"/>
      <c r="H2187" s="321"/>
      <c r="I2187" s="321"/>
      <c r="J2187" s="321"/>
      <c r="K2187" s="321"/>
    </row>
    <row r="2188" spans="7:11" hidden="1" x14ac:dyDescent="0.2">
      <c r="G2188" s="525"/>
      <c r="H2188" s="321"/>
      <c r="I2188" s="321"/>
      <c r="J2188" s="321"/>
      <c r="K2188" s="321"/>
    </row>
    <row r="2189" spans="7:11" hidden="1" x14ac:dyDescent="0.2">
      <c r="G2189" s="525"/>
      <c r="H2189" s="321"/>
      <c r="I2189" s="321"/>
      <c r="J2189" s="321"/>
      <c r="K2189" s="321"/>
    </row>
    <row r="2190" spans="7:11" hidden="1" x14ac:dyDescent="0.2">
      <c r="G2190" s="525"/>
      <c r="H2190" s="321"/>
      <c r="I2190" s="321"/>
      <c r="J2190" s="321"/>
      <c r="K2190" s="321"/>
    </row>
    <row r="2191" spans="7:11" hidden="1" x14ac:dyDescent="0.2">
      <c r="G2191" s="525"/>
      <c r="H2191" s="321"/>
      <c r="I2191" s="321"/>
      <c r="J2191" s="321"/>
      <c r="K2191" s="321"/>
    </row>
    <row r="2192" spans="7:11" hidden="1" x14ac:dyDescent="0.2">
      <c r="G2192" s="525"/>
      <c r="H2192" s="321"/>
      <c r="I2192" s="321"/>
      <c r="J2192" s="321"/>
      <c r="K2192" s="321"/>
    </row>
    <row r="2193" spans="7:11" hidden="1" x14ac:dyDescent="0.2">
      <c r="G2193" s="525"/>
      <c r="H2193" s="321"/>
      <c r="I2193" s="321"/>
      <c r="J2193" s="321"/>
      <c r="K2193" s="321"/>
    </row>
    <row r="2194" spans="7:11" hidden="1" x14ac:dyDescent="0.2">
      <c r="G2194" s="525"/>
      <c r="H2194" s="321"/>
      <c r="I2194" s="321"/>
      <c r="J2194" s="321"/>
      <c r="K2194" s="321"/>
    </row>
    <row r="2195" spans="7:11" hidden="1" x14ac:dyDescent="0.2">
      <c r="G2195" s="525"/>
      <c r="H2195" s="321"/>
      <c r="I2195" s="321"/>
      <c r="J2195" s="321"/>
      <c r="K2195" s="321"/>
    </row>
    <row r="2196" spans="7:11" hidden="1" x14ac:dyDescent="0.2">
      <c r="G2196" s="525"/>
      <c r="H2196" s="321"/>
      <c r="I2196" s="321"/>
      <c r="J2196" s="321"/>
      <c r="K2196" s="321"/>
    </row>
    <row r="2197" spans="7:11" hidden="1" x14ac:dyDescent="0.2">
      <c r="G2197" s="525"/>
      <c r="H2197" s="321"/>
      <c r="I2197" s="321"/>
      <c r="J2197" s="321"/>
      <c r="K2197" s="321"/>
    </row>
    <row r="2198" spans="7:11" hidden="1" x14ac:dyDescent="0.2">
      <c r="G2198" s="525"/>
      <c r="H2198" s="321"/>
      <c r="I2198" s="321"/>
      <c r="J2198" s="321"/>
      <c r="K2198" s="321"/>
    </row>
    <row r="2199" spans="7:11" hidden="1" x14ac:dyDescent="0.2">
      <c r="G2199" s="525"/>
      <c r="H2199" s="321"/>
      <c r="I2199" s="321"/>
      <c r="J2199" s="321"/>
      <c r="K2199" s="321"/>
    </row>
    <row r="2200" spans="7:11" hidden="1" x14ac:dyDescent="0.2">
      <c r="G2200" s="525"/>
      <c r="H2200" s="321"/>
      <c r="I2200" s="321"/>
      <c r="J2200" s="321"/>
      <c r="K2200" s="321"/>
    </row>
    <row r="2201" spans="7:11" hidden="1" x14ac:dyDescent="0.2">
      <c r="G2201" s="525"/>
      <c r="H2201" s="321"/>
      <c r="I2201" s="321"/>
      <c r="J2201" s="321"/>
      <c r="K2201" s="321"/>
    </row>
    <row r="2202" spans="7:11" hidden="1" x14ac:dyDescent="0.2">
      <c r="G2202" s="525"/>
      <c r="H2202" s="321"/>
      <c r="I2202" s="321"/>
      <c r="J2202" s="321"/>
      <c r="K2202" s="321"/>
    </row>
    <row r="2203" spans="7:11" hidden="1" x14ac:dyDescent="0.2">
      <c r="G2203" s="525"/>
      <c r="H2203" s="321"/>
      <c r="I2203" s="321"/>
      <c r="J2203" s="321"/>
      <c r="K2203" s="321"/>
    </row>
    <row r="2204" spans="7:11" hidden="1" x14ac:dyDescent="0.2">
      <c r="G2204" s="525"/>
      <c r="H2204" s="321"/>
      <c r="I2204" s="321"/>
      <c r="J2204" s="321"/>
      <c r="K2204" s="321"/>
    </row>
    <row r="2205" spans="7:11" hidden="1" x14ac:dyDescent="0.2">
      <c r="G2205" s="525"/>
      <c r="H2205" s="321"/>
      <c r="I2205" s="321"/>
      <c r="J2205" s="321"/>
      <c r="K2205" s="321"/>
    </row>
    <row r="2206" spans="7:11" hidden="1" x14ac:dyDescent="0.2">
      <c r="G2206" s="525"/>
      <c r="H2206" s="321"/>
      <c r="I2206" s="321"/>
      <c r="J2206" s="321"/>
      <c r="K2206" s="321"/>
    </row>
    <row r="2207" spans="7:11" hidden="1" x14ac:dyDescent="0.2">
      <c r="G2207" s="525"/>
      <c r="H2207" s="321"/>
      <c r="I2207" s="321"/>
      <c r="J2207" s="321"/>
      <c r="K2207" s="321"/>
    </row>
    <row r="2208" spans="7:11" hidden="1" x14ac:dyDescent="0.2">
      <c r="G2208" s="525"/>
      <c r="H2208" s="321"/>
      <c r="I2208" s="321"/>
      <c r="J2208" s="321"/>
      <c r="K2208" s="321"/>
    </row>
    <row r="2209" spans="7:11" hidden="1" x14ac:dyDescent="0.2">
      <c r="G2209" s="525"/>
      <c r="H2209" s="321"/>
      <c r="I2209" s="321"/>
      <c r="J2209" s="321"/>
      <c r="K2209" s="321"/>
    </row>
    <row r="2210" spans="7:11" hidden="1" x14ac:dyDescent="0.2">
      <c r="G2210" s="525"/>
      <c r="H2210" s="321"/>
      <c r="I2210" s="321"/>
      <c r="J2210" s="321"/>
      <c r="K2210" s="321"/>
    </row>
    <row r="2211" spans="7:11" hidden="1" x14ac:dyDescent="0.2">
      <c r="G2211" s="525"/>
      <c r="H2211" s="321"/>
      <c r="I2211" s="321"/>
      <c r="J2211" s="321"/>
      <c r="K2211" s="321"/>
    </row>
    <row r="2212" spans="7:11" hidden="1" x14ac:dyDescent="0.2">
      <c r="G2212" s="525"/>
      <c r="H2212" s="321"/>
      <c r="I2212" s="321"/>
      <c r="J2212" s="321"/>
      <c r="K2212" s="321"/>
    </row>
    <row r="2213" spans="7:11" hidden="1" x14ac:dyDescent="0.2">
      <c r="G2213" s="525"/>
      <c r="H2213" s="321"/>
      <c r="I2213" s="321"/>
      <c r="J2213" s="321"/>
      <c r="K2213" s="321"/>
    </row>
    <row r="2214" spans="7:11" hidden="1" x14ac:dyDescent="0.2">
      <c r="G2214" s="525"/>
      <c r="H2214" s="321"/>
      <c r="I2214" s="321"/>
      <c r="J2214" s="321"/>
      <c r="K2214" s="321"/>
    </row>
    <row r="2215" spans="7:11" hidden="1" x14ac:dyDescent="0.2">
      <c r="G2215" s="525"/>
      <c r="H2215" s="321"/>
      <c r="I2215" s="321"/>
      <c r="J2215" s="321"/>
      <c r="K2215" s="321"/>
    </row>
    <row r="2216" spans="7:11" hidden="1" x14ac:dyDescent="0.2">
      <c r="G2216" s="525"/>
      <c r="H2216" s="321"/>
      <c r="I2216" s="321"/>
      <c r="J2216" s="321"/>
      <c r="K2216" s="321"/>
    </row>
    <row r="2217" spans="7:11" hidden="1" x14ac:dyDescent="0.2">
      <c r="G2217" s="525"/>
      <c r="H2217" s="321"/>
      <c r="I2217" s="321"/>
      <c r="J2217" s="321"/>
      <c r="K2217" s="321"/>
    </row>
    <row r="2218" spans="7:11" hidden="1" x14ac:dyDescent="0.2">
      <c r="G2218" s="525"/>
      <c r="H2218" s="321"/>
      <c r="I2218" s="321"/>
      <c r="J2218" s="321"/>
      <c r="K2218" s="321"/>
    </row>
    <row r="2219" spans="7:11" hidden="1" x14ac:dyDescent="0.2">
      <c r="G2219" s="525"/>
      <c r="H2219" s="321"/>
      <c r="I2219" s="321"/>
      <c r="J2219" s="321"/>
      <c r="K2219" s="321"/>
    </row>
    <row r="2220" spans="7:11" hidden="1" x14ac:dyDescent="0.2">
      <c r="G2220" s="525"/>
      <c r="H2220" s="321"/>
      <c r="I2220" s="321"/>
      <c r="J2220" s="321"/>
      <c r="K2220" s="321"/>
    </row>
    <row r="2221" spans="7:11" hidden="1" x14ac:dyDescent="0.2">
      <c r="G2221" s="525"/>
      <c r="H2221" s="321"/>
      <c r="I2221" s="321"/>
      <c r="J2221" s="321"/>
      <c r="K2221" s="321"/>
    </row>
    <row r="2222" spans="7:11" hidden="1" x14ac:dyDescent="0.2">
      <c r="G2222" s="525"/>
      <c r="H2222" s="321"/>
      <c r="I2222" s="321"/>
      <c r="J2222" s="321"/>
      <c r="K2222" s="321"/>
    </row>
    <row r="2223" spans="7:11" hidden="1" x14ac:dyDescent="0.2">
      <c r="G2223" s="525"/>
      <c r="H2223" s="321"/>
      <c r="I2223" s="321"/>
      <c r="J2223" s="321"/>
      <c r="K2223" s="321"/>
    </row>
    <row r="2224" spans="7:11" hidden="1" x14ac:dyDescent="0.2">
      <c r="G2224" s="525"/>
      <c r="H2224" s="321"/>
      <c r="I2224" s="321"/>
      <c r="J2224" s="321"/>
      <c r="K2224" s="321"/>
    </row>
    <row r="2225" spans="7:11" hidden="1" x14ac:dyDescent="0.2">
      <c r="G2225" s="525"/>
      <c r="H2225" s="321"/>
      <c r="I2225" s="321"/>
      <c r="J2225" s="321"/>
      <c r="K2225" s="321"/>
    </row>
    <row r="2226" spans="7:11" hidden="1" x14ac:dyDescent="0.2">
      <c r="G2226" s="525"/>
      <c r="H2226" s="321"/>
      <c r="I2226" s="321"/>
      <c r="J2226" s="321"/>
      <c r="K2226" s="321"/>
    </row>
    <row r="2227" spans="7:11" hidden="1" x14ac:dyDescent="0.2">
      <c r="G2227" s="525"/>
      <c r="H2227" s="321"/>
      <c r="I2227" s="321"/>
      <c r="J2227" s="321"/>
      <c r="K2227" s="321"/>
    </row>
    <row r="2228" spans="7:11" hidden="1" x14ac:dyDescent="0.2">
      <c r="G2228" s="525"/>
      <c r="H2228" s="321"/>
      <c r="I2228" s="321"/>
      <c r="J2228" s="321"/>
      <c r="K2228" s="321"/>
    </row>
    <row r="2229" spans="7:11" hidden="1" x14ac:dyDescent="0.2">
      <c r="G2229" s="525"/>
      <c r="H2229" s="321"/>
      <c r="I2229" s="321"/>
      <c r="J2229" s="321"/>
      <c r="K2229" s="321"/>
    </row>
    <row r="2230" spans="7:11" hidden="1" x14ac:dyDescent="0.2">
      <c r="G2230" s="525"/>
      <c r="H2230" s="321"/>
      <c r="I2230" s="321"/>
      <c r="J2230" s="321"/>
      <c r="K2230" s="321"/>
    </row>
    <row r="2231" spans="7:11" hidden="1" x14ac:dyDescent="0.2">
      <c r="G2231" s="525"/>
      <c r="H2231" s="321"/>
      <c r="I2231" s="321"/>
      <c r="J2231" s="321"/>
      <c r="K2231" s="321"/>
    </row>
    <row r="2232" spans="7:11" hidden="1" x14ac:dyDescent="0.2">
      <c r="G2232" s="525"/>
      <c r="H2232" s="321"/>
      <c r="I2232" s="321"/>
      <c r="J2232" s="321"/>
      <c r="K2232" s="321"/>
    </row>
    <row r="2233" spans="7:11" hidden="1" x14ac:dyDescent="0.2">
      <c r="G2233" s="525"/>
      <c r="H2233" s="321"/>
      <c r="I2233" s="321"/>
      <c r="J2233" s="321"/>
      <c r="K2233" s="321"/>
    </row>
    <row r="2234" spans="7:11" hidden="1" x14ac:dyDescent="0.2">
      <c r="G2234" s="525"/>
      <c r="H2234" s="321"/>
      <c r="I2234" s="321"/>
      <c r="J2234" s="321"/>
      <c r="K2234" s="321"/>
    </row>
    <row r="2235" spans="7:11" hidden="1" x14ac:dyDescent="0.2">
      <c r="G2235" s="525"/>
      <c r="H2235" s="321"/>
      <c r="I2235" s="321"/>
      <c r="J2235" s="321"/>
      <c r="K2235" s="321"/>
    </row>
    <row r="2236" spans="7:11" hidden="1" x14ac:dyDescent="0.2">
      <c r="G2236" s="525"/>
      <c r="H2236" s="321"/>
      <c r="I2236" s="321"/>
      <c r="J2236" s="321"/>
      <c r="K2236" s="321"/>
    </row>
    <row r="2237" spans="7:11" hidden="1" x14ac:dyDescent="0.2">
      <c r="G2237" s="525"/>
      <c r="H2237" s="321"/>
      <c r="I2237" s="321"/>
      <c r="J2237" s="321"/>
      <c r="K2237" s="321"/>
    </row>
    <row r="2238" spans="7:11" hidden="1" x14ac:dyDescent="0.2">
      <c r="G2238" s="525"/>
      <c r="H2238" s="321"/>
      <c r="I2238" s="321"/>
      <c r="J2238" s="321"/>
      <c r="K2238" s="321"/>
    </row>
    <row r="2239" spans="7:11" hidden="1" x14ac:dyDescent="0.2">
      <c r="G2239" s="525"/>
      <c r="H2239" s="321"/>
      <c r="I2239" s="321"/>
      <c r="J2239" s="321"/>
      <c r="K2239" s="321"/>
    </row>
    <row r="2240" spans="7:11" hidden="1" x14ac:dyDescent="0.2">
      <c r="G2240" s="525"/>
      <c r="H2240" s="321"/>
      <c r="I2240" s="321"/>
      <c r="J2240" s="321"/>
      <c r="K2240" s="321"/>
    </row>
    <row r="2241" spans="7:11" hidden="1" x14ac:dyDescent="0.2">
      <c r="G2241" s="525"/>
      <c r="H2241" s="321"/>
      <c r="I2241" s="321"/>
      <c r="J2241" s="321"/>
      <c r="K2241" s="321"/>
    </row>
    <row r="2242" spans="7:11" hidden="1" x14ac:dyDescent="0.2">
      <c r="G2242" s="525"/>
      <c r="H2242" s="321"/>
      <c r="I2242" s="321"/>
      <c r="J2242" s="321"/>
      <c r="K2242" s="321"/>
    </row>
    <row r="2243" spans="7:11" hidden="1" x14ac:dyDescent="0.2">
      <c r="G2243" s="525"/>
      <c r="H2243" s="321"/>
      <c r="I2243" s="321"/>
      <c r="J2243" s="321"/>
      <c r="K2243" s="321"/>
    </row>
    <row r="2244" spans="7:11" hidden="1" x14ac:dyDescent="0.2">
      <c r="G2244" s="525"/>
      <c r="H2244" s="321"/>
      <c r="I2244" s="321"/>
      <c r="J2244" s="321"/>
      <c r="K2244" s="321"/>
    </row>
    <row r="2245" spans="7:11" hidden="1" x14ac:dyDescent="0.2">
      <c r="G2245" s="525"/>
      <c r="H2245" s="321"/>
      <c r="I2245" s="321"/>
      <c r="J2245" s="321"/>
      <c r="K2245" s="321"/>
    </row>
    <row r="2246" spans="7:11" hidden="1" x14ac:dyDescent="0.2">
      <c r="G2246" s="525"/>
      <c r="H2246" s="321"/>
      <c r="I2246" s="321"/>
      <c r="J2246" s="321"/>
      <c r="K2246" s="321"/>
    </row>
    <row r="2247" spans="7:11" hidden="1" x14ac:dyDescent="0.2">
      <c r="G2247" s="525"/>
      <c r="H2247" s="321"/>
      <c r="I2247" s="321"/>
      <c r="J2247" s="321"/>
      <c r="K2247" s="321"/>
    </row>
    <row r="2248" spans="7:11" hidden="1" x14ac:dyDescent="0.2">
      <c r="G2248" s="525"/>
      <c r="H2248" s="321"/>
      <c r="I2248" s="321"/>
      <c r="J2248" s="321"/>
      <c r="K2248" s="321"/>
    </row>
    <row r="2249" spans="7:11" hidden="1" x14ac:dyDescent="0.2">
      <c r="G2249" s="525"/>
      <c r="H2249" s="321"/>
      <c r="I2249" s="321"/>
      <c r="J2249" s="321"/>
      <c r="K2249" s="321"/>
    </row>
    <row r="2250" spans="7:11" hidden="1" x14ac:dyDescent="0.2">
      <c r="G2250" s="525"/>
      <c r="H2250" s="321"/>
      <c r="I2250" s="321"/>
      <c r="J2250" s="321"/>
      <c r="K2250" s="321"/>
    </row>
    <row r="2251" spans="7:11" hidden="1" x14ac:dyDescent="0.2">
      <c r="G2251" s="525"/>
      <c r="H2251" s="321"/>
      <c r="I2251" s="321"/>
      <c r="J2251" s="321"/>
      <c r="K2251" s="321"/>
    </row>
    <row r="2252" spans="7:11" hidden="1" x14ac:dyDescent="0.2">
      <c r="G2252" s="525"/>
      <c r="H2252" s="321"/>
      <c r="I2252" s="321"/>
      <c r="J2252" s="321"/>
      <c r="K2252" s="321"/>
    </row>
    <row r="2253" spans="7:11" hidden="1" x14ac:dyDescent="0.2">
      <c r="G2253" s="525"/>
      <c r="H2253" s="321"/>
      <c r="I2253" s="321"/>
      <c r="J2253" s="321"/>
      <c r="K2253" s="321"/>
    </row>
    <row r="2254" spans="7:11" hidden="1" x14ac:dyDescent="0.2">
      <c r="G2254" s="525"/>
      <c r="H2254" s="321"/>
      <c r="I2254" s="321"/>
      <c r="J2254" s="321"/>
      <c r="K2254" s="321"/>
    </row>
    <row r="2255" spans="7:11" hidden="1" x14ac:dyDescent="0.2">
      <c r="G2255" s="525"/>
      <c r="H2255" s="321"/>
      <c r="I2255" s="321"/>
      <c r="J2255" s="321"/>
      <c r="K2255" s="321"/>
    </row>
    <row r="2256" spans="7:11" hidden="1" x14ac:dyDescent="0.2">
      <c r="G2256" s="525"/>
      <c r="H2256" s="321"/>
      <c r="I2256" s="321"/>
      <c r="J2256" s="321"/>
      <c r="K2256" s="321"/>
    </row>
    <row r="2257" spans="7:11" hidden="1" x14ac:dyDescent="0.2">
      <c r="G2257" s="525"/>
      <c r="H2257" s="321"/>
      <c r="I2257" s="321"/>
      <c r="J2257" s="321"/>
      <c r="K2257" s="321"/>
    </row>
    <row r="2258" spans="7:11" hidden="1" x14ac:dyDescent="0.2">
      <c r="G2258" s="525"/>
      <c r="H2258" s="321"/>
      <c r="I2258" s="321"/>
      <c r="J2258" s="321"/>
      <c r="K2258" s="321"/>
    </row>
    <row r="2259" spans="7:11" hidden="1" x14ac:dyDescent="0.2">
      <c r="G2259" s="525"/>
      <c r="H2259" s="321"/>
      <c r="I2259" s="321"/>
      <c r="J2259" s="321"/>
      <c r="K2259" s="321"/>
    </row>
    <row r="2260" spans="7:11" hidden="1" x14ac:dyDescent="0.2">
      <c r="G2260" s="525"/>
      <c r="H2260" s="321"/>
      <c r="I2260" s="321"/>
      <c r="J2260" s="321"/>
      <c r="K2260" s="321"/>
    </row>
    <row r="2261" spans="7:11" hidden="1" x14ac:dyDescent="0.2">
      <c r="G2261" s="525"/>
      <c r="H2261" s="321"/>
      <c r="I2261" s="321"/>
      <c r="J2261" s="321"/>
      <c r="K2261" s="321"/>
    </row>
    <row r="2262" spans="7:11" hidden="1" x14ac:dyDescent="0.2">
      <c r="G2262" s="525"/>
      <c r="H2262" s="321"/>
      <c r="I2262" s="321"/>
      <c r="J2262" s="321"/>
      <c r="K2262" s="321"/>
    </row>
    <row r="2263" spans="7:11" hidden="1" x14ac:dyDescent="0.2">
      <c r="G2263" s="525"/>
      <c r="H2263" s="321"/>
      <c r="I2263" s="321"/>
      <c r="J2263" s="321"/>
      <c r="K2263" s="321"/>
    </row>
    <row r="2264" spans="7:11" hidden="1" x14ac:dyDescent="0.2">
      <c r="G2264" s="525"/>
      <c r="H2264" s="321"/>
      <c r="I2264" s="321"/>
      <c r="J2264" s="321"/>
      <c r="K2264" s="321"/>
    </row>
    <row r="2265" spans="7:11" hidden="1" x14ac:dyDescent="0.2">
      <c r="G2265" s="525"/>
      <c r="H2265" s="321"/>
      <c r="I2265" s="321"/>
      <c r="J2265" s="321"/>
      <c r="K2265" s="321"/>
    </row>
    <row r="2266" spans="7:11" hidden="1" x14ac:dyDescent="0.2">
      <c r="G2266" s="525"/>
      <c r="H2266" s="321"/>
      <c r="I2266" s="321"/>
      <c r="J2266" s="321"/>
      <c r="K2266" s="321"/>
    </row>
    <row r="2267" spans="7:11" hidden="1" x14ac:dyDescent="0.2">
      <c r="G2267" s="525"/>
      <c r="H2267" s="321"/>
      <c r="I2267" s="321"/>
      <c r="J2267" s="321"/>
      <c r="K2267" s="321"/>
    </row>
    <row r="2268" spans="7:11" hidden="1" x14ac:dyDescent="0.2">
      <c r="G2268" s="525"/>
      <c r="H2268" s="321"/>
      <c r="I2268" s="321"/>
      <c r="J2268" s="321"/>
      <c r="K2268" s="321"/>
    </row>
    <row r="2269" spans="7:11" hidden="1" x14ac:dyDescent="0.2">
      <c r="G2269" s="525"/>
      <c r="H2269" s="321"/>
      <c r="I2269" s="321"/>
      <c r="J2269" s="321"/>
      <c r="K2269" s="321"/>
    </row>
    <row r="2270" spans="7:11" hidden="1" x14ac:dyDescent="0.2">
      <c r="G2270" s="525"/>
      <c r="H2270" s="321"/>
      <c r="I2270" s="321"/>
    </row>
  </sheetData>
  <mergeCells count="3">
    <mergeCell ref="Q4:S4"/>
    <mergeCell ref="N9:O9"/>
    <mergeCell ref="N4:O4"/>
  </mergeCells>
  <phoneticPr fontId="25" type="noConversion"/>
  <pageMargins left="0.7" right="0.7" top="0.75" bottom="0.75" header="0.3" footer="0.3"/>
  <pageSetup paperSize="9" orientation="portrait" horizontalDpi="90" verticalDpi="9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8"/>
  <dimension ref="A1:AT3172"/>
  <sheetViews>
    <sheetView workbookViewId="0"/>
  </sheetViews>
  <sheetFormatPr defaultColWidth="15.7109375" defaultRowHeight="12.75" x14ac:dyDescent="0.2"/>
  <cols>
    <col min="1" max="6" width="15.7109375" style="321"/>
    <col min="7" max="7" width="2.7109375" style="321" customWidth="1"/>
    <col min="8" max="8" width="21.140625" style="321" bestFit="1" customWidth="1"/>
    <col min="9" max="12" width="15.7109375" style="321"/>
    <col min="13" max="13" width="2.7109375" style="321" customWidth="1"/>
    <col min="14" max="25" width="15.7109375" style="321" hidden="1" customWidth="1"/>
    <col min="26" max="16384" width="15.7109375" style="321"/>
  </cols>
  <sheetData>
    <row r="1" spans="1:46" s="51" customFormat="1" ht="30.75" customHeight="1" x14ac:dyDescent="0.2">
      <c r="A1" s="829" t="s">
        <v>463</v>
      </c>
      <c r="B1" s="829"/>
      <c r="C1" s="830" t="s">
        <v>464</v>
      </c>
      <c r="D1" s="830"/>
      <c r="E1" s="828" t="s">
        <v>465</v>
      </c>
      <c r="F1" s="828"/>
      <c r="J1" s="316"/>
      <c r="Z1" s="513" t="s">
        <v>1898</v>
      </c>
      <c r="AA1" s="322" t="s">
        <v>466</v>
      </c>
      <c r="AB1" s="303" t="s">
        <v>467</v>
      </c>
      <c r="AC1" s="303" t="s">
        <v>468</v>
      </c>
      <c r="AD1" s="828" t="s">
        <v>469</v>
      </c>
      <c r="AE1" s="828"/>
      <c r="AF1" s="828"/>
      <c r="AG1" s="828"/>
      <c r="AH1" s="828"/>
      <c r="AI1" s="828"/>
      <c r="AJ1" s="828"/>
      <c r="AK1" s="322" t="s">
        <v>466</v>
      </c>
      <c r="AL1" s="303" t="s">
        <v>467</v>
      </c>
      <c r="AM1" s="328" t="s">
        <v>470</v>
      </c>
      <c r="AN1" s="328" t="s">
        <v>471</v>
      </c>
      <c r="AO1" s="328" t="s">
        <v>472</v>
      </c>
      <c r="AP1" s="328" t="s">
        <v>473</v>
      </c>
      <c r="AQ1" s="308" t="s">
        <v>474</v>
      </c>
      <c r="AR1" s="308" t="s">
        <v>475</v>
      </c>
      <c r="AS1" s="308" t="s">
        <v>476</v>
      </c>
      <c r="AT1" s="308" t="s">
        <v>477</v>
      </c>
    </row>
    <row r="2" spans="1:46" s="51" customFormat="1" ht="25.5" x14ac:dyDescent="0.2">
      <c r="A2" s="606"/>
      <c r="B2" s="607" t="s">
        <v>478</v>
      </c>
      <c r="C2" s="606"/>
      <c r="D2" s="608" t="s">
        <v>478</v>
      </c>
      <c r="E2" s="606"/>
      <c r="F2" s="606" t="s">
        <v>431</v>
      </c>
      <c r="Y2" s="320"/>
      <c r="Z2" s="323" t="str">
        <f>IF(COUNTIF(AA:AA,"*Peso*")&gt;0,"Peso","Boia")</f>
        <v>Boia</v>
      </c>
      <c r="AA2" s="323"/>
      <c r="AB2" s="323"/>
      <c r="AC2" s="323" t="str">
        <f>IFERROR(VALUE(RIGHT(AA2,LEN(AA2)-MIN(FIND({0;1;2;3;4;5;6;7;8;9},AA2&amp;"0123456789"))+1)),"")</f>
        <v/>
      </c>
      <c r="AD2" s="323">
        <v>1</v>
      </c>
      <c r="AE2" s="323" t="e">
        <f t="shared" ref="AE2:AE33" si="0">SMALL(AB:AB,AD2)</f>
        <v>#NUM!</v>
      </c>
      <c r="AF2" s="323">
        <f t="shared" ref="AF2:AF33" si="1">SUMIF(AB:AB,AE2,AC:AC)</f>
        <v>0</v>
      </c>
      <c r="AG2" s="323" t="str">
        <f>IFERROR(IF(AF2=0,"",IF(AND(AE2=AE1,AF2=AF1),"",AE2)),"")</f>
        <v/>
      </c>
      <c r="AH2" s="323" t="str">
        <f>IF(AF2=0,"",AF2)</f>
        <v/>
      </c>
      <c r="AI2" s="323">
        <v>1</v>
      </c>
      <c r="AJ2" s="323">
        <v>1</v>
      </c>
      <c r="AK2" s="323" t="str">
        <f>IF($Z$2="Peso",SUM(AH:AH),IFERROR(INDEX(AG2:AI121,MATCH(AJ2,AI2:AI121,0),2),""))</f>
        <v/>
      </c>
      <c r="AL2" s="323" t="str">
        <f>IF($Z$2="Peso",_xlfn.CONCAT(MIN(AG2:AG120)," : ",MAX(AG2:AG120)),IFERROR(INDEX(AG2:AI120,MATCH(AJ2,AI2:AI120,0),1),""))</f>
        <v/>
      </c>
      <c r="AM2" s="323"/>
      <c r="AN2" s="323"/>
      <c r="AO2" s="323"/>
      <c r="AP2" s="323"/>
      <c r="AQ2" s="323"/>
      <c r="AR2" s="323"/>
      <c r="AS2" s="323"/>
      <c r="AT2" s="323"/>
    </row>
    <row r="3" spans="1:46" s="51" customFormat="1" x14ac:dyDescent="0.2">
      <c r="A3" s="323"/>
      <c r="B3" s="323"/>
      <c r="C3" s="329"/>
      <c r="D3" s="324"/>
      <c r="E3" s="329"/>
      <c r="F3" s="329"/>
      <c r="H3" s="327" t="s">
        <v>1298</v>
      </c>
      <c r="I3" s="512" t="s">
        <v>1724</v>
      </c>
      <c r="J3" s="512" t="s">
        <v>431</v>
      </c>
      <c r="K3" s="512" t="s">
        <v>481</v>
      </c>
      <c r="L3" s="512" t="s">
        <v>1773</v>
      </c>
      <c r="AA3" s="323"/>
      <c r="AB3" s="323"/>
      <c r="AC3" s="323" t="str">
        <f>IFERROR(VALUE(RIGHT(AA3,LEN(AA3)-MIN(FIND({0;1;2;3;4;5;6;7;8;9},AA3&amp;"0123456789"))+1)),"")</f>
        <v/>
      </c>
      <c r="AD3" s="323" t="str">
        <f xml:space="preserve"> IF(AA3&lt;&gt;"",AD2+1,"")</f>
        <v/>
      </c>
      <c r="AE3" s="323" t="e">
        <f t="shared" si="0"/>
        <v>#VALUE!</v>
      </c>
      <c r="AF3" s="323">
        <f t="shared" si="1"/>
        <v>0</v>
      </c>
      <c r="AG3" s="323" t="str">
        <f t="shared" ref="AG3:AG66" si="2">IFERROR(IF(AF3=0,"",IF(AND(AE3=AE2,AF3=AF2),"",AE3)),"")</f>
        <v/>
      </c>
      <c r="AH3" s="323" t="str">
        <f t="shared" ref="AH3:AH66" si="3">IF(AF3=0,"",AF3)</f>
        <v/>
      </c>
      <c r="AI3" s="323" t="str">
        <f>IF(AG3="","",MAX($AI$2:AI2)+1)</f>
        <v/>
      </c>
      <c r="AJ3" s="323" t="str">
        <f xml:space="preserve"> IF(AA3&lt;&gt;"",AJ2+1,"")</f>
        <v/>
      </c>
      <c r="AK3" s="323" t="str">
        <f>IF($Z$2="Peso"," ",IFERROR(INDEX(AG3:AI121,MATCH(AJ3,AI3:AI121,0),2),""))</f>
        <v/>
      </c>
      <c r="AL3" s="323" t="str">
        <f>IF($Z$2="Peso","",IFERROR(INDEX(AG3:AI120,MATCH(AJ3,AI3:AI120,0),1),""))</f>
        <v/>
      </c>
      <c r="AM3" s="323"/>
      <c r="AN3" s="323"/>
      <c r="AO3" s="323"/>
      <c r="AP3" s="323"/>
      <c r="AQ3" s="323"/>
      <c r="AR3" s="323"/>
      <c r="AS3" s="323"/>
      <c r="AT3" s="323"/>
    </row>
    <row r="4" spans="1:46" s="51" customFormat="1" x14ac:dyDescent="0.2">
      <c r="A4" s="323"/>
      <c r="B4" s="323"/>
      <c r="C4" s="329"/>
      <c r="D4" s="324"/>
      <c r="E4" s="329"/>
      <c r="F4" s="329"/>
      <c r="H4" s="518" t="s">
        <v>479</v>
      </c>
      <c r="I4" s="98" t="e">
        <f>VLOOKUP(-0.001,B13:E2003,4,TRUE)</f>
        <v>#N/A</v>
      </c>
      <c r="J4" s="98" t="e">
        <f>VLOOKUP(I4,E:F,2,FALSE)</f>
        <v>#N/A</v>
      </c>
      <c r="K4" s="394" t="s">
        <v>1353</v>
      </c>
      <c r="L4" s="394" t="s">
        <v>1353</v>
      </c>
      <c r="AA4" s="323"/>
      <c r="AB4" s="323"/>
      <c r="AC4" s="323" t="str">
        <f>IFERROR(VALUE(RIGHT(AA4,LEN(AA4)-MIN(FIND({0;1;2;3;4;5;6;7;8;9},AA4&amp;"0123456789"))+1)),"")</f>
        <v/>
      </c>
      <c r="AD4" s="323" t="str">
        <f t="shared" ref="AD4:AD67" si="4" xml:space="preserve"> IF(AA4&lt;&gt;"",AD3+1,"")</f>
        <v/>
      </c>
      <c r="AE4" s="323" t="e">
        <f t="shared" si="0"/>
        <v>#VALUE!</v>
      </c>
      <c r="AF4" s="323">
        <f t="shared" si="1"/>
        <v>0</v>
      </c>
      <c r="AG4" s="323" t="str">
        <f t="shared" si="2"/>
        <v/>
      </c>
      <c r="AH4" s="323" t="str">
        <f t="shared" si="3"/>
        <v/>
      </c>
      <c r="AI4" s="323" t="str">
        <f>IF(AG4="","",MAX($AI$2:AI3)+1)</f>
        <v/>
      </c>
      <c r="AJ4" s="323" t="str">
        <f t="shared" ref="AJ4:AJ67" si="5" xml:space="preserve"> IF(AA4&lt;&gt;"",AJ3+1,"")</f>
        <v/>
      </c>
      <c r="AK4" s="323" t="str">
        <f>IF($Z$2="Peso"," ",IFERROR(INDEX(AG4:AI121,MATCH(AJ4,AI4:AI121,0),2),""))</f>
        <v/>
      </c>
      <c r="AL4" s="323" t="str">
        <f t="shared" ref="AL4:AL67" si="6">IF($Z$2="Peso","",IFERROR(INDEX(AG4:AI121,MATCH(AJ4,AI4:AI121,0),1),""))</f>
        <v/>
      </c>
      <c r="AM4" s="323"/>
      <c r="AN4" s="323"/>
      <c r="AO4" s="323"/>
      <c r="AP4" s="323"/>
      <c r="AQ4" s="323"/>
      <c r="AR4" s="323"/>
      <c r="AS4" s="323"/>
      <c r="AT4" s="323"/>
    </row>
    <row r="5" spans="1:46" s="51" customFormat="1" x14ac:dyDescent="0.2">
      <c r="A5" s="323"/>
      <c r="B5" s="323"/>
      <c r="C5" s="329"/>
      <c r="D5" s="324"/>
      <c r="E5" s="329"/>
      <c r="F5" s="329"/>
      <c r="H5" s="518" t="s">
        <v>303</v>
      </c>
      <c r="I5" s="98">
        <f>MAX(E:E)</f>
        <v>0</v>
      </c>
      <c r="J5" s="98" t="e">
        <f>VLOOKUP(I5,E:F,2,FALSE)</f>
        <v>#N/A</v>
      </c>
      <c r="K5" s="394" t="s">
        <v>1353</v>
      </c>
      <c r="L5" s="394" t="s">
        <v>1353</v>
      </c>
      <c r="AA5" s="323"/>
      <c r="AB5" s="323"/>
      <c r="AC5" s="323" t="str">
        <f>IFERROR(VALUE(RIGHT(AA5,LEN(AA5)-MIN(FIND({0;1;2;3;4;5;6;7;8;9},AA5&amp;"0123456789"))+1)),"")</f>
        <v/>
      </c>
      <c r="AD5" s="323" t="str">
        <f t="shared" si="4"/>
        <v/>
      </c>
      <c r="AE5" s="323" t="e">
        <f t="shared" si="0"/>
        <v>#VALUE!</v>
      </c>
      <c r="AF5" s="323">
        <f t="shared" si="1"/>
        <v>0</v>
      </c>
      <c r="AG5" s="323" t="str">
        <f t="shared" si="2"/>
        <v/>
      </c>
      <c r="AH5" s="323" t="str">
        <f t="shared" si="3"/>
        <v/>
      </c>
      <c r="AI5" s="323" t="str">
        <f>IF(AG5="","",MAX($AI$2:AI4)+1)</f>
        <v/>
      </c>
      <c r="AJ5" s="323" t="str">
        <f t="shared" si="5"/>
        <v/>
      </c>
      <c r="AK5" s="323" t="str">
        <f t="shared" ref="AK5:AK67" si="7">IF($Z$2="Peso","",IFERROR(INDEX(AG5:AI122,MATCH(AJ5,AI5:AI122,0),2),""))</f>
        <v/>
      </c>
      <c r="AL5" s="323" t="str">
        <f t="shared" si="6"/>
        <v/>
      </c>
      <c r="AM5" s="323"/>
      <c r="AN5" s="323"/>
      <c r="AO5" s="323"/>
      <c r="AP5" s="323"/>
      <c r="AQ5" s="323"/>
      <c r="AR5" s="323"/>
      <c r="AS5" s="323"/>
      <c r="AT5" s="323"/>
    </row>
    <row r="6" spans="1:46" s="51" customFormat="1" x14ac:dyDescent="0.2">
      <c r="A6" s="323"/>
      <c r="B6" s="323"/>
      <c r="C6" s="329"/>
      <c r="D6" s="324"/>
      <c r="E6" s="329"/>
      <c r="F6" s="329"/>
      <c r="H6" s="518" t="s">
        <v>482</v>
      </c>
      <c r="I6" s="98">
        <f>$I$5-case2_est_position_corc1</f>
        <v>0</v>
      </c>
      <c r="J6" s="394" t="s">
        <v>1353</v>
      </c>
      <c r="K6" s="330" t="e">
        <f>VLOOKUP($I$6,$A:$B,2,TRUE)</f>
        <v>#N/A</v>
      </c>
      <c r="L6" s="98" t="e">
        <f>MATCH(K6,B1:B2003,0)</f>
        <v>#N/A</v>
      </c>
      <c r="AA6" s="323"/>
      <c r="AB6" s="323"/>
      <c r="AC6" s="323" t="str">
        <f>IFERROR(VALUE(RIGHT(AA6,LEN(AA6)-MIN(FIND({0;1;2;3;4;5;6;7;8;9},AA6&amp;"0123456789"))+1)),"")</f>
        <v/>
      </c>
      <c r="AD6" s="323" t="str">
        <f t="shared" si="4"/>
        <v/>
      </c>
      <c r="AE6" s="323" t="e">
        <f t="shared" si="0"/>
        <v>#VALUE!</v>
      </c>
      <c r="AF6" s="323">
        <f t="shared" si="1"/>
        <v>0</v>
      </c>
      <c r="AG6" s="323" t="str">
        <f t="shared" si="2"/>
        <v/>
      </c>
      <c r="AH6" s="323" t="str">
        <f t="shared" si="3"/>
        <v/>
      </c>
      <c r="AI6" s="323" t="str">
        <f>IF(AG6="","",MAX($AI$2:AI5)+1)</f>
        <v/>
      </c>
      <c r="AJ6" s="323" t="str">
        <f t="shared" si="5"/>
        <v/>
      </c>
      <c r="AK6" s="323" t="str">
        <f t="shared" si="7"/>
        <v/>
      </c>
      <c r="AL6" s="323" t="str">
        <f t="shared" si="6"/>
        <v/>
      </c>
      <c r="AM6" s="323"/>
      <c r="AN6" s="323"/>
      <c r="AO6" s="323"/>
      <c r="AP6" s="323"/>
      <c r="AQ6" s="323"/>
      <c r="AR6" s="323"/>
      <c r="AS6" s="323"/>
      <c r="AT6" s="323"/>
    </row>
    <row r="7" spans="1:46" s="51" customFormat="1" x14ac:dyDescent="0.2">
      <c r="A7" s="323"/>
      <c r="B7" s="323"/>
      <c r="C7" s="329"/>
      <c r="D7" s="324"/>
      <c r="E7" s="329"/>
      <c r="F7" s="329"/>
      <c r="H7" s="518" t="s">
        <v>483</v>
      </c>
      <c r="I7" s="98">
        <f>$I$5-case2_est_position_corc2</f>
        <v>0</v>
      </c>
      <c r="J7" s="394" t="s">
        <v>1353</v>
      </c>
      <c r="K7" s="330" t="e">
        <f>VLOOKUP($I$7,$A:$B,2,TRUE)</f>
        <v>#N/A</v>
      </c>
      <c r="L7" s="98" t="e">
        <f>MATCH(K7,B1:B2003,0)</f>
        <v>#N/A</v>
      </c>
      <c r="AA7" s="323"/>
      <c r="AB7" s="323"/>
      <c r="AC7" s="323" t="str">
        <f>IFERROR(VALUE(RIGHT(AA7,LEN(AA7)-MIN(FIND({0;1;2;3;4;5;6;7;8;9},AA7&amp;"0123456789"))+1)),"")</f>
        <v/>
      </c>
      <c r="AD7" s="323" t="str">
        <f t="shared" si="4"/>
        <v/>
      </c>
      <c r="AE7" s="323" t="e">
        <f t="shared" si="0"/>
        <v>#VALUE!</v>
      </c>
      <c r="AF7" s="323">
        <f t="shared" si="1"/>
        <v>0</v>
      </c>
      <c r="AG7" s="323" t="str">
        <f t="shared" si="2"/>
        <v/>
      </c>
      <c r="AH7" s="323" t="str">
        <f t="shared" si="3"/>
        <v/>
      </c>
      <c r="AI7" s="323" t="str">
        <f>IF(AG7="","",MAX($AI$2:AI6)+1)</f>
        <v/>
      </c>
      <c r="AJ7" s="323" t="str">
        <f t="shared" si="5"/>
        <v/>
      </c>
      <c r="AK7" s="323" t="str">
        <f t="shared" si="7"/>
        <v/>
      </c>
      <c r="AL7" s="323" t="str">
        <f t="shared" si="6"/>
        <v/>
      </c>
      <c r="AM7" s="323"/>
      <c r="AN7" s="323"/>
      <c r="AO7" s="323"/>
      <c r="AP7" s="323"/>
      <c r="AQ7" s="323"/>
      <c r="AR7" s="323"/>
      <c r="AS7" s="323"/>
      <c r="AT7" s="323"/>
    </row>
    <row r="8" spans="1:46" s="51" customFormat="1" x14ac:dyDescent="0.2">
      <c r="A8" s="323"/>
      <c r="B8" s="323"/>
      <c r="C8" s="323"/>
      <c r="D8" s="324"/>
      <c r="E8" s="329"/>
      <c r="F8" s="329"/>
      <c r="H8" s="518" t="s">
        <v>480</v>
      </c>
      <c r="I8" s="98" t="s">
        <v>1353</v>
      </c>
      <c r="J8" s="98" t="s">
        <v>1353</v>
      </c>
      <c r="K8" s="556" t="e">
        <f ca="1">MAX(INDIRECT("B"&amp;L7&amp;":B"&amp;L6))</f>
        <v>#N/A</v>
      </c>
      <c r="L8" s="394" t="s">
        <v>1353</v>
      </c>
      <c r="AA8" s="323"/>
      <c r="AB8" s="323"/>
      <c r="AC8" s="323" t="str">
        <f>IFERROR(VALUE(RIGHT(AA8,LEN(AA8)-MIN(FIND({0;1;2;3;4;5;6;7;8;9},AA8&amp;"0123456789"))+1)),"")</f>
        <v/>
      </c>
      <c r="AD8" s="323" t="str">
        <f t="shared" si="4"/>
        <v/>
      </c>
      <c r="AE8" s="323" t="e">
        <f t="shared" si="0"/>
        <v>#VALUE!</v>
      </c>
      <c r="AF8" s="323">
        <f t="shared" si="1"/>
        <v>0</v>
      </c>
      <c r="AG8" s="323" t="str">
        <f t="shared" si="2"/>
        <v/>
      </c>
      <c r="AH8" s="323" t="str">
        <f t="shared" si="3"/>
        <v/>
      </c>
      <c r="AI8" s="323" t="str">
        <f>IF(AG8="","",MAX($AI$2:AI7)+1)</f>
        <v/>
      </c>
      <c r="AJ8" s="323" t="str">
        <f t="shared" si="5"/>
        <v/>
      </c>
      <c r="AK8" s="323" t="str">
        <f t="shared" si="7"/>
        <v/>
      </c>
      <c r="AL8" s="323" t="str">
        <f t="shared" si="6"/>
        <v/>
      </c>
      <c r="AM8" s="323"/>
      <c r="AN8" s="323"/>
      <c r="AO8" s="323"/>
      <c r="AP8" s="323"/>
      <c r="AQ8" s="323"/>
      <c r="AR8" s="323"/>
      <c r="AS8" s="323"/>
      <c r="AT8" s="323"/>
    </row>
    <row r="9" spans="1:46" s="51" customFormat="1" x14ac:dyDescent="0.2">
      <c r="A9" s="323"/>
      <c r="B9" s="323"/>
      <c r="C9" s="323"/>
      <c r="D9" s="324"/>
      <c r="E9" s="329"/>
      <c r="F9" s="329"/>
      <c r="H9" s="518" t="s">
        <v>484</v>
      </c>
      <c r="I9" s="330" t="s">
        <v>1353</v>
      </c>
      <c r="J9" s="394" t="s">
        <v>1353</v>
      </c>
      <c r="K9" s="557" t="e">
        <f ca="1">MIN(INDIRECT("B"&amp;$K$13&amp;":B"&amp;$K$14))</f>
        <v>#N/A</v>
      </c>
      <c r="L9" s="394" t="s">
        <v>1353</v>
      </c>
      <c r="AA9" s="323"/>
      <c r="AB9" s="323"/>
      <c r="AC9" s="323" t="str">
        <f>IFERROR(VALUE(RIGHT(AA9,LEN(AA9)-MIN(FIND({0;1;2;3;4;5;6;7;8;9},AA9&amp;"0123456789"))+1)),"")</f>
        <v/>
      </c>
      <c r="AD9" s="323" t="str">
        <f t="shared" si="4"/>
        <v/>
      </c>
      <c r="AE9" s="323" t="e">
        <f t="shared" si="0"/>
        <v>#VALUE!</v>
      </c>
      <c r="AF9" s="323">
        <f t="shared" si="1"/>
        <v>0</v>
      </c>
      <c r="AG9" s="323" t="str">
        <f t="shared" si="2"/>
        <v/>
      </c>
      <c r="AH9" s="323" t="str">
        <f t="shared" si="3"/>
        <v/>
      </c>
      <c r="AI9" s="323" t="str">
        <f>IF(AG9="","",MAX($AI$2:AI8)+1)</f>
        <v/>
      </c>
      <c r="AJ9" s="323" t="str">
        <f t="shared" si="5"/>
        <v/>
      </c>
      <c r="AK9" s="323" t="str">
        <f t="shared" si="7"/>
        <v/>
      </c>
      <c r="AL9" s="323" t="str">
        <f t="shared" si="6"/>
        <v/>
      </c>
      <c r="AM9" s="323"/>
      <c r="AN9" s="323"/>
      <c r="AO9" s="323"/>
      <c r="AP9" s="323"/>
      <c r="AQ9" s="323"/>
      <c r="AR9" s="323"/>
      <c r="AS9" s="323"/>
      <c r="AT9" s="323"/>
    </row>
    <row r="10" spans="1:46" s="51" customFormat="1" x14ac:dyDescent="0.2">
      <c r="A10" s="323"/>
      <c r="B10" s="323"/>
      <c r="C10" s="323"/>
      <c r="D10" s="324"/>
      <c r="E10" s="329"/>
      <c r="F10" s="329"/>
      <c r="H10" s="518" t="s">
        <v>1723</v>
      </c>
      <c r="I10" s="330" t="s">
        <v>1353</v>
      </c>
      <c r="J10" s="394" t="s">
        <v>1353</v>
      </c>
      <c r="K10" s="557" t="e">
        <f ca="1">MIN(INDIRECT("D"&amp;$L$13&amp;":D"&amp;$L$14))</f>
        <v>#N/A</v>
      </c>
      <c r="L10" s="394" t="s">
        <v>1353</v>
      </c>
      <c r="AA10" s="323"/>
      <c r="AB10" s="323"/>
      <c r="AC10" s="323" t="str">
        <f>IFERROR(VALUE(RIGHT(AA10,LEN(AA10)-MIN(FIND({0;1;2;3;4;5;6;7;8;9},AA10&amp;"0123456789"))+1)),"")</f>
        <v/>
      </c>
      <c r="AD10" s="323" t="str">
        <f t="shared" si="4"/>
        <v/>
      </c>
      <c r="AE10" s="323" t="e">
        <f t="shared" si="0"/>
        <v>#VALUE!</v>
      </c>
      <c r="AF10" s="323">
        <f t="shared" si="1"/>
        <v>0</v>
      </c>
      <c r="AG10" s="323" t="str">
        <f t="shared" si="2"/>
        <v/>
      </c>
      <c r="AH10" s="323" t="str">
        <f t="shared" si="3"/>
        <v/>
      </c>
      <c r="AI10" s="323" t="str">
        <f>IF(AG10="","",MAX($AI$2:AI9)+1)</f>
        <v/>
      </c>
      <c r="AJ10" s="323" t="str">
        <f t="shared" si="5"/>
        <v/>
      </c>
      <c r="AK10" s="323" t="str">
        <f t="shared" si="7"/>
        <v/>
      </c>
      <c r="AL10" s="323" t="str">
        <f t="shared" si="6"/>
        <v/>
      </c>
      <c r="AM10" s="323"/>
      <c r="AN10" s="323"/>
      <c r="AO10" s="323"/>
      <c r="AP10" s="323"/>
      <c r="AQ10" s="323"/>
      <c r="AR10" s="323"/>
      <c r="AS10" s="323"/>
      <c r="AT10" s="323"/>
    </row>
    <row r="11" spans="1:46" s="51" customFormat="1" x14ac:dyDescent="0.2">
      <c r="A11" s="323"/>
      <c r="B11" s="323"/>
      <c r="C11" s="323"/>
      <c r="D11" s="324"/>
      <c r="E11" s="329"/>
      <c r="F11" s="329"/>
      <c r="AA11" s="323"/>
      <c r="AB11" s="323"/>
      <c r="AC11" s="323" t="str">
        <f>IFERROR(VALUE(RIGHT(AA11,LEN(AA11)-MIN(FIND({0;1;2;3;4;5;6;7;8;9},AA11&amp;"0123456789"))+1)),"")</f>
        <v/>
      </c>
      <c r="AD11" s="323" t="str">
        <f t="shared" si="4"/>
        <v/>
      </c>
      <c r="AE11" s="323" t="e">
        <f t="shared" si="0"/>
        <v>#VALUE!</v>
      </c>
      <c r="AF11" s="323">
        <f t="shared" si="1"/>
        <v>0</v>
      </c>
      <c r="AG11" s="323" t="str">
        <f t="shared" si="2"/>
        <v/>
      </c>
      <c r="AH11" s="323" t="str">
        <f t="shared" si="3"/>
        <v/>
      </c>
      <c r="AI11" s="323" t="str">
        <f>IF(AG11="","",MAX($AI$2:AI10)+1)</f>
        <v/>
      </c>
      <c r="AJ11" s="323" t="str">
        <f t="shared" si="5"/>
        <v/>
      </c>
      <c r="AK11" s="323" t="str">
        <f t="shared" si="7"/>
        <v/>
      </c>
      <c r="AL11" s="323" t="str">
        <f t="shared" si="6"/>
        <v/>
      </c>
      <c r="AM11" s="323"/>
      <c r="AN11" s="323"/>
      <c r="AO11" s="323"/>
      <c r="AP11" s="323"/>
      <c r="AQ11" s="323"/>
      <c r="AR11" s="323"/>
      <c r="AS11" s="323"/>
      <c r="AT11" s="323"/>
    </row>
    <row r="12" spans="1:46" s="51" customFormat="1" x14ac:dyDescent="0.2">
      <c r="A12" s="323"/>
      <c r="B12" s="323"/>
      <c r="C12" s="329"/>
      <c r="D12" s="324"/>
      <c r="E12" s="329"/>
      <c r="F12" s="329"/>
      <c r="H12" s="303" t="s">
        <v>485</v>
      </c>
      <c r="I12" s="156">
        <f>MAX(C3:C476)</f>
        <v>0</v>
      </c>
      <c r="K12" s="303" t="s">
        <v>486</v>
      </c>
      <c r="L12" s="303" t="s">
        <v>1722</v>
      </c>
      <c r="AA12" s="323"/>
      <c r="AB12" s="323"/>
      <c r="AC12" s="323" t="str">
        <f>IFERROR(VALUE(RIGHT(AA12,LEN(AA12)-MIN(FIND({0;1;2;3;4;5;6;7;8;9},AA12&amp;"0123456789"))+1)),"")</f>
        <v/>
      </c>
      <c r="AD12" s="323" t="str">
        <f t="shared" si="4"/>
        <v/>
      </c>
      <c r="AE12" s="323" t="e">
        <f t="shared" si="0"/>
        <v>#VALUE!</v>
      </c>
      <c r="AF12" s="323">
        <f t="shared" si="1"/>
        <v>0</v>
      </c>
      <c r="AG12" s="323" t="str">
        <f t="shared" si="2"/>
        <v/>
      </c>
      <c r="AH12" s="323" t="str">
        <f t="shared" si="3"/>
        <v/>
      </c>
      <c r="AI12" s="323" t="str">
        <f>IF(AG12="","",MAX($AI$2:AI11)+1)</f>
        <v/>
      </c>
      <c r="AJ12" s="323" t="str">
        <f t="shared" si="5"/>
        <v/>
      </c>
      <c r="AK12" s="323" t="str">
        <f t="shared" si="7"/>
        <v/>
      </c>
      <c r="AL12" s="323" t="str">
        <f t="shared" si="6"/>
        <v/>
      </c>
      <c r="AM12" s="323"/>
      <c r="AN12" s="323"/>
      <c r="AO12" s="323"/>
      <c r="AP12" s="323"/>
      <c r="AQ12" s="323"/>
      <c r="AR12" s="323"/>
      <c r="AS12" s="323"/>
      <c r="AT12" s="323"/>
    </row>
    <row r="13" spans="1:46" s="51" customFormat="1" x14ac:dyDescent="0.2">
      <c r="A13" s="323"/>
      <c r="B13" s="323"/>
      <c r="C13" s="323"/>
      <c r="D13" s="324"/>
      <c r="E13" s="329"/>
      <c r="F13" s="329"/>
      <c r="K13" s="329" t="e">
        <f>MATCH($I$7,$A:$A,1)</f>
        <v>#N/A</v>
      </c>
      <c r="L13" s="330">
        <v>3</v>
      </c>
      <c r="AA13" s="323"/>
      <c r="AB13" s="323"/>
      <c r="AC13" s="323" t="str">
        <f>IFERROR(VALUE(RIGHT(AA13,LEN(AA13)-MIN(FIND({0;1;2;3;4;5;6;7;8;9},AA13&amp;"0123456789"))+1)),"")</f>
        <v/>
      </c>
      <c r="AD13" s="323" t="str">
        <f t="shared" si="4"/>
        <v/>
      </c>
      <c r="AE13" s="323" t="e">
        <f t="shared" si="0"/>
        <v>#VALUE!</v>
      </c>
      <c r="AF13" s="323">
        <f t="shared" si="1"/>
        <v>0</v>
      </c>
      <c r="AG13" s="323" t="str">
        <f t="shared" si="2"/>
        <v/>
      </c>
      <c r="AH13" s="323" t="str">
        <f t="shared" si="3"/>
        <v/>
      </c>
      <c r="AI13" s="323" t="str">
        <f>IF(AG13="","",MAX($AI$2:AI12)+1)</f>
        <v/>
      </c>
      <c r="AJ13" s="323" t="str">
        <f t="shared" si="5"/>
        <v/>
      </c>
      <c r="AK13" s="323" t="str">
        <f t="shared" si="7"/>
        <v/>
      </c>
      <c r="AL13" s="323" t="str">
        <f t="shared" si="6"/>
        <v/>
      </c>
      <c r="AM13" s="323"/>
      <c r="AN13" s="323"/>
      <c r="AO13" s="323"/>
      <c r="AP13" s="323"/>
      <c r="AQ13" s="323"/>
      <c r="AR13" s="323"/>
      <c r="AS13" s="323"/>
      <c r="AT13" s="323"/>
    </row>
    <row r="14" spans="1:46" s="51" customFormat="1" ht="12.75" customHeight="1" x14ac:dyDescent="0.2">
      <c r="A14" s="323"/>
      <c r="B14" s="323"/>
      <c r="C14" s="329"/>
      <c r="D14" s="324"/>
      <c r="E14" s="329"/>
      <c r="F14" s="329"/>
      <c r="K14" s="323" t="e">
        <f>MATCH($I$5,$A:$A,0)</f>
        <v>#N/A</v>
      </c>
      <c r="L14" s="323" t="e">
        <f>MATCH(I12,$C:$C,0)</f>
        <v>#N/A</v>
      </c>
      <c r="AA14" s="323"/>
      <c r="AB14" s="323"/>
      <c r="AC14" s="323" t="str">
        <f>IFERROR(VALUE(RIGHT(AA14,LEN(AA14)-MIN(FIND({0;1;2;3;4;5;6;7;8;9},AA14&amp;"0123456789"))+1)),"")</f>
        <v/>
      </c>
      <c r="AD14" s="323" t="str">
        <f t="shared" si="4"/>
        <v/>
      </c>
      <c r="AE14" s="323" t="e">
        <f t="shared" si="0"/>
        <v>#VALUE!</v>
      </c>
      <c r="AF14" s="323">
        <f t="shared" si="1"/>
        <v>0</v>
      </c>
      <c r="AG14" s="323" t="str">
        <f t="shared" si="2"/>
        <v/>
      </c>
      <c r="AH14" s="323" t="str">
        <f t="shared" si="3"/>
        <v/>
      </c>
      <c r="AI14" s="323" t="str">
        <f>IF(AG14="","",MAX($AI$2:AI13)+1)</f>
        <v/>
      </c>
      <c r="AJ14" s="323" t="str">
        <f t="shared" si="5"/>
        <v/>
      </c>
      <c r="AK14" s="323" t="str">
        <f t="shared" si="7"/>
        <v/>
      </c>
      <c r="AL14" s="323" t="str">
        <f t="shared" si="6"/>
        <v/>
      </c>
      <c r="AM14" s="323"/>
      <c r="AN14" s="323"/>
      <c r="AO14" s="323"/>
      <c r="AP14" s="323"/>
      <c r="AQ14" s="323"/>
      <c r="AR14" s="323"/>
      <c r="AS14" s="323"/>
      <c r="AT14" s="323"/>
    </row>
    <row r="15" spans="1:46" s="51" customFormat="1" x14ac:dyDescent="0.2">
      <c r="A15" s="323"/>
      <c r="B15" s="323"/>
      <c r="C15" s="323"/>
      <c r="D15" s="324"/>
      <c r="E15" s="329"/>
      <c r="F15" s="329"/>
      <c r="AA15" s="323"/>
      <c r="AB15" s="323"/>
      <c r="AC15" s="323" t="str">
        <f>IFERROR(VALUE(RIGHT(AA15,LEN(AA15)-MIN(FIND({0;1;2;3;4;5;6;7;8;9},AA15&amp;"0123456789"))+1)),"")</f>
        <v/>
      </c>
      <c r="AD15" s="323" t="str">
        <f t="shared" si="4"/>
        <v/>
      </c>
      <c r="AE15" s="323" t="e">
        <f t="shared" si="0"/>
        <v>#VALUE!</v>
      </c>
      <c r="AF15" s="323">
        <f t="shared" si="1"/>
        <v>0</v>
      </c>
      <c r="AG15" s="323" t="str">
        <f t="shared" si="2"/>
        <v/>
      </c>
      <c r="AH15" s="323" t="str">
        <f t="shared" si="3"/>
        <v/>
      </c>
      <c r="AI15" s="323" t="str">
        <f>IF(AG15="","",MAX($AI$2:AI14)+1)</f>
        <v/>
      </c>
      <c r="AJ15" s="323" t="str">
        <f t="shared" si="5"/>
        <v/>
      </c>
      <c r="AK15" s="323" t="str">
        <f t="shared" si="7"/>
        <v/>
      </c>
      <c r="AL15" s="323" t="str">
        <f t="shared" si="6"/>
        <v/>
      </c>
      <c r="AM15" s="323"/>
      <c r="AN15" s="323"/>
      <c r="AO15" s="323"/>
      <c r="AP15" s="323"/>
      <c r="AQ15" s="323"/>
      <c r="AR15" s="323"/>
      <c r="AS15" s="323"/>
      <c r="AT15" s="323"/>
    </row>
    <row r="16" spans="1:46" s="51" customFormat="1" x14ac:dyDescent="0.2">
      <c r="A16" s="323"/>
      <c r="B16" s="323"/>
      <c r="C16" s="323"/>
      <c r="D16" s="324"/>
      <c r="E16" s="329"/>
      <c r="F16" s="329"/>
      <c r="AA16" s="323"/>
      <c r="AB16" s="323"/>
      <c r="AC16" s="323" t="str">
        <f>IFERROR(VALUE(RIGHT(AA16,LEN(AA16)-MIN(FIND({0;1;2;3;4;5;6;7;8;9},AA16&amp;"0123456789"))+1)),"")</f>
        <v/>
      </c>
      <c r="AD16" s="323" t="str">
        <f t="shared" si="4"/>
        <v/>
      </c>
      <c r="AE16" s="323" t="e">
        <f t="shared" si="0"/>
        <v>#VALUE!</v>
      </c>
      <c r="AF16" s="323">
        <f t="shared" si="1"/>
        <v>0</v>
      </c>
      <c r="AG16" s="323" t="str">
        <f t="shared" si="2"/>
        <v/>
      </c>
      <c r="AH16" s="323" t="str">
        <f t="shared" si="3"/>
        <v/>
      </c>
      <c r="AI16" s="323" t="str">
        <f>IF(AG16="","",MAX($AI$2:AI15)+1)</f>
        <v/>
      </c>
      <c r="AJ16" s="323" t="str">
        <f t="shared" si="5"/>
        <v/>
      </c>
      <c r="AK16" s="323" t="str">
        <f t="shared" si="7"/>
        <v/>
      </c>
      <c r="AL16" s="323" t="str">
        <f t="shared" si="6"/>
        <v/>
      </c>
      <c r="AM16" s="323"/>
      <c r="AN16" s="323"/>
      <c r="AO16" s="323"/>
      <c r="AP16" s="323"/>
      <c r="AQ16" s="323"/>
      <c r="AR16" s="323"/>
      <c r="AS16" s="323"/>
      <c r="AT16" s="323"/>
    </row>
    <row r="17" spans="1:46" s="51" customFormat="1" x14ac:dyDescent="0.2">
      <c r="A17" s="323"/>
      <c r="B17" s="323"/>
      <c r="C17" s="323"/>
      <c r="D17" s="324"/>
      <c r="E17" s="329"/>
      <c r="F17" s="329"/>
      <c r="L17" s="325"/>
      <c r="AA17" s="323"/>
      <c r="AB17" s="323"/>
      <c r="AC17" s="323" t="str">
        <f>IFERROR(VALUE(RIGHT(AA17,LEN(AA17)-MIN(FIND({0;1;2;3;4;5;6;7;8;9},AA17&amp;"0123456789"))+1)),"")</f>
        <v/>
      </c>
      <c r="AD17" s="323" t="str">
        <f t="shared" si="4"/>
        <v/>
      </c>
      <c r="AE17" s="323" t="e">
        <f t="shared" si="0"/>
        <v>#VALUE!</v>
      </c>
      <c r="AF17" s="323">
        <f t="shared" si="1"/>
        <v>0</v>
      </c>
      <c r="AG17" s="323" t="str">
        <f t="shared" si="2"/>
        <v/>
      </c>
      <c r="AH17" s="323" t="str">
        <f t="shared" si="3"/>
        <v/>
      </c>
      <c r="AI17" s="323" t="str">
        <f>IF(AG17="","",MAX($AI$2:AI16)+1)</f>
        <v/>
      </c>
      <c r="AJ17" s="323" t="str">
        <f t="shared" si="5"/>
        <v/>
      </c>
      <c r="AK17" s="323" t="str">
        <f t="shared" si="7"/>
        <v/>
      </c>
      <c r="AL17" s="323" t="str">
        <f t="shared" si="6"/>
        <v/>
      </c>
      <c r="AM17" s="323"/>
      <c r="AN17" s="323"/>
      <c r="AO17" s="323"/>
      <c r="AP17" s="323"/>
      <c r="AQ17" s="323"/>
      <c r="AR17" s="323"/>
      <c r="AS17" s="323"/>
      <c r="AT17" s="323"/>
    </row>
    <row r="18" spans="1:46" s="51" customFormat="1" x14ac:dyDescent="0.2">
      <c r="A18" s="323"/>
      <c r="B18" s="323"/>
      <c r="C18" s="323"/>
      <c r="D18" s="324"/>
      <c r="E18" s="329"/>
      <c r="F18" s="329"/>
      <c r="AA18" s="323"/>
      <c r="AB18" s="323"/>
      <c r="AC18" s="323" t="str">
        <f>IFERROR(VALUE(RIGHT(AA18,LEN(AA18)-MIN(FIND({0;1;2;3;4;5;6;7;8;9},AA18&amp;"0123456789"))+1)),"")</f>
        <v/>
      </c>
      <c r="AD18" s="323" t="str">
        <f t="shared" si="4"/>
        <v/>
      </c>
      <c r="AE18" s="323" t="e">
        <f t="shared" si="0"/>
        <v>#VALUE!</v>
      </c>
      <c r="AF18" s="323">
        <f t="shared" si="1"/>
        <v>0</v>
      </c>
      <c r="AG18" s="323" t="str">
        <f t="shared" si="2"/>
        <v/>
      </c>
      <c r="AH18" s="323" t="str">
        <f t="shared" si="3"/>
        <v/>
      </c>
      <c r="AI18" s="323" t="str">
        <f>IF(AG18="","",MAX($AI$2:AI17)+1)</f>
        <v/>
      </c>
      <c r="AJ18" s="323" t="str">
        <f t="shared" si="5"/>
        <v/>
      </c>
      <c r="AK18" s="323" t="str">
        <f t="shared" si="7"/>
        <v/>
      </c>
      <c r="AL18" s="323" t="str">
        <f t="shared" si="6"/>
        <v/>
      </c>
      <c r="AM18" s="323"/>
      <c r="AN18" s="323"/>
      <c r="AO18" s="323"/>
      <c r="AP18" s="323"/>
      <c r="AQ18" s="323"/>
      <c r="AR18" s="323"/>
      <c r="AS18" s="323"/>
      <c r="AT18" s="323"/>
    </row>
    <row r="19" spans="1:46" s="51" customFormat="1" x14ac:dyDescent="0.2">
      <c r="A19" s="323"/>
      <c r="B19" s="323"/>
      <c r="C19" s="329"/>
      <c r="D19" s="324"/>
      <c r="E19" s="329"/>
      <c r="F19" s="329"/>
      <c r="AA19" s="323"/>
      <c r="AB19" s="323"/>
      <c r="AC19" s="323" t="str">
        <f>IFERROR(VALUE(RIGHT(AA19,LEN(AA19)-MIN(FIND({0;1;2;3;4;5;6;7;8;9},AA19&amp;"0123456789"))+1)),"")</f>
        <v/>
      </c>
      <c r="AD19" s="323" t="str">
        <f t="shared" si="4"/>
        <v/>
      </c>
      <c r="AE19" s="323" t="e">
        <f t="shared" si="0"/>
        <v>#VALUE!</v>
      </c>
      <c r="AF19" s="323">
        <f t="shared" si="1"/>
        <v>0</v>
      </c>
      <c r="AG19" s="323" t="str">
        <f t="shared" si="2"/>
        <v/>
      </c>
      <c r="AH19" s="323" t="str">
        <f t="shared" si="3"/>
        <v/>
      </c>
      <c r="AI19" s="323" t="str">
        <f>IF(AG19="","",MAX($AI$2:AI18)+1)</f>
        <v/>
      </c>
      <c r="AJ19" s="323" t="str">
        <f t="shared" si="5"/>
        <v/>
      </c>
      <c r="AK19" s="323" t="str">
        <f t="shared" si="7"/>
        <v/>
      </c>
      <c r="AL19" s="323" t="str">
        <f t="shared" si="6"/>
        <v/>
      </c>
      <c r="AM19" s="323"/>
      <c r="AN19" s="323"/>
      <c r="AO19" s="323"/>
      <c r="AP19" s="323"/>
      <c r="AQ19" s="323"/>
      <c r="AR19" s="323"/>
      <c r="AS19" s="323"/>
      <c r="AT19" s="323"/>
    </row>
    <row r="20" spans="1:46" s="51" customFormat="1" x14ac:dyDescent="0.2">
      <c r="A20" s="323"/>
      <c r="B20" s="323"/>
      <c r="C20" s="329"/>
      <c r="D20" s="324"/>
      <c r="E20" s="329"/>
      <c r="F20" s="329"/>
      <c r="AA20" s="323"/>
      <c r="AB20" s="323"/>
      <c r="AC20" s="323" t="str">
        <f>IFERROR(VALUE(RIGHT(AA20,LEN(AA20)-MIN(FIND({0;1;2;3;4;5;6;7;8;9},AA20&amp;"0123456789"))+1)),"")</f>
        <v/>
      </c>
      <c r="AD20" s="323" t="str">
        <f t="shared" si="4"/>
        <v/>
      </c>
      <c r="AE20" s="323" t="e">
        <f t="shared" si="0"/>
        <v>#VALUE!</v>
      </c>
      <c r="AF20" s="323">
        <f t="shared" si="1"/>
        <v>0</v>
      </c>
      <c r="AG20" s="323" t="str">
        <f t="shared" si="2"/>
        <v/>
      </c>
      <c r="AH20" s="323" t="str">
        <f t="shared" si="3"/>
        <v/>
      </c>
      <c r="AI20" s="323" t="str">
        <f>IF(AG20="","",MAX($AI$2:AI19)+1)</f>
        <v/>
      </c>
      <c r="AJ20" s="323" t="str">
        <f t="shared" si="5"/>
        <v/>
      </c>
      <c r="AK20" s="323" t="str">
        <f t="shared" si="7"/>
        <v/>
      </c>
      <c r="AL20" s="323" t="str">
        <f t="shared" si="6"/>
        <v/>
      </c>
      <c r="AM20" s="323"/>
      <c r="AN20" s="323"/>
      <c r="AO20" s="323"/>
      <c r="AP20" s="323"/>
      <c r="AQ20" s="323"/>
      <c r="AR20" s="323"/>
      <c r="AS20" s="323"/>
      <c r="AT20" s="323"/>
    </row>
    <row r="21" spans="1:46" s="51" customFormat="1" x14ac:dyDescent="0.2">
      <c r="A21" s="323"/>
      <c r="B21" s="323"/>
      <c r="C21" s="323"/>
      <c r="D21" s="324"/>
      <c r="E21" s="329"/>
      <c r="F21" s="329"/>
      <c r="AA21" s="323"/>
      <c r="AB21" s="323"/>
      <c r="AC21" s="323" t="str">
        <f>IFERROR(VALUE(RIGHT(AA21,LEN(AA21)-MIN(FIND({0;1;2;3;4;5;6;7;8;9},AA21&amp;"0123456789"))+1)),"")</f>
        <v/>
      </c>
      <c r="AD21" s="323" t="str">
        <f t="shared" si="4"/>
        <v/>
      </c>
      <c r="AE21" s="323" t="e">
        <f t="shared" si="0"/>
        <v>#VALUE!</v>
      </c>
      <c r="AF21" s="323">
        <f t="shared" si="1"/>
        <v>0</v>
      </c>
      <c r="AG21" s="323" t="str">
        <f t="shared" si="2"/>
        <v/>
      </c>
      <c r="AH21" s="323" t="str">
        <f t="shared" si="3"/>
        <v/>
      </c>
      <c r="AI21" s="323" t="str">
        <f>IF(AG21="","",MAX($AI$2:AI20)+1)</f>
        <v/>
      </c>
      <c r="AJ21" s="323" t="str">
        <f t="shared" si="5"/>
        <v/>
      </c>
      <c r="AK21" s="323" t="str">
        <f t="shared" si="7"/>
        <v/>
      </c>
      <c r="AL21" s="323" t="str">
        <f t="shared" si="6"/>
        <v/>
      </c>
      <c r="AM21" s="323"/>
      <c r="AN21" s="323"/>
      <c r="AO21" s="323"/>
      <c r="AP21" s="323"/>
      <c r="AQ21" s="323"/>
      <c r="AR21" s="323"/>
      <c r="AS21" s="323"/>
      <c r="AT21" s="323"/>
    </row>
    <row r="22" spans="1:46" s="51" customFormat="1" x14ac:dyDescent="0.2">
      <c r="A22" s="323"/>
      <c r="B22" s="323"/>
      <c r="C22" s="323"/>
      <c r="D22" s="324"/>
      <c r="E22" s="329"/>
      <c r="F22" s="329"/>
      <c r="AA22" s="323"/>
      <c r="AB22" s="323"/>
      <c r="AC22" s="323" t="str">
        <f>IFERROR(VALUE(RIGHT(AA22,LEN(AA22)-MIN(FIND({0;1;2;3;4;5;6;7;8;9},AA22&amp;"0123456789"))+1)),"")</f>
        <v/>
      </c>
      <c r="AD22" s="323" t="str">
        <f t="shared" si="4"/>
        <v/>
      </c>
      <c r="AE22" s="323" t="e">
        <f t="shared" si="0"/>
        <v>#VALUE!</v>
      </c>
      <c r="AF22" s="323">
        <f t="shared" si="1"/>
        <v>0</v>
      </c>
      <c r="AG22" s="323" t="str">
        <f t="shared" si="2"/>
        <v/>
      </c>
      <c r="AH22" s="323" t="str">
        <f t="shared" si="3"/>
        <v/>
      </c>
      <c r="AI22" s="323" t="str">
        <f>IF(AG22="","",MAX($AI$2:AI21)+1)</f>
        <v/>
      </c>
      <c r="AJ22" s="323" t="str">
        <f t="shared" si="5"/>
        <v/>
      </c>
      <c r="AK22" s="323" t="str">
        <f t="shared" si="7"/>
        <v/>
      </c>
      <c r="AL22" s="323" t="str">
        <f t="shared" si="6"/>
        <v/>
      </c>
      <c r="AM22" s="323"/>
      <c r="AN22" s="323"/>
      <c r="AO22" s="323"/>
      <c r="AP22" s="323"/>
      <c r="AQ22" s="323"/>
      <c r="AR22" s="323"/>
      <c r="AS22" s="323"/>
      <c r="AT22" s="323"/>
    </row>
    <row r="23" spans="1:46" s="51" customFormat="1" x14ac:dyDescent="0.2">
      <c r="A23" s="323"/>
      <c r="B23" s="323"/>
      <c r="C23" s="323"/>
      <c r="D23" s="324"/>
      <c r="E23" s="329"/>
      <c r="F23" s="329"/>
      <c r="AA23" s="323"/>
      <c r="AB23" s="323"/>
      <c r="AC23" s="323" t="str">
        <f>IFERROR(VALUE(RIGHT(AA23,LEN(AA23)-MIN(FIND({0;1;2;3;4;5;6;7;8;9},AA23&amp;"0123456789"))+1)),"")</f>
        <v/>
      </c>
      <c r="AD23" s="323" t="str">
        <f t="shared" si="4"/>
        <v/>
      </c>
      <c r="AE23" s="323" t="e">
        <f t="shared" si="0"/>
        <v>#VALUE!</v>
      </c>
      <c r="AF23" s="323">
        <f t="shared" si="1"/>
        <v>0</v>
      </c>
      <c r="AG23" s="323" t="str">
        <f t="shared" si="2"/>
        <v/>
      </c>
      <c r="AH23" s="323" t="str">
        <f t="shared" si="3"/>
        <v/>
      </c>
      <c r="AI23" s="323" t="str">
        <f>IF(AG23="","",MAX($AI$2:AI22)+1)</f>
        <v/>
      </c>
      <c r="AJ23" s="323" t="str">
        <f t="shared" si="5"/>
        <v/>
      </c>
      <c r="AK23" s="323" t="str">
        <f t="shared" si="7"/>
        <v/>
      </c>
      <c r="AL23" s="323" t="str">
        <f t="shared" si="6"/>
        <v/>
      </c>
      <c r="AM23" s="323"/>
      <c r="AN23" s="323"/>
      <c r="AO23" s="323"/>
      <c r="AP23" s="323"/>
      <c r="AQ23" s="323"/>
      <c r="AR23" s="323"/>
      <c r="AS23" s="323"/>
      <c r="AT23" s="323"/>
    </row>
    <row r="24" spans="1:46" s="51" customFormat="1" x14ac:dyDescent="0.2">
      <c r="A24" s="323"/>
      <c r="B24" s="323"/>
      <c r="C24" s="323"/>
      <c r="D24" s="324"/>
      <c r="E24" s="329"/>
      <c r="F24" s="329"/>
      <c r="AA24" s="323"/>
      <c r="AB24" s="323"/>
      <c r="AC24" s="323" t="str">
        <f>IFERROR(VALUE(RIGHT(AA24,LEN(AA24)-MIN(FIND({0;1;2;3;4;5;6;7;8;9},AA24&amp;"0123456789"))+1)),"")</f>
        <v/>
      </c>
      <c r="AD24" s="323" t="str">
        <f t="shared" si="4"/>
        <v/>
      </c>
      <c r="AE24" s="323" t="e">
        <f t="shared" si="0"/>
        <v>#VALUE!</v>
      </c>
      <c r="AF24" s="323">
        <f t="shared" si="1"/>
        <v>0</v>
      </c>
      <c r="AG24" s="323" t="str">
        <f t="shared" si="2"/>
        <v/>
      </c>
      <c r="AH24" s="323" t="str">
        <f t="shared" si="3"/>
        <v/>
      </c>
      <c r="AI24" s="323" t="str">
        <f>IF(AG24="","",MAX($AI$2:AI23)+1)</f>
        <v/>
      </c>
      <c r="AJ24" s="323" t="str">
        <f t="shared" si="5"/>
        <v/>
      </c>
      <c r="AK24" s="323" t="str">
        <f t="shared" si="7"/>
        <v/>
      </c>
      <c r="AL24" s="323" t="str">
        <f t="shared" si="6"/>
        <v/>
      </c>
      <c r="AM24" s="323"/>
      <c r="AN24" s="323"/>
      <c r="AO24" s="323"/>
      <c r="AP24" s="323"/>
      <c r="AQ24" s="323"/>
      <c r="AR24" s="323"/>
      <c r="AS24" s="323"/>
      <c r="AT24" s="323"/>
    </row>
    <row r="25" spans="1:46" s="51" customFormat="1" x14ac:dyDescent="0.2">
      <c r="A25" s="323"/>
      <c r="B25" s="323"/>
      <c r="C25" s="329"/>
      <c r="D25" s="324"/>
      <c r="E25" s="329"/>
      <c r="F25" s="329"/>
      <c r="H25" s="325"/>
      <c r="I25" s="325"/>
      <c r="L25" s="325"/>
      <c r="AA25" s="323"/>
      <c r="AB25" s="323"/>
      <c r="AC25" s="323" t="str">
        <f>IFERROR(VALUE(RIGHT(AA25,LEN(AA25)-MIN(FIND({0;1;2;3;4;5;6;7;8;9},AA25&amp;"0123456789"))+1)),"")</f>
        <v/>
      </c>
      <c r="AD25" s="323" t="str">
        <f t="shared" si="4"/>
        <v/>
      </c>
      <c r="AE25" s="323" t="e">
        <f t="shared" si="0"/>
        <v>#VALUE!</v>
      </c>
      <c r="AF25" s="323">
        <f t="shared" si="1"/>
        <v>0</v>
      </c>
      <c r="AG25" s="323" t="str">
        <f t="shared" si="2"/>
        <v/>
      </c>
      <c r="AH25" s="323" t="str">
        <f t="shared" si="3"/>
        <v/>
      </c>
      <c r="AI25" s="323" t="str">
        <f>IF(AG25="","",MAX($AI$2:AI24)+1)</f>
        <v/>
      </c>
      <c r="AJ25" s="323" t="str">
        <f t="shared" si="5"/>
        <v/>
      </c>
      <c r="AK25" s="323" t="str">
        <f t="shared" si="7"/>
        <v/>
      </c>
      <c r="AL25" s="323" t="str">
        <f t="shared" si="6"/>
        <v/>
      </c>
      <c r="AM25" s="323"/>
      <c r="AN25" s="323"/>
      <c r="AO25" s="323"/>
      <c r="AP25" s="323"/>
      <c r="AQ25" s="323"/>
      <c r="AR25" s="323"/>
      <c r="AS25" s="323"/>
      <c r="AT25" s="323"/>
    </row>
    <row r="26" spans="1:46" s="51" customFormat="1" x14ac:dyDescent="0.2">
      <c r="A26" s="323"/>
      <c r="B26" s="323"/>
      <c r="C26" s="329"/>
      <c r="D26" s="324"/>
      <c r="E26" s="329"/>
      <c r="F26" s="329"/>
      <c r="H26" s="325"/>
      <c r="I26" s="325"/>
      <c r="L26" s="325"/>
      <c r="AA26" s="323"/>
      <c r="AB26" s="323"/>
      <c r="AC26" s="323" t="str">
        <f>IFERROR(VALUE(RIGHT(AA26,LEN(AA26)-MIN(FIND({0;1;2;3;4;5;6;7;8;9},AA26&amp;"0123456789"))+1)),"")</f>
        <v/>
      </c>
      <c r="AD26" s="323" t="str">
        <f t="shared" si="4"/>
        <v/>
      </c>
      <c r="AE26" s="323" t="e">
        <f t="shared" si="0"/>
        <v>#VALUE!</v>
      </c>
      <c r="AF26" s="323">
        <f t="shared" si="1"/>
        <v>0</v>
      </c>
      <c r="AG26" s="323" t="str">
        <f t="shared" si="2"/>
        <v/>
      </c>
      <c r="AH26" s="323" t="str">
        <f t="shared" si="3"/>
        <v/>
      </c>
      <c r="AI26" s="323" t="str">
        <f>IF(AG26="","",MAX($AI$2:AI25)+1)</f>
        <v/>
      </c>
      <c r="AJ26" s="323" t="str">
        <f t="shared" si="5"/>
        <v/>
      </c>
      <c r="AK26" s="323" t="str">
        <f t="shared" si="7"/>
        <v/>
      </c>
      <c r="AL26" s="323" t="str">
        <f t="shared" si="6"/>
        <v/>
      </c>
      <c r="AM26" s="323"/>
      <c r="AN26" s="323"/>
      <c r="AO26" s="323"/>
      <c r="AP26" s="323"/>
      <c r="AQ26" s="323"/>
      <c r="AR26" s="323"/>
      <c r="AS26" s="323"/>
      <c r="AT26" s="323"/>
    </row>
    <row r="27" spans="1:46" s="51" customFormat="1" x14ac:dyDescent="0.2">
      <c r="A27" s="323"/>
      <c r="B27" s="323"/>
      <c r="C27" s="329"/>
      <c r="D27" s="324"/>
      <c r="E27" s="329"/>
      <c r="F27" s="329"/>
      <c r="H27" s="325"/>
      <c r="I27" s="325"/>
      <c r="K27" s="325"/>
      <c r="L27" s="325"/>
      <c r="AA27" s="323"/>
      <c r="AB27" s="323"/>
      <c r="AC27" s="323" t="str">
        <f>IFERROR(VALUE(RIGHT(AA27,LEN(AA27)-MIN(FIND({0;1;2;3;4;5;6;7;8;9},AA27&amp;"0123456789"))+1)),"")</f>
        <v/>
      </c>
      <c r="AD27" s="323" t="str">
        <f t="shared" si="4"/>
        <v/>
      </c>
      <c r="AE27" s="323" t="e">
        <f t="shared" si="0"/>
        <v>#VALUE!</v>
      </c>
      <c r="AF27" s="323">
        <f t="shared" si="1"/>
        <v>0</v>
      </c>
      <c r="AG27" s="323" t="str">
        <f t="shared" si="2"/>
        <v/>
      </c>
      <c r="AH27" s="323" t="str">
        <f t="shared" si="3"/>
        <v/>
      </c>
      <c r="AI27" s="323" t="str">
        <f>IF(AG27="","",MAX($AI$2:AI26)+1)</f>
        <v/>
      </c>
      <c r="AJ27" s="323" t="str">
        <f t="shared" si="5"/>
        <v/>
      </c>
      <c r="AK27" s="323" t="str">
        <f t="shared" si="7"/>
        <v/>
      </c>
      <c r="AL27" s="323" t="str">
        <f t="shared" si="6"/>
        <v/>
      </c>
      <c r="AM27" s="323"/>
      <c r="AN27" s="323"/>
      <c r="AO27" s="323"/>
      <c r="AP27" s="323"/>
      <c r="AQ27" s="323"/>
      <c r="AR27" s="323"/>
      <c r="AS27" s="323"/>
      <c r="AT27" s="323"/>
    </row>
    <row r="28" spans="1:46" s="51" customFormat="1" x14ac:dyDescent="0.2">
      <c r="A28" s="323"/>
      <c r="B28" s="323"/>
      <c r="C28" s="329"/>
      <c r="D28" s="324"/>
      <c r="E28" s="329"/>
      <c r="F28" s="329"/>
      <c r="K28" s="325"/>
      <c r="L28" s="325"/>
      <c r="AA28" s="323"/>
      <c r="AB28" s="323"/>
      <c r="AC28" s="323" t="str">
        <f>IFERROR(VALUE(RIGHT(AA28,LEN(AA28)-MIN(FIND({0;1;2;3;4;5;6;7;8;9},AA28&amp;"0123456789"))+1)),"")</f>
        <v/>
      </c>
      <c r="AD28" s="323" t="str">
        <f t="shared" si="4"/>
        <v/>
      </c>
      <c r="AE28" s="323" t="e">
        <f t="shared" si="0"/>
        <v>#VALUE!</v>
      </c>
      <c r="AF28" s="323">
        <f t="shared" si="1"/>
        <v>0</v>
      </c>
      <c r="AG28" s="323" t="str">
        <f t="shared" si="2"/>
        <v/>
      </c>
      <c r="AH28" s="323" t="str">
        <f t="shared" si="3"/>
        <v/>
      </c>
      <c r="AI28" s="323" t="str">
        <f>IF(AG28="","",MAX($AI$2:AI27)+1)</f>
        <v/>
      </c>
      <c r="AJ28" s="323" t="str">
        <f t="shared" si="5"/>
        <v/>
      </c>
      <c r="AK28" s="323" t="str">
        <f t="shared" si="7"/>
        <v/>
      </c>
      <c r="AL28" s="323" t="str">
        <f t="shared" si="6"/>
        <v/>
      </c>
      <c r="AM28" s="323"/>
      <c r="AN28" s="323"/>
      <c r="AO28" s="323"/>
      <c r="AP28" s="323"/>
      <c r="AQ28" s="323"/>
      <c r="AR28" s="323"/>
      <c r="AS28" s="323"/>
      <c r="AT28" s="323"/>
    </row>
    <row r="29" spans="1:46" s="51" customFormat="1" x14ac:dyDescent="0.2">
      <c r="A29" s="323"/>
      <c r="B29" s="323"/>
      <c r="C29" s="329"/>
      <c r="D29" s="324"/>
      <c r="E29" s="329"/>
      <c r="F29" s="329"/>
      <c r="J29" s="325"/>
      <c r="K29" s="325"/>
      <c r="L29" s="325"/>
      <c r="AA29" s="323"/>
      <c r="AB29" s="323"/>
      <c r="AC29" s="323" t="str">
        <f>IFERROR(VALUE(RIGHT(AA29,LEN(AA29)-MIN(FIND({0;1;2;3;4;5;6;7;8;9},AA29&amp;"0123456789"))+1)),"")</f>
        <v/>
      </c>
      <c r="AD29" s="323" t="str">
        <f t="shared" si="4"/>
        <v/>
      </c>
      <c r="AE29" s="323" t="e">
        <f t="shared" si="0"/>
        <v>#VALUE!</v>
      </c>
      <c r="AF29" s="323">
        <f t="shared" si="1"/>
        <v>0</v>
      </c>
      <c r="AG29" s="323" t="str">
        <f t="shared" si="2"/>
        <v/>
      </c>
      <c r="AH29" s="323" t="str">
        <f t="shared" si="3"/>
        <v/>
      </c>
      <c r="AI29" s="323" t="str">
        <f>IF(AG29="","",MAX($AI$2:AI28)+1)</f>
        <v/>
      </c>
      <c r="AJ29" s="323" t="str">
        <f t="shared" si="5"/>
        <v/>
      </c>
      <c r="AK29" s="323" t="str">
        <f t="shared" si="7"/>
        <v/>
      </c>
      <c r="AL29" s="323" t="str">
        <f t="shared" si="6"/>
        <v/>
      </c>
      <c r="AM29" s="323"/>
      <c r="AN29" s="323"/>
      <c r="AO29" s="323"/>
      <c r="AP29" s="323"/>
      <c r="AQ29" s="323"/>
      <c r="AR29" s="323"/>
      <c r="AS29" s="323"/>
      <c r="AT29" s="323"/>
    </row>
    <row r="30" spans="1:46" s="51" customFormat="1" x14ac:dyDescent="0.2">
      <c r="A30" s="323"/>
      <c r="B30" s="323"/>
      <c r="C30" s="329"/>
      <c r="D30" s="324"/>
      <c r="E30" s="329"/>
      <c r="F30" s="329"/>
      <c r="J30" s="325"/>
      <c r="K30" s="325"/>
      <c r="L30" s="325"/>
      <c r="AA30" s="323"/>
      <c r="AB30" s="323"/>
      <c r="AC30" s="323" t="str">
        <f>IFERROR(VALUE(RIGHT(AA30,LEN(AA30)-MIN(FIND({0;1;2;3;4;5;6;7;8;9},AA30&amp;"0123456789"))+1)),"")</f>
        <v/>
      </c>
      <c r="AD30" s="323" t="str">
        <f t="shared" si="4"/>
        <v/>
      </c>
      <c r="AE30" s="323" t="e">
        <f t="shared" si="0"/>
        <v>#VALUE!</v>
      </c>
      <c r="AF30" s="323">
        <f t="shared" si="1"/>
        <v>0</v>
      </c>
      <c r="AG30" s="323" t="str">
        <f t="shared" si="2"/>
        <v/>
      </c>
      <c r="AH30" s="323" t="str">
        <f t="shared" si="3"/>
        <v/>
      </c>
      <c r="AI30" s="323" t="str">
        <f>IF(AG30="","",MAX($AI$2:AI29)+1)</f>
        <v/>
      </c>
      <c r="AJ30" s="323" t="str">
        <f t="shared" si="5"/>
        <v/>
      </c>
      <c r="AK30" s="323" t="str">
        <f t="shared" si="7"/>
        <v/>
      </c>
      <c r="AL30" s="323" t="str">
        <f t="shared" si="6"/>
        <v/>
      </c>
      <c r="AM30" s="323"/>
      <c r="AN30" s="323"/>
      <c r="AO30" s="323"/>
      <c r="AP30" s="323"/>
      <c r="AQ30" s="323"/>
      <c r="AR30" s="323"/>
      <c r="AS30" s="323"/>
      <c r="AT30" s="323"/>
    </row>
    <row r="31" spans="1:46" s="51" customFormat="1" x14ac:dyDescent="0.2">
      <c r="A31" s="323"/>
      <c r="B31" s="323"/>
      <c r="C31" s="329"/>
      <c r="D31" s="324"/>
      <c r="E31" s="329"/>
      <c r="F31" s="329"/>
      <c r="J31" s="325"/>
      <c r="K31" s="325"/>
      <c r="L31" s="325"/>
      <c r="AA31" s="323"/>
      <c r="AB31" s="323"/>
      <c r="AC31" s="323" t="str">
        <f>IFERROR(VALUE(RIGHT(AA31,LEN(AA31)-MIN(FIND({0;1;2;3;4;5;6;7;8;9},AA31&amp;"0123456789"))+1)),"")</f>
        <v/>
      </c>
      <c r="AD31" s="323" t="str">
        <f t="shared" si="4"/>
        <v/>
      </c>
      <c r="AE31" s="323" t="e">
        <f t="shared" si="0"/>
        <v>#VALUE!</v>
      </c>
      <c r="AF31" s="323">
        <f t="shared" si="1"/>
        <v>0</v>
      </c>
      <c r="AG31" s="323" t="str">
        <f t="shared" si="2"/>
        <v/>
      </c>
      <c r="AH31" s="323" t="str">
        <f t="shared" si="3"/>
        <v/>
      </c>
      <c r="AI31" s="323" t="str">
        <f>IF(AG31="","",MAX($AI$2:AI30)+1)</f>
        <v/>
      </c>
      <c r="AJ31" s="323" t="str">
        <f t="shared" si="5"/>
        <v/>
      </c>
      <c r="AK31" s="323" t="str">
        <f t="shared" si="7"/>
        <v/>
      </c>
      <c r="AL31" s="323" t="str">
        <f t="shared" si="6"/>
        <v/>
      </c>
      <c r="AM31" s="323"/>
      <c r="AN31" s="323"/>
      <c r="AO31" s="323"/>
      <c r="AP31" s="323"/>
      <c r="AQ31" s="323"/>
      <c r="AR31" s="323"/>
      <c r="AS31" s="323"/>
      <c r="AT31" s="323"/>
    </row>
    <row r="32" spans="1:46" s="51" customFormat="1" x14ac:dyDescent="0.2">
      <c r="A32" s="323"/>
      <c r="B32" s="323"/>
      <c r="C32" s="329"/>
      <c r="D32" s="324"/>
      <c r="E32" s="329"/>
      <c r="F32" s="329"/>
      <c r="J32" s="325"/>
      <c r="K32" s="325"/>
      <c r="L32" s="325"/>
      <c r="AA32" s="323"/>
      <c r="AB32" s="323"/>
      <c r="AC32" s="323" t="str">
        <f>IFERROR(VALUE(RIGHT(AA32,LEN(AA32)-MIN(FIND({0;1;2;3;4;5;6;7;8;9},AA32&amp;"0123456789"))+1)),"")</f>
        <v/>
      </c>
      <c r="AD32" s="323" t="str">
        <f t="shared" si="4"/>
        <v/>
      </c>
      <c r="AE32" s="323" t="e">
        <f t="shared" si="0"/>
        <v>#VALUE!</v>
      </c>
      <c r="AF32" s="323">
        <f t="shared" si="1"/>
        <v>0</v>
      </c>
      <c r="AG32" s="323" t="str">
        <f t="shared" si="2"/>
        <v/>
      </c>
      <c r="AH32" s="323" t="str">
        <f t="shared" si="3"/>
        <v/>
      </c>
      <c r="AI32" s="323" t="str">
        <f>IF(AG32="","",MAX($AI$2:AI31)+1)</f>
        <v/>
      </c>
      <c r="AJ32" s="323" t="str">
        <f t="shared" si="5"/>
        <v/>
      </c>
      <c r="AK32" s="323" t="str">
        <f t="shared" si="7"/>
        <v/>
      </c>
      <c r="AL32" s="323" t="str">
        <f t="shared" si="6"/>
        <v/>
      </c>
      <c r="AM32" s="323"/>
      <c r="AN32" s="323"/>
      <c r="AO32" s="323"/>
      <c r="AP32" s="323"/>
      <c r="AQ32" s="323"/>
      <c r="AR32" s="323"/>
      <c r="AS32" s="323"/>
      <c r="AT32" s="323"/>
    </row>
    <row r="33" spans="1:46" s="51" customFormat="1" x14ac:dyDescent="0.2">
      <c r="A33" s="58"/>
      <c r="B33" s="58"/>
      <c r="C33" s="326"/>
      <c r="D33" s="331"/>
      <c r="E33" s="326"/>
      <c r="F33" s="326"/>
      <c r="G33" s="325"/>
      <c r="J33" s="325"/>
      <c r="AA33" s="58"/>
      <c r="AB33" s="58"/>
      <c r="AC33" s="58" t="str">
        <f>IFERROR(VALUE(RIGHT(AA33,LEN(AA33)-MIN(FIND({0;1;2;3;4;5;6;7;8;9},AA33&amp;"0123456789"))+1)),"")</f>
        <v/>
      </c>
      <c r="AD33" s="58" t="str">
        <f t="shared" si="4"/>
        <v/>
      </c>
      <c r="AE33" s="58" t="e">
        <f t="shared" si="0"/>
        <v>#VALUE!</v>
      </c>
      <c r="AF33" s="58">
        <f t="shared" si="1"/>
        <v>0</v>
      </c>
      <c r="AG33" s="58" t="str">
        <f t="shared" si="2"/>
        <v/>
      </c>
      <c r="AH33" s="58" t="str">
        <f t="shared" si="3"/>
        <v/>
      </c>
      <c r="AI33" s="58" t="str">
        <f>IF(AG33="","",MAX($AI$2:AI32)+1)</f>
        <v/>
      </c>
      <c r="AJ33" s="58" t="str">
        <f t="shared" si="5"/>
        <v/>
      </c>
      <c r="AK33" s="58" t="str">
        <f t="shared" si="7"/>
        <v/>
      </c>
      <c r="AL33" s="58" t="str">
        <f t="shared" si="6"/>
        <v/>
      </c>
      <c r="AM33" s="58"/>
      <c r="AN33" s="58"/>
      <c r="AO33" s="58"/>
      <c r="AP33" s="58"/>
      <c r="AQ33" s="58"/>
      <c r="AR33" s="58"/>
      <c r="AS33" s="58"/>
      <c r="AT33" s="58"/>
    </row>
    <row r="34" spans="1:46" s="51" customFormat="1" x14ac:dyDescent="0.2">
      <c r="A34" s="58"/>
      <c r="B34" s="58"/>
      <c r="C34" s="326"/>
      <c r="D34" s="331"/>
      <c r="E34" s="326"/>
      <c r="F34" s="326"/>
      <c r="G34" s="325"/>
      <c r="J34" s="325"/>
      <c r="AA34" s="58"/>
      <c r="AB34" s="58"/>
      <c r="AC34" s="58" t="str">
        <f>IFERROR(VALUE(RIGHT(AA34,LEN(AA34)-MIN(FIND({0;1;2;3;4;5;6;7;8;9},AA34&amp;"0123456789"))+1)),"")</f>
        <v/>
      </c>
      <c r="AD34" s="58" t="str">
        <f t="shared" si="4"/>
        <v/>
      </c>
      <c r="AE34" s="58" t="e">
        <f t="shared" ref="AE34:AE65" si="8">SMALL(AB:AB,AD34)</f>
        <v>#VALUE!</v>
      </c>
      <c r="AF34" s="58">
        <f t="shared" ref="AF34:AF65" si="9">SUMIF(AB:AB,AE34,AC:AC)</f>
        <v>0</v>
      </c>
      <c r="AG34" s="58" t="str">
        <f t="shared" si="2"/>
        <v/>
      </c>
      <c r="AH34" s="58" t="str">
        <f t="shared" si="3"/>
        <v/>
      </c>
      <c r="AI34" s="58" t="str">
        <f>IF(AG34="","",MAX($AI$2:AI33)+1)</f>
        <v/>
      </c>
      <c r="AJ34" s="58" t="str">
        <f t="shared" si="5"/>
        <v/>
      </c>
      <c r="AK34" s="58" t="str">
        <f t="shared" si="7"/>
        <v/>
      </c>
      <c r="AL34" s="58" t="str">
        <f t="shared" si="6"/>
        <v/>
      </c>
      <c r="AM34" s="58"/>
      <c r="AN34" s="58"/>
      <c r="AO34" s="58"/>
      <c r="AP34" s="58"/>
      <c r="AQ34" s="58"/>
      <c r="AR34" s="58"/>
      <c r="AS34" s="58"/>
      <c r="AT34" s="58"/>
    </row>
    <row r="35" spans="1:46" s="51" customFormat="1" x14ac:dyDescent="0.2">
      <c r="A35" s="58"/>
      <c r="B35" s="58"/>
      <c r="C35" s="326"/>
      <c r="D35" s="331"/>
      <c r="E35" s="326"/>
      <c r="F35" s="326"/>
      <c r="G35" s="325"/>
      <c r="J35" s="325"/>
      <c r="AA35" s="58"/>
      <c r="AB35" s="58"/>
      <c r="AC35" s="58" t="str">
        <f>IFERROR(VALUE(RIGHT(AA35,LEN(AA35)-MIN(FIND({0;1;2;3;4;5;6;7;8;9},AA35&amp;"0123456789"))+1)),"")</f>
        <v/>
      </c>
      <c r="AD35" s="58" t="str">
        <f t="shared" si="4"/>
        <v/>
      </c>
      <c r="AE35" s="58" t="e">
        <f t="shared" si="8"/>
        <v>#VALUE!</v>
      </c>
      <c r="AF35" s="58">
        <f t="shared" si="9"/>
        <v>0</v>
      </c>
      <c r="AG35" s="58" t="str">
        <f t="shared" si="2"/>
        <v/>
      </c>
      <c r="AH35" s="58" t="str">
        <f t="shared" si="3"/>
        <v/>
      </c>
      <c r="AI35" s="58" t="str">
        <f>IF(AG35="","",MAX($AI$2:AI34)+1)</f>
        <v/>
      </c>
      <c r="AJ35" s="58" t="str">
        <f t="shared" si="5"/>
        <v/>
      </c>
      <c r="AK35" s="58" t="str">
        <f t="shared" si="7"/>
        <v/>
      </c>
      <c r="AL35" s="58" t="str">
        <f t="shared" si="6"/>
        <v/>
      </c>
      <c r="AM35" s="58"/>
      <c r="AN35" s="58"/>
      <c r="AO35" s="58"/>
      <c r="AP35" s="58"/>
      <c r="AQ35" s="58"/>
      <c r="AR35" s="58"/>
      <c r="AS35" s="58"/>
      <c r="AT35" s="58"/>
    </row>
    <row r="36" spans="1:46" s="51" customFormat="1" x14ac:dyDescent="0.2">
      <c r="A36" s="58"/>
      <c r="B36" s="58"/>
      <c r="C36" s="326"/>
      <c r="D36" s="331"/>
      <c r="E36" s="326"/>
      <c r="F36" s="326"/>
      <c r="J36" s="325"/>
      <c r="AA36" s="58"/>
      <c r="AB36" s="58"/>
      <c r="AC36" s="58" t="str">
        <f>IFERROR(VALUE(RIGHT(AA36,LEN(AA36)-MIN(FIND({0;1;2;3;4;5;6;7;8;9},AA36&amp;"0123456789"))+1)),"")</f>
        <v/>
      </c>
      <c r="AD36" s="58" t="str">
        <f t="shared" si="4"/>
        <v/>
      </c>
      <c r="AE36" s="58" t="e">
        <f t="shared" si="8"/>
        <v>#VALUE!</v>
      </c>
      <c r="AF36" s="58">
        <f t="shared" si="9"/>
        <v>0</v>
      </c>
      <c r="AG36" s="58" t="str">
        <f t="shared" si="2"/>
        <v/>
      </c>
      <c r="AH36" s="58" t="str">
        <f t="shared" si="3"/>
        <v/>
      </c>
      <c r="AI36" s="58" t="str">
        <f>IF(AG36="","",MAX($AI$2:AI35)+1)</f>
        <v/>
      </c>
      <c r="AJ36" s="58" t="str">
        <f t="shared" si="5"/>
        <v/>
      </c>
      <c r="AK36" s="58" t="str">
        <f t="shared" si="7"/>
        <v/>
      </c>
      <c r="AL36" s="58" t="str">
        <f t="shared" si="6"/>
        <v/>
      </c>
      <c r="AM36" s="58"/>
      <c r="AN36" s="58"/>
      <c r="AO36" s="58"/>
      <c r="AP36" s="58"/>
      <c r="AQ36" s="58"/>
      <c r="AR36" s="58"/>
      <c r="AS36" s="58"/>
      <c r="AT36" s="58"/>
    </row>
    <row r="37" spans="1:46" s="51" customFormat="1" x14ac:dyDescent="0.2">
      <c r="A37" s="58"/>
      <c r="B37" s="58"/>
      <c r="C37" s="326"/>
      <c r="D37" s="331"/>
      <c r="E37" s="326"/>
      <c r="F37" s="326"/>
      <c r="J37" s="325"/>
      <c r="AA37" s="58"/>
      <c r="AB37" s="58"/>
      <c r="AC37" s="58" t="str">
        <f>IFERROR(VALUE(RIGHT(AA37,LEN(AA37)-MIN(FIND({0;1;2;3;4;5;6;7;8;9},AA37&amp;"0123456789"))+1)),"")</f>
        <v/>
      </c>
      <c r="AD37" s="58" t="str">
        <f t="shared" si="4"/>
        <v/>
      </c>
      <c r="AE37" s="58" t="e">
        <f t="shared" si="8"/>
        <v>#VALUE!</v>
      </c>
      <c r="AF37" s="58">
        <f t="shared" si="9"/>
        <v>0</v>
      </c>
      <c r="AG37" s="58" t="str">
        <f t="shared" si="2"/>
        <v/>
      </c>
      <c r="AH37" s="58" t="str">
        <f t="shared" si="3"/>
        <v/>
      </c>
      <c r="AI37" s="58" t="str">
        <f>IF(AG37="","",MAX($AI$2:AI36)+1)</f>
        <v/>
      </c>
      <c r="AJ37" s="58" t="str">
        <f t="shared" si="5"/>
        <v/>
      </c>
      <c r="AK37" s="58" t="str">
        <f t="shared" si="7"/>
        <v/>
      </c>
      <c r="AL37" s="58" t="str">
        <f t="shared" si="6"/>
        <v/>
      </c>
      <c r="AM37" s="58"/>
      <c r="AN37" s="58"/>
      <c r="AO37" s="58"/>
      <c r="AP37" s="58"/>
      <c r="AQ37" s="58"/>
      <c r="AR37" s="58"/>
      <c r="AS37" s="58"/>
      <c r="AT37" s="58"/>
    </row>
    <row r="38" spans="1:46" s="51" customFormat="1" x14ac:dyDescent="0.2">
      <c r="A38" s="58"/>
      <c r="B38" s="58"/>
      <c r="C38" s="326"/>
      <c r="D38" s="331"/>
      <c r="E38" s="326"/>
      <c r="F38" s="326"/>
      <c r="J38" s="325"/>
      <c r="AA38" s="58"/>
      <c r="AB38" s="58"/>
      <c r="AC38" s="58" t="str">
        <f>IFERROR(VALUE(RIGHT(AA38,LEN(AA38)-MIN(FIND({0;1;2;3;4;5;6;7;8;9},AA38&amp;"0123456789"))+1)),"")</f>
        <v/>
      </c>
      <c r="AD38" s="58" t="str">
        <f t="shared" si="4"/>
        <v/>
      </c>
      <c r="AE38" s="58" t="e">
        <f t="shared" si="8"/>
        <v>#VALUE!</v>
      </c>
      <c r="AF38" s="58">
        <f t="shared" si="9"/>
        <v>0</v>
      </c>
      <c r="AG38" s="58" t="str">
        <f t="shared" si="2"/>
        <v/>
      </c>
      <c r="AH38" s="58" t="str">
        <f t="shared" si="3"/>
        <v/>
      </c>
      <c r="AI38" s="58" t="str">
        <f>IF(AG38="","",MAX($AI$2:AI37)+1)</f>
        <v/>
      </c>
      <c r="AJ38" s="58" t="str">
        <f t="shared" si="5"/>
        <v/>
      </c>
      <c r="AK38" s="58" t="str">
        <f t="shared" si="7"/>
        <v/>
      </c>
      <c r="AL38" s="58" t="str">
        <f t="shared" si="6"/>
        <v/>
      </c>
      <c r="AM38" s="58"/>
      <c r="AN38" s="58"/>
      <c r="AO38" s="58"/>
      <c r="AP38" s="58"/>
      <c r="AQ38" s="58"/>
      <c r="AR38" s="58"/>
      <c r="AS38" s="58"/>
      <c r="AT38" s="58"/>
    </row>
    <row r="39" spans="1:46" s="51" customFormat="1" x14ac:dyDescent="0.2">
      <c r="A39" s="58"/>
      <c r="B39" s="58"/>
      <c r="C39" s="326"/>
      <c r="D39" s="331"/>
      <c r="E39" s="326"/>
      <c r="F39" s="326"/>
      <c r="J39" s="325"/>
      <c r="AA39" s="58"/>
      <c r="AB39" s="58"/>
      <c r="AC39" s="58" t="str">
        <f>IFERROR(VALUE(RIGHT(AA39,LEN(AA39)-MIN(FIND({0;1;2;3;4;5;6;7;8;9},AA39&amp;"0123456789"))+1)),"")</f>
        <v/>
      </c>
      <c r="AD39" s="58" t="str">
        <f t="shared" si="4"/>
        <v/>
      </c>
      <c r="AE39" s="58" t="e">
        <f t="shared" si="8"/>
        <v>#VALUE!</v>
      </c>
      <c r="AF39" s="58">
        <f t="shared" si="9"/>
        <v>0</v>
      </c>
      <c r="AG39" s="58" t="str">
        <f t="shared" si="2"/>
        <v/>
      </c>
      <c r="AH39" s="58" t="str">
        <f t="shared" si="3"/>
        <v/>
      </c>
      <c r="AI39" s="58" t="str">
        <f>IF(AG39="","",MAX($AI$2:AI38)+1)</f>
        <v/>
      </c>
      <c r="AJ39" s="58" t="str">
        <f t="shared" si="5"/>
        <v/>
      </c>
      <c r="AK39" s="58" t="str">
        <f t="shared" si="7"/>
        <v/>
      </c>
      <c r="AL39" s="58" t="str">
        <f t="shared" si="6"/>
        <v/>
      </c>
      <c r="AM39" s="58"/>
      <c r="AN39" s="58"/>
      <c r="AO39" s="58"/>
      <c r="AP39" s="58"/>
      <c r="AQ39" s="58"/>
      <c r="AR39" s="58"/>
      <c r="AS39" s="58"/>
      <c r="AT39" s="58"/>
    </row>
    <row r="40" spans="1:46" s="51" customFormat="1" x14ac:dyDescent="0.2">
      <c r="A40" s="58"/>
      <c r="B40" s="58"/>
      <c r="C40" s="326"/>
      <c r="D40" s="331"/>
      <c r="E40" s="326"/>
      <c r="F40" s="326"/>
      <c r="J40" s="325"/>
      <c r="AA40" s="58"/>
      <c r="AB40" s="58"/>
      <c r="AC40" s="58" t="str">
        <f>IFERROR(VALUE(RIGHT(AA40,LEN(AA40)-MIN(FIND({0;1;2;3;4;5;6;7;8;9},AA40&amp;"0123456789"))+1)),"")</f>
        <v/>
      </c>
      <c r="AD40" s="58" t="str">
        <f t="shared" si="4"/>
        <v/>
      </c>
      <c r="AE40" s="58" t="e">
        <f t="shared" si="8"/>
        <v>#VALUE!</v>
      </c>
      <c r="AF40" s="58">
        <f t="shared" si="9"/>
        <v>0</v>
      </c>
      <c r="AG40" s="58" t="str">
        <f t="shared" si="2"/>
        <v/>
      </c>
      <c r="AH40" s="58" t="str">
        <f t="shared" si="3"/>
        <v/>
      </c>
      <c r="AI40" s="58" t="str">
        <f>IF(AG40="","",MAX($AI$2:AI39)+1)</f>
        <v/>
      </c>
      <c r="AJ40" s="58" t="str">
        <f t="shared" si="5"/>
        <v/>
      </c>
      <c r="AK40" s="58" t="str">
        <f t="shared" si="7"/>
        <v/>
      </c>
      <c r="AL40" s="58" t="str">
        <f t="shared" si="6"/>
        <v/>
      </c>
      <c r="AM40" s="58"/>
      <c r="AN40" s="58"/>
      <c r="AO40" s="58"/>
      <c r="AP40" s="58"/>
      <c r="AQ40" s="58"/>
      <c r="AR40" s="58"/>
      <c r="AS40" s="58"/>
      <c r="AT40" s="58"/>
    </row>
    <row r="41" spans="1:46" s="51" customFormat="1" x14ac:dyDescent="0.2">
      <c r="A41" s="58"/>
      <c r="B41" s="58"/>
      <c r="C41" s="326"/>
      <c r="D41" s="331"/>
      <c r="E41" s="326"/>
      <c r="F41" s="326"/>
      <c r="J41" s="325"/>
      <c r="AA41" s="58"/>
      <c r="AB41" s="58"/>
      <c r="AC41" s="58" t="str">
        <f>IFERROR(VALUE(RIGHT(AA41,LEN(AA41)-MIN(FIND({0;1;2;3;4;5;6;7;8;9},AA41&amp;"0123456789"))+1)),"")</f>
        <v/>
      </c>
      <c r="AD41" s="58" t="str">
        <f t="shared" si="4"/>
        <v/>
      </c>
      <c r="AE41" s="58" t="e">
        <f t="shared" si="8"/>
        <v>#VALUE!</v>
      </c>
      <c r="AF41" s="58">
        <f t="shared" si="9"/>
        <v>0</v>
      </c>
      <c r="AG41" s="58" t="str">
        <f t="shared" si="2"/>
        <v/>
      </c>
      <c r="AH41" s="58" t="str">
        <f t="shared" si="3"/>
        <v/>
      </c>
      <c r="AI41" s="58" t="str">
        <f>IF(AG41="","",MAX($AI$2:AI40)+1)</f>
        <v/>
      </c>
      <c r="AJ41" s="58" t="str">
        <f t="shared" si="5"/>
        <v/>
      </c>
      <c r="AK41" s="58" t="str">
        <f t="shared" si="7"/>
        <v/>
      </c>
      <c r="AL41" s="58" t="str">
        <f t="shared" si="6"/>
        <v/>
      </c>
      <c r="AM41" s="58"/>
      <c r="AN41" s="58"/>
      <c r="AO41" s="58"/>
      <c r="AP41" s="58"/>
      <c r="AQ41" s="58"/>
      <c r="AR41" s="58"/>
      <c r="AS41" s="58"/>
      <c r="AT41" s="58"/>
    </row>
    <row r="42" spans="1:46" s="51" customFormat="1" x14ac:dyDescent="0.2">
      <c r="A42" s="58"/>
      <c r="B42" s="58"/>
      <c r="C42" s="326"/>
      <c r="D42" s="331"/>
      <c r="E42" s="326"/>
      <c r="F42" s="326"/>
      <c r="J42" s="325"/>
      <c r="AA42" s="58"/>
      <c r="AB42" s="58"/>
      <c r="AC42" s="58" t="str">
        <f>IFERROR(VALUE(RIGHT(AA42,LEN(AA42)-MIN(FIND({0;1;2;3;4;5;6;7;8;9},AA42&amp;"0123456789"))+1)),"")</f>
        <v/>
      </c>
      <c r="AD42" s="58" t="str">
        <f t="shared" si="4"/>
        <v/>
      </c>
      <c r="AE42" s="58" t="e">
        <f t="shared" si="8"/>
        <v>#VALUE!</v>
      </c>
      <c r="AF42" s="58">
        <f t="shared" si="9"/>
        <v>0</v>
      </c>
      <c r="AG42" s="58" t="str">
        <f t="shared" si="2"/>
        <v/>
      </c>
      <c r="AH42" s="58" t="str">
        <f t="shared" si="3"/>
        <v/>
      </c>
      <c r="AI42" s="58" t="str">
        <f>IF(AG42="","",MAX($AI$2:AI41)+1)</f>
        <v/>
      </c>
      <c r="AJ42" s="58" t="str">
        <f t="shared" si="5"/>
        <v/>
      </c>
      <c r="AK42" s="58" t="str">
        <f t="shared" si="7"/>
        <v/>
      </c>
      <c r="AL42" s="58" t="str">
        <f t="shared" si="6"/>
        <v/>
      </c>
      <c r="AM42" s="58"/>
      <c r="AN42" s="58"/>
      <c r="AO42" s="58"/>
      <c r="AP42" s="58"/>
      <c r="AQ42" s="58"/>
      <c r="AR42" s="58"/>
      <c r="AS42" s="58"/>
      <c r="AT42" s="58"/>
    </row>
    <row r="43" spans="1:46" s="51" customFormat="1" x14ac:dyDescent="0.2">
      <c r="A43" s="58"/>
      <c r="B43" s="58"/>
      <c r="C43" s="326"/>
      <c r="D43" s="331"/>
      <c r="E43" s="326"/>
      <c r="F43" s="326"/>
      <c r="H43" s="325"/>
      <c r="I43" s="325"/>
      <c r="J43" s="325"/>
      <c r="AA43" s="58"/>
      <c r="AB43" s="58"/>
      <c r="AC43" s="58" t="str">
        <f>IFERROR(VALUE(RIGHT(AA43,LEN(AA43)-MIN(FIND({0;1;2;3;4;5;6;7;8;9},AA43&amp;"0123456789"))+1)),"")</f>
        <v/>
      </c>
      <c r="AD43" s="58" t="str">
        <f t="shared" si="4"/>
        <v/>
      </c>
      <c r="AE43" s="58" t="e">
        <f t="shared" si="8"/>
        <v>#VALUE!</v>
      </c>
      <c r="AF43" s="58">
        <f t="shared" si="9"/>
        <v>0</v>
      </c>
      <c r="AG43" s="58" t="str">
        <f t="shared" si="2"/>
        <v/>
      </c>
      <c r="AH43" s="58" t="str">
        <f t="shared" si="3"/>
        <v/>
      </c>
      <c r="AI43" s="58" t="str">
        <f>IF(AG43="","",MAX($AI$2:AI42)+1)</f>
        <v/>
      </c>
      <c r="AJ43" s="58" t="str">
        <f t="shared" si="5"/>
        <v/>
      </c>
      <c r="AK43" s="58" t="str">
        <f t="shared" si="7"/>
        <v/>
      </c>
      <c r="AL43" s="58" t="str">
        <f t="shared" si="6"/>
        <v/>
      </c>
      <c r="AM43" s="58"/>
      <c r="AN43" s="58"/>
      <c r="AO43" s="58"/>
      <c r="AP43" s="58"/>
      <c r="AQ43" s="58"/>
      <c r="AR43" s="58"/>
      <c r="AS43" s="58"/>
      <c r="AT43" s="58"/>
    </row>
    <row r="44" spans="1:46" s="51" customFormat="1" x14ac:dyDescent="0.2">
      <c r="A44" s="58"/>
      <c r="B44" s="307"/>
      <c r="C44" s="326"/>
      <c r="D44" s="331"/>
      <c r="E44" s="326"/>
      <c r="F44" s="326"/>
      <c r="H44" s="325"/>
      <c r="I44" s="325"/>
      <c r="J44" s="325"/>
      <c r="AA44" s="58"/>
      <c r="AB44" s="58"/>
      <c r="AC44" s="58" t="str">
        <f>IFERROR(VALUE(RIGHT(AA44,LEN(AA44)-MIN(FIND({0;1;2;3;4;5;6;7;8;9},AA44&amp;"0123456789"))+1)),"")</f>
        <v/>
      </c>
      <c r="AD44" s="58" t="str">
        <f t="shared" si="4"/>
        <v/>
      </c>
      <c r="AE44" s="58" t="e">
        <f t="shared" si="8"/>
        <v>#VALUE!</v>
      </c>
      <c r="AF44" s="58">
        <f t="shared" si="9"/>
        <v>0</v>
      </c>
      <c r="AG44" s="58" t="str">
        <f t="shared" si="2"/>
        <v/>
      </c>
      <c r="AH44" s="58" t="str">
        <f t="shared" si="3"/>
        <v/>
      </c>
      <c r="AI44" s="58" t="str">
        <f>IF(AG44="","",MAX($AI$2:AI43)+1)</f>
        <v/>
      </c>
      <c r="AJ44" s="58" t="str">
        <f t="shared" si="5"/>
        <v/>
      </c>
      <c r="AK44" s="58" t="str">
        <f t="shared" si="7"/>
        <v/>
      </c>
      <c r="AL44" s="58" t="str">
        <f t="shared" si="6"/>
        <v/>
      </c>
      <c r="AM44" s="58"/>
      <c r="AN44" s="58"/>
      <c r="AO44" s="58"/>
      <c r="AP44" s="58"/>
      <c r="AQ44" s="58"/>
      <c r="AR44" s="58"/>
      <c r="AS44" s="58"/>
      <c r="AT44" s="58"/>
    </row>
    <row r="45" spans="1:46" s="51" customFormat="1" x14ac:dyDescent="0.2">
      <c r="A45" s="58"/>
      <c r="B45" s="58"/>
      <c r="C45" s="326"/>
      <c r="D45" s="331"/>
      <c r="E45" s="326"/>
      <c r="F45" s="326"/>
      <c r="H45" s="325"/>
      <c r="I45" s="325"/>
      <c r="J45" s="325"/>
      <c r="AA45" s="58"/>
      <c r="AB45" s="58"/>
      <c r="AC45" s="58" t="str">
        <f>IFERROR(VALUE(RIGHT(AA45,LEN(AA45)-MIN(FIND({0;1;2;3;4;5;6;7;8;9},AA45&amp;"0123456789"))+1)),"")</f>
        <v/>
      </c>
      <c r="AD45" s="58" t="str">
        <f t="shared" si="4"/>
        <v/>
      </c>
      <c r="AE45" s="58" t="e">
        <f t="shared" si="8"/>
        <v>#VALUE!</v>
      </c>
      <c r="AF45" s="58">
        <f t="shared" si="9"/>
        <v>0</v>
      </c>
      <c r="AG45" s="58" t="str">
        <f t="shared" si="2"/>
        <v/>
      </c>
      <c r="AH45" s="58" t="str">
        <f t="shared" si="3"/>
        <v/>
      </c>
      <c r="AI45" s="58" t="str">
        <f>IF(AG45="","",MAX($AI$2:AI44)+1)</f>
        <v/>
      </c>
      <c r="AJ45" s="58" t="str">
        <f t="shared" si="5"/>
        <v/>
      </c>
      <c r="AK45" s="58" t="str">
        <f t="shared" si="7"/>
        <v/>
      </c>
      <c r="AL45" s="58" t="str">
        <f t="shared" si="6"/>
        <v/>
      </c>
      <c r="AM45" s="58"/>
      <c r="AN45" s="58"/>
      <c r="AO45" s="58"/>
      <c r="AP45" s="58"/>
      <c r="AQ45" s="58"/>
      <c r="AR45" s="58"/>
      <c r="AS45" s="58"/>
      <c r="AT45" s="58"/>
    </row>
    <row r="46" spans="1:46" s="51" customFormat="1" x14ac:dyDescent="0.2">
      <c r="A46" s="58"/>
      <c r="B46" s="58"/>
      <c r="C46" s="326"/>
      <c r="D46" s="331"/>
      <c r="E46" s="326"/>
      <c r="F46" s="326"/>
      <c r="H46" s="325"/>
      <c r="I46" s="325"/>
      <c r="J46" s="325"/>
      <c r="AA46" s="58"/>
      <c r="AB46" s="58"/>
      <c r="AC46" s="58" t="str">
        <f>IFERROR(VALUE(RIGHT(AA46,LEN(AA46)-MIN(FIND({0;1;2;3;4;5;6;7;8;9},AA46&amp;"0123456789"))+1)),"")</f>
        <v/>
      </c>
      <c r="AD46" s="58" t="str">
        <f t="shared" si="4"/>
        <v/>
      </c>
      <c r="AE46" s="58" t="e">
        <f t="shared" si="8"/>
        <v>#VALUE!</v>
      </c>
      <c r="AF46" s="58">
        <f t="shared" si="9"/>
        <v>0</v>
      </c>
      <c r="AG46" s="58" t="str">
        <f t="shared" si="2"/>
        <v/>
      </c>
      <c r="AH46" s="58" t="str">
        <f t="shared" si="3"/>
        <v/>
      </c>
      <c r="AI46" s="58" t="str">
        <f>IF(AG46="","",MAX($AI$2:AI45)+1)</f>
        <v/>
      </c>
      <c r="AJ46" s="58" t="str">
        <f t="shared" si="5"/>
        <v/>
      </c>
      <c r="AK46" s="58" t="str">
        <f t="shared" si="7"/>
        <v/>
      </c>
      <c r="AL46" s="58" t="str">
        <f t="shared" si="6"/>
        <v/>
      </c>
      <c r="AM46" s="58"/>
      <c r="AN46" s="58"/>
      <c r="AO46" s="58"/>
      <c r="AP46" s="58"/>
      <c r="AQ46" s="58"/>
      <c r="AR46" s="58"/>
      <c r="AS46" s="58"/>
      <c r="AT46" s="58"/>
    </row>
    <row r="47" spans="1:46" s="51" customFormat="1" x14ac:dyDescent="0.2">
      <c r="A47" s="58"/>
      <c r="B47" s="58"/>
      <c r="C47" s="326"/>
      <c r="D47" s="331"/>
      <c r="E47" s="326"/>
      <c r="F47" s="326"/>
      <c r="H47" s="325"/>
      <c r="I47" s="325"/>
      <c r="J47" s="325"/>
      <c r="AA47" s="58"/>
      <c r="AB47" s="58"/>
      <c r="AC47" s="58" t="str">
        <f>IFERROR(VALUE(RIGHT(AA47,LEN(AA47)-MIN(FIND({0;1;2;3;4;5;6;7;8;9},AA47&amp;"0123456789"))+1)),"")</f>
        <v/>
      </c>
      <c r="AD47" s="58" t="str">
        <f t="shared" si="4"/>
        <v/>
      </c>
      <c r="AE47" s="58" t="e">
        <f t="shared" si="8"/>
        <v>#VALUE!</v>
      </c>
      <c r="AF47" s="58">
        <f t="shared" si="9"/>
        <v>0</v>
      </c>
      <c r="AG47" s="58" t="str">
        <f t="shared" si="2"/>
        <v/>
      </c>
      <c r="AH47" s="58" t="str">
        <f t="shared" si="3"/>
        <v/>
      </c>
      <c r="AI47" s="58" t="str">
        <f>IF(AG47="","",MAX($AI$2:AI46)+1)</f>
        <v/>
      </c>
      <c r="AJ47" s="58" t="str">
        <f t="shared" si="5"/>
        <v/>
      </c>
      <c r="AK47" s="58" t="str">
        <f t="shared" si="7"/>
        <v/>
      </c>
      <c r="AL47" s="58" t="str">
        <f t="shared" si="6"/>
        <v/>
      </c>
      <c r="AM47" s="58"/>
      <c r="AN47" s="58"/>
      <c r="AO47" s="58"/>
      <c r="AP47" s="58"/>
      <c r="AQ47" s="58"/>
      <c r="AR47" s="58"/>
      <c r="AS47" s="58"/>
      <c r="AT47" s="58"/>
    </row>
    <row r="48" spans="1:46" s="51" customFormat="1" x14ac:dyDescent="0.2">
      <c r="A48" s="58"/>
      <c r="B48" s="58"/>
      <c r="C48" s="326"/>
      <c r="D48" s="331"/>
      <c r="E48" s="326"/>
      <c r="F48" s="326"/>
      <c r="H48" s="325"/>
      <c r="I48" s="325"/>
      <c r="J48" s="325"/>
      <c r="AA48" s="58"/>
      <c r="AB48" s="58"/>
      <c r="AC48" s="58" t="str">
        <f>IFERROR(VALUE(RIGHT(AA48,LEN(AA48)-MIN(FIND({0;1;2;3;4;5;6;7;8;9},AA48&amp;"0123456789"))+1)),"")</f>
        <v/>
      </c>
      <c r="AD48" s="58" t="str">
        <f t="shared" si="4"/>
        <v/>
      </c>
      <c r="AE48" s="58" t="e">
        <f t="shared" si="8"/>
        <v>#VALUE!</v>
      </c>
      <c r="AF48" s="58">
        <f t="shared" si="9"/>
        <v>0</v>
      </c>
      <c r="AG48" s="58" t="str">
        <f t="shared" si="2"/>
        <v/>
      </c>
      <c r="AH48" s="58" t="str">
        <f t="shared" si="3"/>
        <v/>
      </c>
      <c r="AI48" s="58" t="str">
        <f>IF(AG48="","",MAX($AI$2:AI47)+1)</f>
        <v/>
      </c>
      <c r="AJ48" s="58" t="str">
        <f t="shared" si="5"/>
        <v/>
      </c>
      <c r="AK48" s="58" t="str">
        <f t="shared" si="7"/>
        <v/>
      </c>
      <c r="AL48" s="58" t="str">
        <f t="shared" si="6"/>
        <v/>
      </c>
      <c r="AM48" s="58"/>
      <c r="AN48" s="58"/>
      <c r="AO48" s="58"/>
      <c r="AP48" s="58"/>
      <c r="AQ48" s="58"/>
      <c r="AR48" s="58"/>
      <c r="AS48" s="58"/>
      <c r="AT48" s="58"/>
    </row>
    <row r="49" spans="1:46" s="51" customFormat="1" x14ac:dyDescent="0.2">
      <c r="A49" s="58"/>
      <c r="B49" s="58"/>
      <c r="C49" s="326"/>
      <c r="D49" s="331"/>
      <c r="E49" s="326"/>
      <c r="F49" s="326"/>
      <c r="H49" s="325"/>
      <c r="I49" s="325"/>
      <c r="J49" s="325"/>
      <c r="AA49" s="58"/>
      <c r="AB49" s="58"/>
      <c r="AC49" s="58" t="str">
        <f>IFERROR(VALUE(RIGHT(AA49,LEN(AA49)-MIN(FIND({0;1;2;3;4;5;6;7;8;9},AA49&amp;"0123456789"))+1)),"")</f>
        <v/>
      </c>
      <c r="AD49" s="58" t="str">
        <f t="shared" si="4"/>
        <v/>
      </c>
      <c r="AE49" s="58" t="e">
        <f t="shared" si="8"/>
        <v>#VALUE!</v>
      </c>
      <c r="AF49" s="58">
        <f t="shared" si="9"/>
        <v>0</v>
      </c>
      <c r="AG49" s="58" t="str">
        <f t="shared" si="2"/>
        <v/>
      </c>
      <c r="AH49" s="58" t="str">
        <f t="shared" si="3"/>
        <v/>
      </c>
      <c r="AI49" s="58" t="str">
        <f>IF(AG49="","",MAX($AI$2:AI48)+1)</f>
        <v/>
      </c>
      <c r="AJ49" s="58" t="str">
        <f t="shared" si="5"/>
        <v/>
      </c>
      <c r="AK49" s="58" t="str">
        <f t="shared" si="7"/>
        <v/>
      </c>
      <c r="AL49" s="58" t="str">
        <f t="shared" si="6"/>
        <v/>
      </c>
      <c r="AM49" s="58"/>
      <c r="AN49" s="58"/>
      <c r="AO49" s="58"/>
      <c r="AP49" s="58"/>
      <c r="AQ49" s="58"/>
      <c r="AR49" s="58"/>
      <c r="AS49" s="58"/>
      <c r="AT49" s="58"/>
    </row>
    <row r="50" spans="1:46" s="51" customFormat="1" x14ac:dyDescent="0.2">
      <c r="A50" s="58"/>
      <c r="B50" s="58"/>
      <c r="C50" s="326"/>
      <c r="D50" s="326"/>
      <c r="E50" s="326"/>
      <c r="F50" s="326"/>
      <c r="H50" s="325"/>
      <c r="I50" s="325"/>
      <c r="J50" s="325"/>
      <c r="AA50" s="58"/>
      <c r="AB50" s="58"/>
      <c r="AC50" s="58" t="str">
        <f>IFERROR(VALUE(RIGHT(AA50,LEN(AA50)-MIN(FIND({0;1;2;3;4;5;6;7;8;9},AA50&amp;"0123456789"))+1)),"")</f>
        <v/>
      </c>
      <c r="AD50" s="58" t="str">
        <f t="shared" si="4"/>
        <v/>
      </c>
      <c r="AE50" s="58" t="e">
        <f t="shared" si="8"/>
        <v>#VALUE!</v>
      </c>
      <c r="AF50" s="58">
        <f t="shared" si="9"/>
        <v>0</v>
      </c>
      <c r="AG50" s="58" t="str">
        <f t="shared" si="2"/>
        <v/>
      </c>
      <c r="AH50" s="58" t="str">
        <f t="shared" si="3"/>
        <v/>
      </c>
      <c r="AI50" s="58" t="str">
        <f>IF(AG50="","",MAX($AI$2:AI49)+1)</f>
        <v/>
      </c>
      <c r="AJ50" s="58" t="str">
        <f t="shared" si="5"/>
        <v/>
      </c>
      <c r="AK50" s="58" t="str">
        <f t="shared" si="7"/>
        <v/>
      </c>
      <c r="AL50" s="58" t="str">
        <f t="shared" si="6"/>
        <v/>
      </c>
      <c r="AM50" s="58"/>
      <c r="AN50" s="58"/>
      <c r="AO50" s="58"/>
      <c r="AP50" s="58"/>
      <c r="AQ50" s="58"/>
      <c r="AR50" s="58"/>
      <c r="AS50" s="58"/>
      <c r="AT50" s="58"/>
    </row>
    <row r="51" spans="1:46" s="51" customFormat="1" x14ac:dyDescent="0.2">
      <c r="A51" s="58"/>
      <c r="B51" s="58"/>
      <c r="C51" s="326"/>
      <c r="D51" s="326"/>
      <c r="E51" s="326"/>
      <c r="F51" s="326"/>
      <c r="G51" s="325"/>
      <c r="H51" s="325"/>
      <c r="I51" s="325"/>
      <c r="J51" s="325"/>
      <c r="AA51" s="58"/>
      <c r="AB51" s="58"/>
      <c r="AC51" s="58" t="str">
        <f>IFERROR(VALUE(RIGHT(AA51,LEN(AA51)-MIN(FIND({0;1;2;3;4;5;6;7;8;9},AA51&amp;"0123456789"))+1)),"")</f>
        <v/>
      </c>
      <c r="AD51" s="58" t="str">
        <f t="shared" si="4"/>
        <v/>
      </c>
      <c r="AE51" s="58" t="e">
        <f t="shared" si="8"/>
        <v>#VALUE!</v>
      </c>
      <c r="AF51" s="58">
        <f t="shared" si="9"/>
        <v>0</v>
      </c>
      <c r="AG51" s="58" t="str">
        <f t="shared" si="2"/>
        <v/>
      </c>
      <c r="AH51" s="58" t="str">
        <f t="shared" si="3"/>
        <v/>
      </c>
      <c r="AI51" s="58" t="str">
        <f>IF(AG51="","",MAX($AI$2:AI50)+1)</f>
        <v/>
      </c>
      <c r="AJ51" s="58" t="str">
        <f t="shared" si="5"/>
        <v/>
      </c>
      <c r="AK51" s="58" t="str">
        <f t="shared" si="7"/>
        <v/>
      </c>
      <c r="AL51" s="58" t="str">
        <f t="shared" si="6"/>
        <v/>
      </c>
      <c r="AM51" s="58"/>
      <c r="AN51" s="58"/>
      <c r="AO51" s="58"/>
      <c r="AP51" s="58"/>
      <c r="AQ51" s="58"/>
      <c r="AR51" s="58"/>
      <c r="AS51" s="58"/>
      <c r="AT51" s="58"/>
    </row>
    <row r="52" spans="1:46" s="51" customFormat="1" x14ac:dyDescent="0.2">
      <c r="A52" s="58"/>
      <c r="B52" s="58"/>
      <c r="C52" s="326"/>
      <c r="D52" s="326"/>
      <c r="E52" s="326"/>
      <c r="F52" s="326"/>
      <c r="G52" s="325"/>
      <c r="H52" s="325"/>
      <c r="I52" s="325"/>
      <c r="J52" s="325"/>
      <c r="AA52" s="58"/>
      <c r="AB52" s="58"/>
      <c r="AC52" s="58" t="str">
        <f>IFERROR(VALUE(RIGHT(AA52,LEN(AA52)-MIN(FIND({0;1;2;3;4;5;6;7;8;9},AA52&amp;"0123456789"))+1)),"")</f>
        <v/>
      </c>
      <c r="AD52" s="58" t="str">
        <f t="shared" si="4"/>
        <v/>
      </c>
      <c r="AE52" s="58" t="e">
        <f t="shared" si="8"/>
        <v>#VALUE!</v>
      </c>
      <c r="AF52" s="58">
        <f t="shared" si="9"/>
        <v>0</v>
      </c>
      <c r="AG52" s="58" t="str">
        <f t="shared" si="2"/>
        <v/>
      </c>
      <c r="AH52" s="58" t="str">
        <f t="shared" si="3"/>
        <v/>
      </c>
      <c r="AI52" s="58" t="str">
        <f>IF(AG52="","",MAX($AI$2:AI51)+1)</f>
        <v/>
      </c>
      <c r="AJ52" s="58" t="str">
        <f t="shared" si="5"/>
        <v/>
      </c>
      <c r="AK52" s="58" t="str">
        <f t="shared" si="7"/>
        <v/>
      </c>
      <c r="AL52" s="58" t="str">
        <f t="shared" si="6"/>
        <v/>
      </c>
      <c r="AM52" s="58"/>
      <c r="AN52" s="58"/>
      <c r="AO52" s="58"/>
      <c r="AP52" s="58"/>
      <c r="AQ52" s="58"/>
      <c r="AR52" s="58"/>
      <c r="AS52" s="58"/>
      <c r="AT52" s="58"/>
    </row>
    <row r="53" spans="1:46" s="51" customFormat="1" x14ac:dyDescent="0.2">
      <c r="A53" s="58"/>
      <c r="B53" s="58"/>
      <c r="C53" s="326"/>
      <c r="D53" s="326"/>
      <c r="E53" s="326"/>
      <c r="F53" s="326"/>
      <c r="G53" s="325"/>
      <c r="H53" s="325"/>
      <c r="I53" s="325"/>
      <c r="J53" s="325"/>
      <c r="AA53" s="58"/>
      <c r="AB53" s="58"/>
      <c r="AC53" s="58" t="str">
        <f>IFERROR(VALUE(RIGHT(AA53,LEN(AA53)-MIN(FIND({0;1;2;3;4;5;6;7;8;9},AA53&amp;"0123456789"))+1)),"")</f>
        <v/>
      </c>
      <c r="AD53" s="58" t="str">
        <f t="shared" si="4"/>
        <v/>
      </c>
      <c r="AE53" s="58" t="e">
        <f t="shared" si="8"/>
        <v>#VALUE!</v>
      </c>
      <c r="AF53" s="58">
        <f t="shared" si="9"/>
        <v>0</v>
      </c>
      <c r="AG53" s="58" t="str">
        <f t="shared" si="2"/>
        <v/>
      </c>
      <c r="AH53" s="58" t="str">
        <f t="shared" si="3"/>
        <v/>
      </c>
      <c r="AI53" s="58" t="str">
        <f>IF(AG53="","",MAX($AI$2:AI52)+1)</f>
        <v/>
      </c>
      <c r="AJ53" s="58" t="str">
        <f t="shared" si="5"/>
        <v/>
      </c>
      <c r="AK53" s="58" t="str">
        <f t="shared" si="7"/>
        <v/>
      </c>
      <c r="AL53" s="58" t="str">
        <f t="shared" si="6"/>
        <v/>
      </c>
      <c r="AM53" s="58"/>
      <c r="AN53" s="58"/>
      <c r="AO53" s="58"/>
      <c r="AP53" s="58"/>
      <c r="AQ53" s="58"/>
      <c r="AR53" s="58"/>
      <c r="AS53" s="58"/>
      <c r="AT53" s="58"/>
    </row>
    <row r="54" spans="1:46" s="51" customFormat="1" x14ac:dyDescent="0.2">
      <c r="A54" s="58"/>
      <c r="B54" s="58"/>
      <c r="C54" s="326"/>
      <c r="D54" s="326"/>
      <c r="E54" s="326"/>
      <c r="F54" s="326"/>
      <c r="G54" s="325"/>
      <c r="H54" s="325"/>
      <c r="I54" s="325"/>
      <c r="J54" s="325"/>
      <c r="AA54" s="58"/>
      <c r="AB54" s="58"/>
      <c r="AC54" s="58" t="str">
        <f>IFERROR(VALUE(RIGHT(AA54,LEN(AA54)-MIN(FIND({0;1;2;3;4;5;6;7;8;9},AA54&amp;"0123456789"))+1)),"")</f>
        <v/>
      </c>
      <c r="AD54" s="58" t="str">
        <f t="shared" si="4"/>
        <v/>
      </c>
      <c r="AE54" s="58" t="e">
        <f t="shared" si="8"/>
        <v>#VALUE!</v>
      </c>
      <c r="AF54" s="58">
        <f t="shared" si="9"/>
        <v>0</v>
      </c>
      <c r="AG54" s="58" t="str">
        <f t="shared" si="2"/>
        <v/>
      </c>
      <c r="AH54" s="58" t="str">
        <f t="shared" si="3"/>
        <v/>
      </c>
      <c r="AI54" s="58" t="str">
        <f>IF(AG54="","",MAX($AI$2:AI53)+1)</f>
        <v/>
      </c>
      <c r="AJ54" s="58" t="str">
        <f t="shared" si="5"/>
        <v/>
      </c>
      <c r="AK54" s="58" t="str">
        <f t="shared" si="7"/>
        <v/>
      </c>
      <c r="AL54" s="58" t="str">
        <f t="shared" si="6"/>
        <v/>
      </c>
      <c r="AM54" s="58"/>
      <c r="AN54" s="58"/>
      <c r="AO54" s="58"/>
      <c r="AP54" s="58"/>
      <c r="AQ54" s="58"/>
      <c r="AR54" s="58"/>
      <c r="AS54" s="58"/>
      <c r="AT54" s="58"/>
    </row>
    <row r="55" spans="1:46" s="51" customFormat="1" x14ac:dyDescent="0.2">
      <c r="A55" s="58"/>
      <c r="B55" s="307"/>
      <c r="C55" s="326"/>
      <c r="D55" s="393"/>
      <c r="E55" s="326"/>
      <c r="F55" s="326"/>
      <c r="G55" s="325"/>
      <c r="H55" s="325"/>
      <c r="I55" s="325"/>
      <c r="J55" s="325"/>
      <c r="AA55" s="58"/>
      <c r="AB55" s="58"/>
      <c r="AC55" s="58" t="str">
        <f>IFERROR(VALUE(RIGHT(AA55,LEN(AA55)-MIN(FIND({0;1;2;3;4;5;6;7;8;9},AA55&amp;"0123456789"))+1)),"")</f>
        <v/>
      </c>
      <c r="AD55" s="58" t="str">
        <f t="shared" si="4"/>
        <v/>
      </c>
      <c r="AE55" s="58" t="e">
        <f t="shared" si="8"/>
        <v>#VALUE!</v>
      </c>
      <c r="AF55" s="58">
        <f t="shared" si="9"/>
        <v>0</v>
      </c>
      <c r="AG55" s="58" t="str">
        <f t="shared" si="2"/>
        <v/>
      </c>
      <c r="AH55" s="58" t="str">
        <f t="shared" si="3"/>
        <v/>
      </c>
      <c r="AI55" s="58" t="str">
        <f>IF(AG55="","",MAX($AI$2:AI54)+1)</f>
        <v/>
      </c>
      <c r="AJ55" s="58" t="str">
        <f t="shared" si="5"/>
        <v/>
      </c>
      <c r="AK55" s="58" t="str">
        <f t="shared" si="7"/>
        <v/>
      </c>
      <c r="AL55" s="58" t="str">
        <f t="shared" si="6"/>
        <v/>
      </c>
      <c r="AM55" s="58"/>
      <c r="AN55" s="58"/>
      <c r="AO55" s="58"/>
      <c r="AP55" s="58"/>
      <c r="AQ55" s="58"/>
      <c r="AR55" s="58"/>
      <c r="AS55" s="58"/>
      <c r="AT55" s="58"/>
    </row>
    <row r="56" spans="1:46" s="51" customFormat="1" x14ac:dyDescent="0.2">
      <c r="A56" s="58"/>
      <c r="B56" s="307"/>
      <c r="C56" s="326"/>
      <c r="D56" s="393"/>
      <c r="E56" s="326"/>
      <c r="F56" s="326"/>
      <c r="G56" s="325"/>
      <c r="H56" s="325"/>
      <c r="I56" s="325"/>
      <c r="J56" s="325"/>
      <c r="AA56" s="58"/>
      <c r="AB56" s="58"/>
      <c r="AC56" s="58" t="str">
        <f>IFERROR(VALUE(RIGHT(AA56,LEN(AA56)-MIN(FIND({0;1;2;3;4;5;6;7;8;9},AA56&amp;"0123456789"))+1)),"")</f>
        <v/>
      </c>
      <c r="AD56" s="58" t="str">
        <f t="shared" si="4"/>
        <v/>
      </c>
      <c r="AE56" s="58" t="e">
        <f t="shared" si="8"/>
        <v>#VALUE!</v>
      </c>
      <c r="AF56" s="58">
        <f t="shared" si="9"/>
        <v>0</v>
      </c>
      <c r="AG56" s="58" t="str">
        <f t="shared" si="2"/>
        <v/>
      </c>
      <c r="AH56" s="58" t="str">
        <f t="shared" si="3"/>
        <v/>
      </c>
      <c r="AI56" s="58" t="str">
        <f>IF(AG56="","",MAX($AI$2:AI55)+1)</f>
        <v/>
      </c>
      <c r="AJ56" s="58" t="str">
        <f t="shared" si="5"/>
        <v/>
      </c>
      <c r="AK56" s="58" t="str">
        <f t="shared" si="7"/>
        <v/>
      </c>
      <c r="AL56" s="58" t="str">
        <f t="shared" si="6"/>
        <v/>
      </c>
      <c r="AM56" s="58"/>
      <c r="AN56" s="58"/>
      <c r="AO56" s="58"/>
      <c r="AP56" s="58"/>
      <c r="AQ56" s="58"/>
      <c r="AR56" s="58"/>
      <c r="AS56" s="58"/>
      <c r="AT56" s="58"/>
    </row>
    <row r="57" spans="1:46" s="51" customFormat="1" x14ac:dyDescent="0.2">
      <c r="A57" s="58"/>
      <c r="B57" s="307"/>
      <c r="C57" s="326"/>
      <c r="D57" s="326"/>
      <c r="E57" s="393"/>
      <c r="F57" s="326"/>
      <c r="G57" s="325"/>
      <c r="H57" s="325"/>
      <c r="I57" s="325"/>
      <c r="J57" s="325"/>
      <c r="AA57" s="58"/>
      <c r="AB57" s="58"/>
      <c r="AC57" s="58" t="str">
        <f>IFERROR(VALUE(RIGHT(AA57,LEN(AA57)-MIN(FIND({0;1;2;3;4;5;6;7;8;9},AA57&amp;"0123456789"))+1)),"")</f>
        <v/>
      </c>
      <c r="AD57" s="58" t="str">
        <f t="shared" si="4"/>
        <v/>
      </c>
      <c r="AE57" s="58" t="e">
        <f t="shared" si="8"/>
        <v>#VALUE!</v>
      </c>
      <c r="AF57" s="58">
        <f t="shared" si="9"/>
        <v>0</v>
      </c>
      <c r="AG57" s="58" t="str">
        <f t="shared" si="2"/>
        <v/>
      </c>
      <c r="AH57" s="58" t="str">
        <f t="shared" si="3"/>
        <v/>
      </c>
      <c r="AI57" s="58" t="str">
        <f>IF(AG57="","",MAX($AI$2:AI56)+1)</f>
        <v/>
      </c>
      <c r="AJ57" s="58" t="str">
        <f t="shared" si="5"/>
        <v/>
      </c>
      <c r="AK57" s="58" t="str">
        <f t="shared" si="7"/>
        <v/>
      </c>
      <c r="AL57" s="58" t="str">
        <f t="shared" si="6"/>
        <v/>
      </c>
      <c r="AM57" s="58"/>
      <c r="AN57" s="58"/>
      <c r="AO57" s="58"/>
      <c r="AP57" s="58"/>
      <c r="AQ57" s="58"/>
      <c r="AR57" s="58"/>
      <c r="AS57" s="58"/>
      <c r="AT57" s="58"/>
    </row>
    <row r="58" spans="1:46" s="51" customFormat="1" x14ac:dyDescent="0.2">
      <c r="A58" s="58"/>
      <c r="B58" s="307"/>
      <c r="C58" s="326"/>
      <c r="D58" s="326"/>
      <c r="E58" s="393"/>
      <c r="F58" s="326"/>
      <c r="G58" s="325"/>
      <c r="H58" s="325"/>
      <c r="I58" s="325"/>
      <c r="J58" s="325"/>
      <c r="AA58" s="58"/>
      <c r="AB58" s="58"/>
      <c r="AC58" s="58" t="str">
        <f>IFERROR(VALUE(RIGHT(AA58,LEN(AA58)-MIN(FIND({0;1;2;3;4;5;6;7;8;9},AA58&amp;"0123456789"))+1)),"")</f>
        <v/>
      </c>
      <c r="AD58" s="58" t="str">
        <f t="shared" si="4"/>
        <v/>
      </c>
      <c r="AE58" s="58" t="e">
        <f t="shared" si="8"/>
        <v>#VALUE!</v>
      </c>
      <c r="AF58" s="58">
        <f t="shared" si="9"/>
        <v>0</v>
      </c>
      <c r="AG58" s="58" t="str">
        <f t="shared" si="2"/>
        <v/>
      </c>
      <c r="AH58" s="58" t="str">
        <f t="shared" si="3"/>
        <v/>
      </c>
      <c r="AI58" s="58" t="str">
        <f>IF(AG58="","",MAX($AI$2:AI57)+1)</f>
        <v/>
      </c>
      <c r="AJ58" s="58" t="str">
        <f t="shared" si="5"/>
        <v/>
      </c>
      <c r="AK58" s="58" t="str">
        <f t="shared" si="7"/>
        <v/>
      </c>
      <c r="AL58" s="58" t="str">
        <f t="shared" si="6"/>
        <v/>
      </c>
      <c r="AM58" s="58"/>
      <c r="AN58" s="58"/>
      <c r="AO58" s="58"/>
      <c r="AP58" s="58"/>
      <c r="AQ58" s="58"/>
      <c r="AR58" s="58"/>
      <c r="AS58" s="58"/>
      <c r="AT58" s="58"/>
    </row>
    <row r="59" spans="1:46" s="51" customFormat="1" x14ac:dyDescent="0.2">
      <c r="A59" s="58"/>
      <c r="B59" s="307"/>
      <c r="C59" s="326"/>
      <c r="D59" s="326"/>
      <c r="E59" s="326"/>
      <c r="F59" s="393"/>
      <c r="G59" s="325"/>
      <c r="H59" s="325"/>
      <c r="I59" s="325"/>
      <c r="J59" s="325"/>
      <c r="AA59" s="58"/>
      <c r="AB59" s="58"/>
      <c r="AC59" s="58" t="str">
        <f>IFERROR(VALUE(RIGHT(AA59,LEN(AA59)-MIN(FIND({0;1;2;3;4;5;6;7;8;9},AA59&amp;"0123456789"))+1)),"")</f>
        <v/>
      </c>
      <c r="AD59" s="58" t="str">
        <f t="shared" si="4"/>
        <v/>
      </c>
      <c r="AE59" s="58" t="e">
        <f t="shared" si="8"/>
        <v>#VALUE!</v>
      </c>
      <c r="AF59" s="58">
        <f t="shared" si="9"/>
        <v>0</v>
      </c>
      <c r="AG59" s="58" t="str">
        <f t="shared" si="2"/>
        <v/>
      </c>
      <c r="AH59" s="58" t="str">
        <f t="shared" si="3"/>
        <v/>
      </c>
      <c r="AI59" s="58" t="str">
        <f>IF(AG59="","",MAX($AI$2:AI58)+1)</f>
        <v/>
      </c>
      <c r="AJ59" s="58" t="str">
        <f t="shared" si="5"/>
        <v/>
      </c>
      <c r="AK59" s="58" t="str">
        <f t="shared" si="7"/>
        <v/>
      </c>
      <c r="AL59" s="58" t="str">
        <f t="shared" si="6"/>
        <v/>
      </c>
      <c r="AM59" s="58"/>
      <c r="AN59" s="58"/>
      <c r="AO59" s="58"/>
      <c r="AP59" s="58"/>
      <c r="AQ59" s="58"/>
      <c r="AR59" s="58"/>
      <c r="AS59" s="58"/>
      <c r="AT59" s="58"/>
    </row>
    <row r="60" spans="1:46" s="51" customFormat="1" x14ac:dyDescent="0.2">
      <c r="A60" s="58"/>
      <c r="B60" s="307"/>
      <c r="C60" s="326"/>
      <c r="D60" s="326"/>
      <c r="E60" s="326"/>
      <c r="F60" s="393"/>
      <c r="G60" s="325"/>
      <c r="H60" s="325"/>
      <c r="I60" s="325"/>
      <c r="J60" s="325"/>
      <c r="AA60" s="58"/>
      <c r="AB60" s="58"/>
      <c r="AC60" s="58" t="str">
        <f>IFERROR(VALUE(RIGHT(AA60,LEN(AA60)-MIN(FIND({0;1;2;3;4;5;6;7;8;9},AA60&amp;"0123456789"))+1)),"")</f>
        <v/>
      </c>
      <c r="AD60" s="58" t="str">
        <f t="shared" si="4"/>
        <v/>
      </c>
      <c r="AE60" s="58" t="e">
        <f t="shared" si="8"/>
        <v>#VALUE!</v>
      </c>
      <c r="AF60" s="58">
        <f t="shared" si="9"/>
        <v>0</v>
      </c>
      <c r="AG60" s="58" t="str">
        <f t="shared" si="2"/>
        <v/>
      </c>
      <c r="AH60" s="58" t="str">
        <f t="shared" si="3"/>
        <v/>
      </c>
      <c r="AI60" s="58" t="str">
        <f>IF(AG60="","",MAX($AI$2:AI59)+1)</f>
        <v/>
      </c>
      <c r="AJ60" s="58" t="str">
        <f t="shared" si="5"/>
        <v/>
      </c>
      <c r="AK60" s="58" t="str">
        <f t="shared" si="7"/>
        <v/>
      </c>
      <c r="AL60" s="58" t="str">
        <f t="shared" si="6"/>
        <v/>
      </c>
      <c r="AM60" s="58"/>
      <c r="AN60" s="58"/>
      <c r="AO60" s="58"/>
      <c r="AP60" s="58"/>
      <c r="AQ60" s="58"/>
      <c r="AR60" s="58"/>
      <c r="AS60" s="58"/>
      <c r="AT60" s="58"/>
    </row>
    <row r="61" spans="1:46" s="51" customFormat="1" x14ac:dyDescent="0.2">
      <c r="A61" s="58"/>
      <c r="B61" s="58"/>
      <c r="C61" s="326"/>
      <c r="D61" s="326"/>
      <c r="E61" s="326"/>
      <c r="F61" s="326"/>
      <c r="G61" s="325"/>
      <c r="H61" s="325"/>
      <c r="I61" s="325"/>
      <c r="J61" s="325"/>
      <c r="AA61" s="58"/>
      <c r="AB61" s="58"/>
      <c r="AC61" s="58" t="str">
        <f>IFERROR(VALUE(RIGHT(AA61,LEN(AA61)-MIN(FIND({0;1;2;3;4;5;6;7;8;9},AA61&amp;"0123456789"))+1)),"")</f>
        <v/>
      </c>
      <c r="AD61" s="58" t="str">
        <f t="shared" si="4"/>
        <v/>
      </c>
      <c r="AE61" s="58" t="e">
        <f t="shared" si="8"/>
        <v>#VALUE!</v>
      </c>
      <c r="AF61" s="58">
        <f t="shared" si="9"/>
        <v>0</v>
      </c>
      <c r="AG61" s="58" t="str">
        <f t="shared" si="2"/>
        <v/>
      </c>
      <c r="AH61" s="58" t="str">
        <f t="shared" si="3"/>
        <v/>
      </c>
      <c r="AI61" s="58" t="str">
        <f>IF(AG61="","",MAX($AI$2:AI60)+1)</f>
        <v/>
      </c>
      <c r="AJ61" s="58" t="str">
        <f t="shared" si="5"/>
        <v/>
      </c>
      <c r="AK61" s="58" t="str">
        <f t="shared" si="7"/>
        <v/>
      </c>
      <c r="AL61" s="58" t="str">
        <f t="shared" si="6"/>
        <v/>
      </c>
      <c r="AM61" s="58"/>
      <c r="AN61" s="58"/>
      <c r="AO61" s="58"/>
      <c r="AP61" s="58"/>
      <c r="AQ61" s="58"/>
      <c r="AR61" s="58"/>
      <c r="AS61" s="58"/>
      <c r="AT61" s="58"/>
    </row>
    <row r="62" spans="1:46" s="51" customFormat="1" x14ac:dyDescent="0.2">
      <c r="A62" s="58"/>
      <c r="B62" s="58"/>
      <c r="C62" s="326"/>
      <c r="D62" s="326"/>
      <c r="E62" s="326"/>
      <c r="F62" s="326"/>
      <c r="G62" s="325"/>
      <c r="H62" s="325"/>
      <c r="I62" s="325"/>
      <c r="J62" s="325"/>
      <c r="AA62" s="58"/>
      <c r="AB62" s="58"/>
      <c r="AC62" s="58" t="str">
        <f>IFERROR(VALUE(RIGHT(AA62,LEN(AA62)-MIN(FIND({0;1;2;3;4;5;6;7;8;9},AA62&amp;"0123456789"))+1)),"")</f>
        <v/>
      </c>
      <c r="AD62" s="58" t="str">
        <f t="shared" si="4"/>
        <v/>
      </c>
      <c r="AE62" s="58" t="e">
        <f t="shared" si="8"/>
        <v>#VALUE!</v>
      </c>
      <c r="AF62" s="58">
        <f t="shared" si="9"/>
        <v>0</v>
      </c>
      <c r="AG62" s="58" t="str">
        <f t="shared" si="2"/>
        <v/>
      </c>
      <c r="AH62" s="58" t="str">
        <f t="shared" si="3"/>
        <v/>
      </c>
      <c r="AI62" s="58" t="str">
        <f>IF(AG62="","",MAX($AI$2:AI61)+1)</f>
        <v/>
      </c>
      <c r="AJ62" s="58" t="str">
        <f t="shared" si="5"/>
        <v/>
      </c>
      <c r="AK62" s="58" t="str">
        <f t="shared" si="7"/>
        <v/>
      </c>
      <c r="AL62" s="58" t="str">
        <f t="shared" si="6"/>
        <v/>
      </c>
      <c r="AM62" s="58"/>
      <c r="AN62" s="58"/>
      <c r="AO62" s="58"/>
      <c r="AP62" s="58"/>
      <c r="AQ62" s="58"/>
      <c r="AR62" s="58"/>
      <c r="AS62" s="58"/>
      <c r="AT62" s="58"/>
    </row>
    <row r="63" spans="1:46" s="51" customFormat="1" x14ac:dyDescent="0.2">
      <c r="A63" s="58"/>
      <c r="B63" s="58"/>
      <c r="C63" s="326"/>
      <c r="D63" s="326"/>
      <c r="E63" s="326"/>
      <c r="F63" s="326"/>
      <c r="G63" s="325"/>
      <c r="H63" s="325"/>
      <c r="I63" s="325"/>
      <c r="J63" s="325"/>
      <c r="AA63" s="58"/>
      <c r="AB63" s="58"/>
      <c r="AC63" s="58" t="str">
        <f>IFERROR(VALUE(RIGHT(AA63,LEN(AA63)-MIN(FIND({0;1;2;3;4;5;6;7;8;9},AA63&amp;"0123456789"))+1)),"")</f>
        <v/>
      </c>
      <c r="AD63" s="58" t="str">
        <f t="shared" si="4"/>
        <v/>
      </c>
      <c r="AE63" s="58" t="e">
        <f t="shared" si="8"/>
        <v>#VALUE!</v>
      </c>
      <c r="AF63" s="58">
        <f t="shared" si="9"/>
        <v>0</v>
      </c>
      <c r="AG63" s="58" t="str">
        <f t="shared" si="2"/>
        <v/>
      </c>
      <c r="AH63" s="58" t="str">
        <f t="shared" si="3"/>
        <v/>
      </c>
      <c r="AI63" s="58" t="str">
        <f>IF(AG63="","",MAX($AI$2:AI62)+1)</f>
        <v/>
      </c>
      <c r="AJ63" s="58" t="str">
        <f t="shared" si="5"/>
        <v/>
      </c>
      <c r="AK63" s="58" t="str">
        <f t="shared" si="7"/>
        <v/>
      </c>
      <c r="AL63" s="58" t="str">
        <f t="shared" si="6"/>
        <v/>
      </c>
      <c r="AM63" s="58"/>
      <c r="AN63" s="58"/>
      <c r="AO63" s="58"/>
      <c r="AP63" s="58"/>
      <c r="AQ63" s="58"/>
      <c r="AR63" s="58"/>
      <c r="AS63" s="58"/>
      <c r="AT63" s="58"/>
    </row>
    <row r="64" spans="1:46" s="51" customFormat="1" x14ac:dyDescent="0.2">
      <c r="A64" s="58"/>
      <c r="B64" s="58"/>
      <c r="C64" s="326"/>
      <c r="D64" s="326"/>
      <c r="E64" s="326"/>
      <c r="F64" s="326"/>
      <c r="G64" s="325"/>
      <c r="H64" s="325"/>
      <c r="I64" s="325"/>
      <c r="J64" s="325"/>
      <c r="AA64" s="58"/>
      <c r="AB64" s="58"/>
      <c r="AC64" s="58" t="str">
        <f>IFERROR(VALUE(RIGHT(AA64,LEN(AA64)-MIN(FIND({0;1;2;3;4;5;6;7;8;9},AA64&amp;"0123456789"))+1)),"")</f>
        <v/>
      </c>
      <c r="AD64" s="58" t="str">
        <f t="shared" si="4"/>
        <v/>
      </c>
      <c r="AE64" s="58" t="e">
        <f t="shared" si="8"/>
        <v>#VALUE!</v>
      </c>
      <c r="AF64" s="58">
        <f t="shared" si="9"/>
        <v>0</v>
      </c>
      <c r="AG64" s="58" t="str">
        <f t="shared" si="2"/>
        <v/>
      </c>
      <c r="AH64" s="58" t="str">
        <f t="shared" si="3"/>
        <v/>
      </c>
      <c r="AI64" s="58" t="str">
        <f>IF(AG64="","",MAX($AI$2:AI63)+1)</f>
        <v/>
      </c>
      <c r="AJ64" s="58" t="str">
        <f t="shared" si="5"/>
        <v/>
      </c>
      <c r="AK64" s="58" t="str">
        <f t="shared" si="7"/>
        <v/>
      </c>
      <c r="AL64" s="58" t="str">
        <f t="shared" si="6"/>
        <v/>
      </c>
      <c r="AM64" s="58"/>
      <c r="AN64" s="58"/>
      <c r="AO64" s="58"/>
      <c r="AP64" s="58"/>
      <c r="AQ64" s="58"/>
      <c r="AR64" s="58"/>
      <c r="AS64" s="58"/>
      <c r="AT64" s="58"/>
    </row>
    <row r="65" spans="1:46" s="51" customFormat="1" x14ac:dyDescent="0.2">
      <c r="A65" s="58"/>
      <c r="B65" s="58"/>
      <c r="C65" s="326"/>
      <c r="D65" s="326"/>
      <c r="E65" s="326"/>
      <c r="F65" s="326"/>
      <c r="G65" s="325"/>
      <c r="H65" s="325"/>
      <c r="I65" s="325"/>
      <c r="J65" s="325"/>
      <c r="AA65" s="58"/>
      <c r="AB65" s="58"/>
      <c r="AC65" s="58" t="str">
        <f>IFERROR(VALUE(RIGHT(AA65,LEN(AA65)-MIN(FIND({0;1;2;3;4;5;6;7;8;9},AA65&amp;"0123456789"))+1)),"")</f>
        <v/>
      </c>
      <c r="AD65" s="58" t="str">
        <f t="shared" si="4"/>
        <v/>
      </c>
      <c r="AE65" s="58" t="e">
        <f t="shared" si="8"/>
        <v>#VALUE!</v>
      </c>
      <c r="AF65" s="58">
        <f t="shared" si="9"/>
        <v>0</v>
      </c>
      <c r="AG65" s="58" t="str">
        <f t="shared" si="2"/>
        <v/>
      </c>
      <c r="AH65" s="58" t="str">
        <f t="shared" si="3"/>
        <v/>
      </c>
      <c r="AI65" s="58" t="str">
        <f>IF(AG65="","",MAX($AI$2:AI64)+1)</f>
        <v/>
      </c>
      <c r="AJ65" s="58" t="str">
        <f t="shared" si="5"/>
        <v/>
      </c>
      <c r="AK65" s="58" t="str">
        <f t="shared" si="7"/>
        <v/>
      </c>
      <c r="AL65" s="58" t="str">
        <f t="shared" si="6"/>
        <v/>
      </c>
      <c r="AM65" s="58"/>
      <c r="AN65" s="58"/>
      <c r="AO65" s="58"/>
      <c r="AP65" s="58"/>
      <c r="AQ65" s="58"/>
      <c r="AR65" s="58"/>
      <c r="AS65" s="58"/>
      <c r="AT65" s="58"/>
    </row>
    <row r="66" spans="1:46" s="51" customFormat="1" x14ac:dyDescent="0.2">
      <c r="A66" s="58"/>
      <c r="B66" s="58"/>
      <c r="C66" s="326"/>
      <c r="D66" s="326"/>
      <c r="E66" s="326"/>
      <c r="F66" s="326"/>
      <c r="G66" s="325"/>
      <c r="H66" s="325"/>
      <c r="I66" s="325"/>
      <c r="J66" s="325"/>
      <c r="AA66" s="58"/>
      <c r="AB66" s="58"/>
      <c r="AC66" s="58" t="str">
        <f>IFERROR(VALUE(RIGHT(AA66,LEN(AA66)-MIN(FIND({0;1;2;3;4;5;6;7;8;9},AA66&amp;"0123456789"))+1)),"")</f>
        <v/>
      </c>
      <c r="AD66" s="58" t="str">
        <f t="shared" si="4"/>
        <v/>
      </c>
      <c r="AE66" s="58" t="e">
        <f t="shared" ref="AE66:AE78" si="10">SMALL(AB:AB,AD66)</f>
        <v>#VALUE!</v>
      </c>
      <c r="AF66" s="58">
        <f t="shared" ref="AF66:AF78" si="11">SUMIF(AB:AB,AE66,AC:AC)</f>
        <v>0</v>
      </c>
      <c r="AG66" s="58" t="str">
        <f t="shared" si="2"/>
        <v/>
      </c>
      <c r="AH66" s="58" t="str">
        <f t="shared" si="3"/>
        <v/>
      </c>
      <c r="AI66" s="58" t="str">
        <f>IF(AG66="","",MAX($AI$2:AI65)+1)</f>
        <v/>
      </c>
      <c r="AJ66" s="58" t="str">
        <f t="shared" si="5"/>
        <v/>
      </c>
      <c r="AK66" s="58" t="str">
        <f t="shared" si="7"/>
        <v/>
      </c>
      <c r="AL66" s="58" t="str">
        <f t="shared" si="6"/>
        <v/>
      </c>
      <c r="AM66" s="58"/>
      <c r="AN66" s="58"/>
      <c r="AO66" s="58"/>
      <c r="AP66" s="58"/>
      <c r="AQ66" s="58"/>
      <c r="AR66" s="58"/>
      <c r="AS66" s="58"/>
      <c r="AT66" s="58"/>
    </row>
    <row r="67" spans="1:46" s="51" customFormat="1" x14ac:dyDescent="0.2">
      <c r="A67" s="58"/>
      <c r="B67" s="58"/>
      <c r="C67" s="326"/>
      <c r="D67" s="326"/>
      <c r="E67" s="326"/>
      <c r="F67" s="326"/>
      <c r="G67" s="325"/>
      <c r="H67" s="325"/>
      <c r="I67" s="325"/>
      <c r="J67" s="325"/>
      <c r="AA67" s="58"/>
      <c r="AB67" s="58"/>
      <c r="AC67" s="58" t="str">
        <f>IFERROR(VALUE(RIGHT(AA67,LEN(AA67)-MIN(FIND({0;1;2;3;4;5;6;7;8;9},AA67&amp;"0123456789"))+1)),"")</f>
        <v/>
      </c>
      <c r="AD67" s="58" t="str">
        <f t="shared" si="4"/>
        <v/>
      </c>
      <c r="AE67" s="58" t="e">
        <f t="shared" si="10"/>
        <v>#VALUE!</v>
      </c>
      <c r="AF67" s="58">
        <f t="shared" si="11"/>
        <v>0</v>
      </c>
      <c r="AG67" s="58" t="str">
        <f t="shared" ref="AG67:AG78" si="12">IFERROR(IF(AF67=0,"",IF(AND(AE67=AE66,AF67=AF66),"",AE67)),"")</f>
        <v/>
      </c>
      <c r="AH67" s="58" t="str">
        <f t="shared" ref="AH67:AH78" si="13">IF(AF67=0,"",AF67)</f>
        <v/>
      </c>
      <c r="AI67" s="58" t="str">
        <f>IF(AG67="","",MAX($AI$2:AI66)+1)</f>
        <v/>
      </c>
      <c r="AJ67" s="58" t="str">
        <f t="shared" si="5"/>
        <v/>
      </c>
      <c r="AK67" s="58" t="str">
        <f t="shared" si="7"/>
        <v/>
      </c>
      <c r="AL67" s="58" t="str">
        <f t="shared" si="6"/>
        <v/>
      </c>
      <c r="AM67" s="58"/>
      <c r="AN67" s="58"/>
      <c r="AO67" s="58"/>
      <c r="AP67" s="58"/>
      <c r="AQ67" s="58"/>
      <c r="AR67" s="58"/>
      <c r="AS67" s="58"/>
      <c r="AT67" s="58"/>
    </row>
    <row r="68" spans="1:46" s="51" customFormat="1" x14ac:dyDescent="0.2">
      <c r="A68" s="58"/>
      <c r="B68" s="58"/>
      <c r="C68" s="326"/>
      <c r="D68" s="326"/>
      <c r="E68" s="326"/>
      <c r="F68" s="326"/>
      <c r="G68" s="325"/>
      <c r="H68" s="325"/>
      <c r="I68" s="325"/>
      <c r="J68" s="325"/>
      <c r="AA68" s="58"/>
      <c r="AB68" s="58"/>
      <c r="AC68" s="58" t="str">
        <f>IFERROR(VALUE(RIGHT(AA68,LEN(AA68)-MIN(FIND({0;1;2;3;4;5;6;7;8;9},AA68&amp;"0123456789"))+1)),"")</f>
        <v/>
      </c>
      <c r="AD68" s="58" t="str">
        <f t="shared" ref="AD68:AD78" si="14" xml:space="preserve"> IF(AA68&lt;&gt;"",AD67+1,"")</f>
        <v/>
      </c>
      <c r="AE68" s="58" t="e">
        <f t="shared" si="10"/>
        <v>#VALUE!</v>
      </c>
      <c r="AF68" s="58">
        <f t="shared" si="11"/>
        <v>0</v>
      </c>
      <c r="AG68" s="58" t="str">
        <f t="shared" si="12"/>
        <v/>
      </c>
      <c r="AH68" s="58" t="str">
        <f t="shared" si="13"/>
        <v/>
      </c>
      <c r="AI68" s="58" t="str">
        <f>IF(AG68="","",MAX($AI$2:AI67)+1)</f>
        <v/>
      </c>
      <c r="AJ68" s="58" t="str">
        <f t="shared" ref="AJ68:AJ78" si="15" xml:space="preserve"> IF(AA68&lt;&gt;"",AJ67+1,"")</f>
        <v/>
      </c>
      <c r="AK68" s="58" t="str">
        <f t="shared" ref="AK68:AK78" si="16">IF($Z$2="Peso","",IFERROR(INDEX(AG68:AI185,MATCH(AJ68,AI68:AI185,0),2),""))</f>
        <v/>
      </c>
      <c r="AL68" s="58" t="str">
        <f t="shared" ref="AL68:AL78" si="17">IF($Z$2="Peso","",IFERROR(INDEX(AG68:AI185,MATCH(AJ68,AI68:AI185,0),1),""))</f>
        <v/>
      </c>
      <c r="AM68" s="58"/>
      <c r="AN68" s="58"/>
      <c r="AO68" s="58"/>
      <c r="AP68" s="58"/>
      <c r="AQ68" s="58"/>
      <c r="AR68" s="58"/>
      <c r="AS68" s="58"/>
      <c r="AT68" s="58"/>
    </row>
    <row r="69" spans="1:46" s="51" customFormat="1" x14ac:dyDescent="0.2">
      <c r="A69" s="58"/>
      <c r="B69" s="58"/>
      <c r="C69" s="326"/>
      <c r="D69" s="326"/>
      <c r="E69" s="326"/>
      <c r="F69" s="326"/>
      <c r="G69" s="325"/>
      <c r="H69" s="325"/>
      <c r="I69" s="325"/>
      <c r="J69" s="325"/>
      <c r="AA69" s="58"/>
      <c r="AB69" s="58"/>
      <c r="AC69" s="58" t="str">
        <f>IFERROR(VALUE(RIGHT(AA69,LEN(AA69)-MIN(FIND({0;1;2;3;4;5;6;7;8;9},AA69&amp;"0123456789"))+1)),"")</f>
        <v/>
      </c>
      <c r="AD69" s="58" t="str">
        <f t="shared" si="14"/>
        <v/>
      </c>
      <c r="AE69" s="58" t="e">
        <f t="shared" si="10"/>
        <v>#VALUE!</v>
      </c>
      <c r="AF69" s="58">
        <f t="shared" si="11"/>
        <v>0</v>
      </c>
      <c r="AG69" s="58" t="str">
        <f t="shared" si="12"/>
        <v/>
      </c>
      <c r="AH69" s="58" t="str">
        <f t="shared" si="13"/>
        <v/>
      </c>
      <c r="AI69" s="58" t="str">
        <f>IF(AG69="","",MAX($AI$2:AI68)+1)</f>
        <v/>
      </c>
      <c r="AJ69" s="58" t="str">
        <f t="shared" si="15"/>
        <v/>
      </c>
      <c r="AK69" s="58" t="str">
        <f t="shared" si="16"/>
        <v/>
      </c>
      <c r="AL69" s="58" t="str">
        <f t="shared" si="17"/>
        <v/>
      </c>
      <c r="AM69" s="58"/>
      <c r="AN69" s="58"/>
      <c r="AO69" s="58"/>
      <c r="AP69" s="58"/>
      <c r="AQ69" s="58"/>
      <c r="AR69" s="58"/>
      <c r="AS69" s="58"/>
      <c r="AT69" s="58"/>
    </row>
    <row r="70" spans="1:46" s="51" customFormat="1" x14ac:dyDescent="0.2">
      <c r="A70" s="58"/>
      <c r="B70" s="58"/>
      <c r="C70" s="326"/>
      <c r="D70" s="326"/>
      <c r="E70" s="326"/>
      <c r="F70" s="326"/>
      <c r="G70" s="325"/>
      <c r="H70" s="325"/>
      <c r="I70" s="325"/>
      <c r="J70" s="325"/>
      <c r="AA70" s="58"/>
      <c r="AB70" s="58"/>
      <c r="AC70" s="58" t="str">
        <f>IFERROR(VALUE(RIGHT(AA70,LEN(AA70)-MIN(FIND({0;1;2;3;4;5;6;7;8;9},AA70&amp;"0123456789"))+1)),"")</f>
        <v/>
      </c>
      <c r="AD70" s="58" t="str">
        <f t="shared" si="14"/>
        <v/>
      </c>
      <c r="AE70" s="58" t="e">
        <f t="shared" si="10"/>
        <v>#VALUE!</v>
      </c>
      <c r="AF70" s="58">
        <f t="shared" si="11"/>
        <v>0</v>
      </c>
      <c r="AG70" s="58" t="str">
        <f t="shared" si="12"/>
        <v/>
      </c>
      <c r="AH70" s="58" t="str">
        <f t="shared" si="13"/>
        <v/>
      </c>
      <c r="AI70" s="58" t="str">
        <f>IF(AG70="","",MAX($AI$2:AI69)+1)</f>
        <v/>
      </c>
      <c r="AJ70" s="58" t="str">
        <f t="shared" si="15"/>
        <v/>
      </c>
      <c r="AK70" s="58" t="str">
        <f t="shared" si="16"/>
        <v/>
      </c>
      <c r="AL70" s="58" t="str">
        <f t="shared" si="17"/>
        <v/>
      </c>
      <c r="AM70" s="58"/>
      <c r="AN70" s="58"/>
      <c r="AO70" s="58"/>
      <c r="AP70" s="58"/>
      <c r="AQ70" s="58"/>
      <c r="AR70" s="58"/>
      <c r="AS70" s="58"/>
      <c r="AT70" s="58"/>
    </row>
    <row r="71" spans="1:46" s="51" customFormat="1" x14ac:dyDescent="0.2">
      <c r="A71" s="58"/>
      <c r="B71" s="58"/>
      <c r="C71" s="326"/>
      <c r="D71" s="326"/>
      <c r="E71" s="326"/>
      <c r="F71" s="326"/>
      <c r="G71" s="325"/>
      <c r="H71" s="325"/>
      <c r="I71" s="325"/>
      <c r="J71" s="325"/>
      <c r="AA71" s="58"/>
      <c r="AB71" s="58"/>
      <c r="AC71" s="58" t="str">
        <f>IFERROR(VALUE(RIGHT(AA71,LEN(AA71)-MIN(FIND({0;1;2;3;4;5;6;7;8;9},AA71&amp;"0123456789"))+1)),"")</f>
        <v/>
      </c>
      <c r="AD71" s="58" t="str">
        <f t="shared" si="14"/>
        <v/>
      </c>
      <c r="AE71" s="58" t="e">
        <f t="shared" si="10"/>
        <v>#VALUE!</v>
      </c>
      <c r="AF71" s="58">
        <f t="shared" si="11"/>
        <v>0</v>
      </c>
      <c r="AG71" s="58" t="str">
        <f t="shared" si="12"/>
        <v/>
      </c>
      <c r="AH71" s="58" t="str">
        <f t="shared" si="13"/>
        <v/>
      </c>
      <c r="AI71" s="58" t="str">
        <f>IF(AG71="","",MAX($AI$2:AI70)+1)</f>
        <v/>
      </c>
      <c r="AJ71" s="58" t="str">
        <f t="shared" si="15"/>
        <v/>
      </c>
      <c r="AK71" s="58" t="str">
        <f t="shared" si="16"/>
        <v/>
      </c>
      <c r="AL71" s="58" t="str">
        <f t="shared" si="17"/>
        <v/>
      </c>
      <c r="AM71" s="58"/>
      <c r="AN71" s="58"/>
      <c r="AO71" s="58"/>
      <c r="AP71" s="58"/>
      <c r="AQ71" s="58"/>
      <c r="AR71" s="58"/>
      <c r="AS71" s="58"/>
      <c r="AT71" s="58"/>
    </row>
    <row r="72" spans="1:46" s="51" customFormat="1" x14ac:dyDescent="0.2">
      <c r="A72" s="58"/>
      <c r="B72" s="58"/>
      <c r="C72" s="326"/>
      <c r="D72" s="326"/>
      <c r="E72" s="326"/>
      <c r="F72" s="326"/>
      <c r="G72" s="325"/>
      <c r="H72" s="325"/>
      <c r="I72" s="325"/>
      <c r="J72" s="325"/>
      <c r="AA72" s="58"/>
      <c r="AB72" s="58"/>
      <c r="AC72" s="58" t="str">
        <f>IFERROR(VALUE(RIGHT(AA72,LEN(AA72)-MIN(FIND({0;1;2;3;4;5;6;7;8;9},AA72&amp;"0123456789"))+1)),"")</f>
        <v/>
      </c>
      <c r="AD72" s="58" t="str">
        <f t="shared" si="14"/>
        <v/>
      </c>
      <c r="AE72" s="58" t="e">
        <f t="shared" si="10"/>
        <v>#VALUE!</v>
      </c>
      <c r="AF72" s="58">
        <f t="shared" si="11"/>
        <v>0</v>
      </c>
      <c r="AG72" s="58" t="str">
        <f t="shared" si="12"/>
        <v/>
      </c>
      <c r="AH72" s="58" t="str">
        <f t="shared" si="13"/>
        <v/>
      </c>
      <c r="AI72" s="58" t="str">
        <f>IF(AG72="","",MAX($AI$2:AI71)+1)</f>
        <v/>
      </c>
      <c r="AJ72" s="58" t="str">
        <f t="shared" si="15"/>
        <v/>
      </c>
      <c r="AK72" s="58" t="str">
        <f t="shared" si="16"/>
        <v/>
      </c>
      <c r="AL72" s="58" t="str">
        <f t="shared" si="17"/>
        <v/>
      </c>
      <c r="AM72" s="58"/>
      <c r="AN72" s="58"/>
      <c r="AO72" s="58"/>
      <c r="AP72" s="58"/>
      <c r="AQ72" s="58"/>
      <c r="AR72" s="58"/>
      <c r="AS72" s="58"/>
      <c r="AT72" s="58"/>
    </row>
    <row r="73" spans="1:46" s="51" customFormat="1" x14ac:dyDescent="0.2">
      <c r="A73" s="58"/>
      <c r="B73" s="58"/>
      <c r="C73" s="326"/>
      <c r="D73" s="326"/>
      <c r="E73" s="326"/>
      <c r="F73" s="326"/>
      <c r="G73" s="325"/>
      <c r="H73" s="325"/>
      <c r="I73" s="325"/>
      <c r="J73" s="325"/>
      <c r="AA73" s="58"/>
      <c r="AB73" s="58"/>
      <c r="AC73" s="58" t="str">
        <f>IFERROR(VALUE(RIGHT(AA73,LEN(AA73)-MIN(FIND({0;1;2;3;4;5;6;7;8;9},AA73&amp;"0123456789"))+1)),"")</f>
        <v/>
      </c>
      <c r="AD73" s="58" t="str">
        <f t="shared" si="14"/>
        <v/>
      </c>
      <c r="AE73" s="58" t="e">
        <f t="shared" si="10"/>
        <v>#VALUE!</v>
      </c>
      <c r="AF73" s="58">
        <f t="shared" si="11"/>
        <v>0</v>
      </c>
      <c r="AG73" s="58" t="str">
        <f t="shared" si="12"/>
        <v/>
      </c>
      <c r="AH73" s="58" t="str">
        <f t="shared" si="13"/>
        <v/>
      </c>
      <c r="AI73" s="58" t="str">
        <f>IF(AG73="","",MAX($AI$2:AI72)+1)</f>
        <v/>
      </c>
      <c r="AJ73" s="58" t="str">
        <f t="shared" si="15"/>
        <v/>
      </c>
      <c r="AK73" s="58" t="str">
        <f t="shared" si="16"/>
        <v/>
      </c>
      <c r="AL73" s="58" t="str">
        <f t="shared" si="17"/>
        <v/>
      </c>
      <c r="AM73" s="58"/>
      <c r="AN73" s="58"/>
      <c r="AO73" s="58"/>
      <c r="AP73" s="58"/>
      <c r="AQ73" s="58"/>
      <c r="AR73" s="58"/>
      <c r="AS73" s="58"/>
      <c r="AT73" s="58"/>
    </row>
    <row r="74" spans="1:46" s="51" customFormat="1" x14ac:dyDescent="0.2">
      <c r="A74" s="58"/>
      <c r="B74" s="58"/>
      <c r="C74" s="326"/>
      <c r="D74" s="326"/>
      <c r="E74" s="326"/>
      <c r="F74" s="326"/>
      <c r="G74" s="325"/>
      <c r="H74" s="325"/>
      <c r="I74" s="325"/>
      <c r="J74" s="325"/>
      <c r="AA74" s="58"/>
      <c r="AB74" s="58"/>
      <c r="AC74" s="58" t="str">
        <f>IFERROR(VALUE(RIGHT(AA74,LEN(AA74)-MIN(FIND({0;1;2;3;4;5;6;7;8;9},AA74&amp;"0123456789"))+1)),"")</f>
        <v/>
      </c>
      <c r="AD74" s="58" t="str">
        <f t="shared" si="14"/>
        <v/>
      </c>
      <c r="AE74" s="58" t="e">
        <f t="shared" si="10"/>
        <v>#VALUE!</v>
      </c>
      <c r="AF74" s="58">
        <f t="shared" si="11"/>
        <v>0</v>
      </c>
      <c r="AG74" s="58" t="str">
        <f t="shared" si="12"/>
        <v/>
      </c>
      <c r="AH74" s="58" t="str">
        <f t="shared" si="13"/>
        <v/>
      </c>
      <c r="AI74" s="58" t="str">
        <f>IF(AG74="","",MAX($AI$2:AI73)+1)</f>
        <v/>
      </c>
      <c r="AJ74" s="58" t="str">
        <f t="shared" si="15"/>
        <v/>
      </c>
      <c r="AK74" s="58" t="str">
        <f t="shared" si="16"/>
        <v/>
      </c>
      <c r="AL74" s="58" t="str">
        <f t="shared" si="17"/>
        <v/>
      </c>
      <c r="AM74" s="58"/>
      <c r="AN74" s="58"/>
      <c r="AO74" s="58"/>
      <c r="AP74" s="58"/>
      <c r="AQ74" s="58"/>
      <c r="AR74" s="58"/>
      <c r="AS74" s="58"/>
      <c r="AT74" s="58"/>
    </row>
    <row r="75" spans="1:46" s="51" customFormat="1" x14ac:dyDescent="0.2">
      <c r="A75" s="58"/>
      <c r="B75" s="58"/>
      <c r="C75" s="326"/>
      <c r="D75" s="326"/>
      <c r="E75" s="326"/>
      <c r="F75" s="326"/>
      <c r="G75" s="325"/>
      <c r="H75" s="325"/>
      <c r="I75" s="325"/>
      <c r="J75" s="325"/>
      <c r="AA75" s="58"/>
      <c r="AB75" s="58"/>
      <c r="AC75" s="58" t="str">
        <f>IFERROR(VALUE(RIGHT(AA75,LEN(AA75)-MIN(FIND({0;1;2;3;4;5;6;7;8;9},AA75&amp;"0123456789"))+1)),"")</f>
        <v/>
      </c>
      <c r="AD75" s="58" t="str">
        <f t="shared" si="14"/>
        <v/>
      </c>
      <c r="AE75" s="58" t="e">
        <f t="shared" si="10"/>
        <v>#VALUE!</v>
      </c>
      <c r="AF75" s="58">
        <f t="shared" si="11"/>
        <v>0</v>
      </c>
      <c r="AG75" s="58" t="str">
        <f t="shared" si="12"/>
        <v/>
      </c>
      <c r="AH75" s="58" t="str">
        <f t="shared" si="13"/>
        <v/>
      </c>
      <c r="AI75" s="58" t="str">
        <f>IF(AG75="","",MAX($AI$2:AI74)+1)</f>
        <v/>
      </c>
      <c r="AJ75" s="58" t="str">
        <f t="shared" si="15"/>
        <v/>
      </c>
      <c r="AK75" s="58" t="str">
        <f t="shared" si="16"/>
        <v/>
      </c>
      <c r="AL75" s="58" t="str">
        <f t="shared" si="17"/>
        <v/>
      </c>
      <c r="AM75" s="58"/>
      <c r="AN75" s="58"/>
      <c r="AO75" s="58"/>
      <c r="AP75" s="58"/>
      <c r="AQ75" s="58"/>
      <c r="AR75" s="58"/>
      <c r="AS75" s="58"/>
      <c r="AT75" s="58"/>
    </row>
    <row r="76" spans="1:46" s="51" customFormat="1" x14ac:dyDescent="0.2">
      <c r="A76" s="58"/>
      <c r="B76" s="58"/>
      <c r="C76" s="326"/>
      <c r="D76" s="326"/>
      <c r="E76" s="326"/>
      <c r="F76" s="326"/>
      <c r="G76" s="325"/>
      <c r="H76" s="325"/>
      <c r="I76" s="325"/>
      <c r="J76" s="325"/>
      <c r="AA76" s="58"/>
      <c r="AB76" s="58"/>
      <c r="AC76" s="58" t="str">
        <f>IFERROR(VALUE(RIGHT(AA76,LEN(AA76)-MIN(FIND({0;1;2;3;4;5;6;7;8;9},AA76&amp;"0123456789"))+1)),"")</f>
        <v/>
      </c>
      <c r="AD76" s="58" t="str">
        <f t="shared" si="14"/>
        <v/>
      </c>
      <c r="AE76" s="58" t="e">
        <f t="shared" si="10"/>
        <v>#VALUE!</v>
      </c>
      <c r="AF76" s="58">
        <f t="shared" si="11"/>
        <v>0</v>
      </c>
      <c r="AG76" s="58" t="str">
        <f t="shared" si="12"/>
        <v/>
      </c>
      <c r="AH76" s="58" t="str">
        <f t="shared" si="13"/>
        <v/>
      </c>
      <c r="AI76" s="58" t="str">
        <f>IF(AG76="","",MAX($AI$2:AI75)+1)</f>
        <v/>
      </c>
      <c r="AJ76" s="58" t="str">
        <f t="shared" si="15"/>
        <v/>
      </c>
      <c r="AK76" s="58" t="str">
        <f t="shared" si="16"/>
        <v/>
      </c>
      <c r="AL76" s="58" t="str">
        <f t="shared" si="17"/>
        <v/>
      </c>
      <c r="AM76" s="58"/>
      <c r="AN76" s="58"/>
      <c r="AO76" s="58"/>
      <c r="AP76" s="58"/>
      <c r="AQ76" s="58"/>
      <c r="AR76" s="58"/>
      <c r="AS76" s="58"/>
      <c r="AT76" s="58"/>
    </row>
    <row r="77" spans="1:46" s="51" customFormat="1" x14ac:dyDescent="0.2">
      <c r="A77" s="58"/>
      <c r="B77" s="58"/>
      <c r="C77" s="326"/>
      <c r="D77" s="326"/>
      <c r="E77" s="326"/>
      <c r="F77" s="326"/>
      <c r="G77" s="325"/>
      <c r="H77" s="325"/>
      <c r="I77" s="325"/>
      <c r="J77" s="325"/>
      <c r="AA77" s="58"/>
      <c r="AB77" s="58"/>
      <c r="AC77" s="58" t="str">
        <f>IFERROR(VALUE(RIGHT(AA77,LEN(AA77)-MIN(FIND({0;1;2;3;4;5;6;7;8;9},AA77&amp;"0123456789"))+1)),"")</f>
        <v/>
      </c>
      <c r="AD77" s="58" t="str">
        <f t="shared" si="14"/>
        <v/>
      </c>
      <c r="AE77" s="58" t="e">
        <f t="shared" si="10"/>
        <v>#VALUE!</v>
      </c>
      <c r="AF77" s="58">
        <f t="shared" si="11"/>
        <v>0</v>
      </c>
      <c r="AG77" s="58" t="str">
        <f t="shared" si="12"/>
        <v/>
      </c>
      <c r="AH77" s="58" t="str">
        <f t="shared" si="13"/>
        <v/>
      </c>
      <c r="AI77" s="58" t="str">
        <f>IF(AG77="","",MAX($AI$2:AI76)+1)</f>
        <v/>
      </c>
      <c r="AJ77" s="58" t="str">
        <f t="shared" si="15"/>
        <v/>
      </c>
      <c r="AK77" s="58" t="str">
        <f t="shared" si="16"/>
        <v/>
      </c>
      <c r="AL77" s="58" t="str">
        <f t="shared" si="17"/>
        <v/>
      </c>
      <c r="AM77" s="58"/>
      <c r="AN77" s="58"/>
      <c r="AO77" s="58"/>
      <c r="AP77" s="58"/>
      <c r="AQ77" s="58"/>
      <c r="AR77" s="58"/>
      <c r="AS77" s="58"/>
      <c r="AT77" s="58"/>
    </row>
    <row r="78" spans="1:46" s="51" customFormat="1" x14ac:dyDescent="0.2">
      <c r="A78" s="58"/>
      <c r="B78" s="58"/>
      <c r="C78" s="326"/>
      <c r="D78" s="326"/>
      <c r="E78" s="326"/>
      <c r="F78" s="326"/>
      <c r="G78" s="325"/>
      <c r="H78" s="325"/>
      <c r="I78" s="325"/>
      <c r="J78" s="325"/>
      <c r="AA78" s="58"/>
      <c r="AB78" s="58"/>
      <c r="AC78" s="58" t="str">
        <f>IFERROR(VALUE(RIGHT(AA78,LEN(AA78)-MIN(FIND({0;1;2;3;4;5;6;7;8;9},AA78&amp;"0123456789"))+1)),"")</f>
        <v/>
      </c>
      <c r="AD78" s="58" t="str">
        <f t="shared" si="14"/>
        <v/>
      </c>
      <c r="AE78" s="58" t="e">
        <f t="shared" si="10"/>
        <v>#VALUE!</v>
      </c>
      <c r="AF78" s="58">
        <f t="shared" si="11"/>
        <v>0</v>
      </c>
      <c r="AG78" s="58" t="str">
        <f t="shared" si="12"/>
        <v/>
      </c>
      <c r="AH78" s="58" t="str">
        <f t="shared" si="13"/>
        <v/>
      </c>
      <c r="AI78" s="58" t="str">
        <f>IF(AG78="","",MAX($AI$2:AI77)+1)</f>
        <v/>
      </c>
      <c r="AJ78" s="58" t="str">
        <f t="shared" si="15"/>
        <v/>
      </c>
      <c r="AK78" s="58" t="str">
        <f t="shared" si="16"/>
        <v/>
      </c>
      <c r="AL78" s="58" t="str">
        <f t="shared" si="17"/>
        <v/>
      </c>
      <c r="AM78" s="58"/>
      <c r="AN78" s="58"/>
      <c r="AO78" s="58"/>
      <c r="AP78" s="58"/>
      <c r="AQ78" s="58"/>
      <c r="AR78" s="58"/>
      <c r="AS78" s="58"/>
      <c r="AT78" s="58"/>
    </row>
    <row r="79" spans="1:46" s="51" customFormat="1" x14ac:dyDescent="0.2">
      <c r="A79" s="58"/>
      <c r="B79" s="58"/>
      <c r="C79" s="326"/>
      <c r="D79" s="326"/>
      <c r="E79" s="326"/>
      <c r="F79" s="326"/>
      <c r="G79" s="325"/>
      <c r="H79" s="325"/>
      <c r="I79" s="325"/>
      <c r="J79" s="325"/>
    </row>
    <row r="80" spans="1:46" s="51" customFormat="1" x14ac:dyDescent="0.2">
      <c r="A80" s="58"/>
      <c r="B80" s="58"/>
      <c r="C80" s="326"/>
      <c r="D80" s="326"/>
      <c r="E80" s="326"/>
      <c r="F80" s="326"/>
      <c r="G80" s="325"/>
      <c r="H80" s="325"/>
      <c r="I80" s="325"/>
      <c r="J80" s="325"/>
    </row>
    <row r="81" spans="1:10" s="51" customFormat="1" x14ac:dyDescent="0.2">
      <c r="A81" s="58"/>
      <c r="B81" s="58"/>
      <c r="C81" s="326"/>
      <c r="D81" s="326"/>
      <c r="E81" s="326"/>
      <c r="F81" s="326"/>
      <c r="G81" s="325"/>
      <c r="H81" s="325"/>
      <c r="I81" s="325"/>
      <c r="J81" s="325"/>
    </row>
    <row r="82" spans="1:10" s="51" customFormat="1" x14ac:dyDescent="0.2">
      <c r="A82" s="58"/>
      <c r="B82" s="58"/>
      <c r="C82" s="326"/>
      <c r="D82" s="326"/>
      <c r="E82" s="326"/>
      <c r="F82" s="326"/>
      <c r="G82" s="325"/>
      <c r="H82" s="325"/>
      <c r="I82" s="325"/>
      <c r="J82" s="325"/>
    </row>
    <row r="83" spans="1:10" s="51" customFormat="1" x14ac:dyDescent="0.2">
      <c r="A83" s="58"/>
      <c r="B83" s="58"/>
      <c r="C83" s="326"/>
      <c r="D83" s="326"/>
      <c r="E83" s="326"/>
      <c r="F83" s="326"/>
      <c r="G83" s="325"/>
      <c r="H83" s="325"/>
      <c r="I83" s="325"/>
      <c r="J83" s="325"/>
    </row>
    <row r="84" spans="1:10" s="51" customFormat="1" x14ac:dyDescent="0.2">
      <c r="A84" s="58"/>
      <c r="B84" s="58"/>
      <c r="C84" s="326"/>
      <c r="D84" s="326"/>
      <c r="E84" s="326"/>
      <c r="F84" s="326"/>
      <c r="G84" s="325"/>
      <c r="H84" s="325"/>
      <c r="I84" s="325"/>
      <c r="J84" s="325"/>
    </row>
    <row r="85" spans="1:10" s="51" customFormat="1" x14ac:dyDescent="0.2">
      <c r="A85" s="58"/>
      <c r="B85" s="58"/>
      <c r="C85" s="326"/>
      <c r="D85" s="326"/>
      <c r="E85" s="326"/>
      <c r="F85" s="326"/>
      <c r="G85" s="325"/>
      <c r="H85" s="325"/>
      <c r="I85" s="325"/>
      <c r="J85" s="325"/>
    </row>
    <row r="86" spans="1:10" s="51" customFormat="1" x14ac:dyDescent="0.2">
      <c r="A86" s="58"/>
      <c r="B86" s="58"/>
      <c r="C86" s="326"/>
      <c r="D86" s="326"/>
      <c r="E86" s="326"/>
      <c r="F86" s="326"/>
      <c r="G86" s="325"/>
      <c r="H86" s="325"/>
      <c r="I86" s="325"/>
      <c r="J86" s="325"/>
    </row>
    <row r="87" spans="1:10" s="51" customFormat="1" x14ac:dyDescent="0.2">
      <c r="A87" s="58"/>
      <c r="B87" s="58"/>
      <c r="C87" s="326"/>
      <c r="D87" s="326"/>
      <c r="E87" s="326"/>
      <c r="F87" s="326"/>
      <c r="G87" s="325"/>
      <c r="H87" s="325"/>
      <c r="I87" s="325"/>
      <c r="J87" s="325"/>
    </row>
    <row r="88" spans="1:10" s="51" customFormat="1" x14ac:dyDescent="0.2">
      <c r="A88" s="58"/>
      <c r="B88" s="58"/>
      <c r="C88" s="326"/>
      <c r="D88" s="326"/>
      <c r="E88" s="326"/>
      <c r="F88" s="326"/>
      <c r="G88" s="325"/>
      <c r="H88" s="325"/>
      <c r="I88" s="325"/>
      <c r="J88" s="325"/>
    </row>
    <row r="89" spans="1:10" s="51" customFormat="1" x14ac:dyDescent="0.2">
      <c r="A89" s="58"/>
      <c r="B89" s="58"/>
      <c r="C89" s="326"/>
      <c r="D89" s="326"/>
      <c r="E89" s="326"/>
      <c r="F89" s="326"/>
      <c r="G89" s="325"/>
      <c r="H89" s="325"/>
      <c r="I89" s="325"/>
      <c r="J89" s="325"/>
    </row>
    <row r="90" spans="1:10" s="51" customFormat="1" x14ac:dyDescent="0.2">
      <c r="A90" s="58"/>
      <c r="B90" s="58"/>
      <c r="C90" s="326"/>
      <c r="D90" s="326"/>
      <c r="E90" s="326"/>
      <c r="F90" s="326"/>
      <c r="G90" s="325"/>
      <c r="H90" s="325"/>
      <c r="I90" s="325"/>
      <c r="J90" s="325"/>
    </row>
    <row r="91" spans="1:10" s="51" customFormat="1" x14ac:dyDescent="0.2">
      <c r="A91" s="58"/>
      <c r="B91" s="58"/>
      <c r="C91" s="326"/>
      <c r="D91" s="326"/>
      <c r="E91" s="326"/>
      <c r="F91" s="326"/>
      <c r="G91" s="325"/>
      <c r="H91" s="325"/>
      <c r="I91" s="325"/>
      <c r="J91" s="325"/>
    </row>
    <row r="92" spans="1:10" s="51" customFormat="1" x14ac:dyDescent="0.2">
      <c r="A92" s="58"/>
      <c r="B92" s="58"/>
      <c r="C92" s="326"/>
      <c r="D92" s="326"/>
      <c r="E92" s="326"/>
      <c r="F92" s="326"/>
      <c r="G92" s="325"/>
      <c r="H92" s="325"/>
      <c r="I92" s="325"/>
      <c r="J92" s="325"/>
    </row>
    <row r="93" spans="1:10" s="51" customFormat="1" x14ac:dyDescent="0.2">
      <c r="A93" s="58"/>
      <c r="B93" s="58"/>
      <c r="C93" s="326"/>
      <c r="D93" s="326"/>
      <c r="E93" s="326"/>
      <c r="F93" s="326"/>
      <c r="G93" s="325"/>
      <c r="H93" s="325"/>
      <c r="I93" s="325"/>
      <c r="J93" s="325"/>
    </row>
    <row r="94" spans="1:10" s="51" customFormat="1" x14ac:dyDescent="0.2">
      <c r="A94" s="58"/>
      <c r="B94" s="58"/>
      <c r="C94" s="326"/>
      <c r="D94" s="326"/>
      <c r="E94" s="326"/>
      <c r="F94" s="326"/>
      <c r="G94" s="325"/>
      <c r="H94" s="325"/>
      <c r="I94" s="325"/>
      <c r="J94" s="325"/>
    </row>
    <row r="95" spans="1:10" s="51" customFormat="1" x14ac:dyDescent="0.2">
      <c r="A95" s="58"/>
      <c r="B95" s="58"/>
      <c r="C95" s="326"/>
      <c r="D95" s="326"/>
      <c r="E95" s="326"/>
      <c r="F95" s="326"/>
      <c r="G95" s="325"/>
      <c r="H95" s="325"/>
      <c r="I95" s="325"/>
      <c r="J95" s="325"/>
    </row>
    <row r="96" spans="1:10" s="51" customFormat="1" x14ac:dyDescent="0.2">
      <c r="A96" s="58"/>
      <c r="B96" s="58"/>
      <c r="C96" s="326"/>
      <c r="D96" s="326"/>
      <c r="E96" s="326"/>
      <c r="F96" s="326"/>
      <c r="G96" s="325"/>
      <c r="H96" s="325"/>
      <c r="I96" s="325"/>
      <c r="J96" s="325"/>
    </row>
    <row r="97" spans="1:10" s="51" customFormat="1" x14ac:dyDescent="0.2">
      <c r="A97" s="58"/>
      <c r="B97" s="58"/>
      <c r="C97" s="326"/>
      <c r="D97" s="326"/>
      <c r="E97" s="326"/>
      <c r="F97" s="326"/>
      <c r="G97" s="325"/>
      <c r="H97" s="325"/>
      <c r="I97" s="325"/>
      <c r="J97" s="325"/>
    </row>
    <row r="98" spans="1:10" s="51" customFormat="1" x14ac:dyDescent="0.2">
      <c r="A98" s="58"/>
      <c r="B98" s="58"/>
      <c r="C98" s="326"/>
      <c r="D98" s="326"/>
      <c r="E98" s="326"/>
      <c r="F98" s="326"/>
      <c r="G98" s="325"/>
      <c r="H98" s="325"/>
      <c r="I98" s="325"/>
      <c r="J98" s="325"/>
    </row>
    <row r="99" spans="1:10" s="51" customFormat="1" x14ac:dyDescent="0.2">
      <c r="A99" s="58"/>
      <c r="B99" s="58"/>
      <c r="C99" s="326"/>
      <c r="D99" s="326"/>
      <c r="E99" s="326"/>
      <c r="F99" s="326"/>
      <c r="G99" s="325"/>
      <c r="H99" s="325"/>
      <c r="I99" s="325"/>
      <c r="J99" s="325"/>
    </row>
    <row r="100" spans="1:10" s="51" customFormat="1" x14ac:dyDescent="0.2">
      <c r="A100" s="58"/>
      <c r="B100" s="58"/>
      <c r="C100" s="326"/>
      <c r="D100" s="326"/>
      <c r="E100" s="326"/>
      <c r="F100" s="326"/>
      <c r="G100" s="325"/>
      <c r="H100" s="325"/>
      <c r="I100" s="325"/>
      <c r="J100" s="325"/>
    </row>
    <row r="101" spans="1:10" s="51" customFormat="1" x14ac:dyDescent="0.2">
      <c r="A101" s="58"/>
      <c r="B101" s="58"/>
      <c r="C101" s="326"/>
      <c r="D101" s="326"/>
      <c r="E101" s="326"/>
      <c r="F101" s="326"/>
      <c r="G101" s="325"/>
      <c r="H101" s="325"/>
      <c r="I101" s="325"/>
      <c r="J101" s="325"/>
    </row>
    <row r="102" spans="1:10" s="51" customFormat="1" x14ac:dyDescent="0.2">
      <c r="A102" s="58"/>
      <c r="B102" s="58"/>
      <c r="C102" s="326"/>
      <c r="D102" s="326"/>
      <c r="E102" s="326"/>
      <c r="F102" s="326"/>
      <c r="G102" s="325"/>
      <c r="H102" s="325"/>
      <c r="I102" s="325"/>
      <c r="J102" s="325"/>
    </row>
    <row r="103" spans="1:10" s="51" customFormat="1" x14ac:dyDescent="0.2">
      <c r="A103" s="58"/>
      <c r="B103" s="58"/>
      <c r="C103" s="326"/>
      <c r="D103" s="326"/>
      <c r="E103" s="326"/>
      <c r="F103" s="326"/>
      <c r="G103" s="325"/>
      <c r="H103" s="325"/>
      <c r="I103" s="325"/>
      <c r="J103" s="325"/>
    </row>
    <row r="104" spans="1:10" s="51" customFormat="1" x14ac:dyDescent="0.2">
      <c r="A104" s="58"/>
      <c r="B104" s="58"/>
      <c r="C104" s="326"/>
      <c r="D104" s="326"/>
      <c r="E104" s="326"/>
      <c r="F104" s="326"/>
      <c r="G104" s="325"/>
      <c r="H104" s="325"/>
      <c r="I104" s="325"/>
      <c r="J104" s="325"/>
    </row>
    <row r="105" spans="1:10" s="51" customFormat="1" x14ac:dyDescent="0.2">
      <c r="A105" s="58"/>
      <c r="B105" s="58"/>
      <c r="C105" s="326"/>
      <c r="D105" s="326"/>
      <c r="E105" s="326"/>
      <c r="F105" s="326"/>
      <c r="G105" s="325"/>
      <c r="H105" s="325"/>
      <c r="I105" s="325"/>
      <c r="J105" s="325"/>
    </row>
    <row r="106" spans="1:10" s="51" customFormat="1" x14ac:dyDescent="0.2">
      <c r="A106" s="58"/>
      <c r="B106" s="58"/>
      <c r="C106" s="326"/>
      <c r="D106" s="326"/>
      <c r="E106" s="326"/>
      <c r="F106" s="326"/>
      <c r="G106" s="325"/>
      <c r="H106" s="325"/>
      <c r="I106" s="325"/>
      <c r="J106" s="325"/>
    </row>
    <row r="107" spans="1:10" s="51" customFormat="1" x14ac:dyDescent="0.2">
      <c r="A107" s="58"/>
      <c r="B107" s="58"/>
      <c r="C107" s="326"/>
      <c r="D107" s="326"/>
      <c r="E107" s="326"/>
      <c r="F107" s="326"/>
      <c r="G107" s="325"/>
      <c r="H107" s="325"/>
      <c r="I107" s="325"/>
      <c r="J107" s="325"/>
    </row>
    <row r="108" spans="1:10" s="51" customFormat="1" x14ac:dyDescent="0.2">
      <c r="A108" s="58"/>
      <c r="B108" s="58"/>
      <c r="C108" s="326"/>
      <c r="D108" s="326"/>
      <c r="E108" s="326"/>
      <c r="F108" s="326"/>
      <c r="G108" s="325"/>
      <c r="H108" s="325"/>
      <c r="I108" s="325"/>
      <c r="J108" s="325"/>
    </row>
    <row r="109" spans="1:10" s="51" customFormat="1" x14ac:dyDescent="0.2">
      <c r="A109" s="58"/>
      <c r="B109" s="58"/>
      <c r="C109" s="326"/>
      <c r="D109" s="326"/>
      <c r="E109" s="326"/>
      <c r="F109" s="326"/>
      <c r="G109" s="325"/>
      <c r="H109" s="325"/>
      <c r="I109" s="325"/>
      <c r="J109" s="325"/>
    </row>
    <row r="110" spans="1:10" s="51" customFormat="1" x14ac:dyDescent="0.2">
      <c r="A110" s="58"/>
      <c r="B110" s="58"/>
      <c r="C110" s="326"/>
      <c r="D110" s="326"/>
      <c r="E110" s="326"/>
      <c r="F110" s="326"/>
      <c r="G110" s="325"/>
      <c r="H110" s="325"/>
      <c r="I110" s="325"/>
      <c r="J110" s="325"/>
    </row>
    <row r="111" spans="1:10" s="51" customFormat="1" x14ac:dyDescent="0.2">
      <c r="A111" s="58"/>
      <c r="B111" s="58"/>
      <c r="C111" s="326"/>
      <c r="D111" s="326"/>
      <c r="E111" s="326"/>
      <c r="F111" s="326"/>
      <c r="G111" s="325"/>
      <c r="H111" s="325"/>
      <c r="I111" s="325"/>
      <c r="J111" s="325"/>
    </row>
    <row r="112" spans="1:10" s="51" customFormat="1" x14ac:dyDescent="0.2">
      <c r="A112" s="58"/>
      <c r="B112" s="58"/>
      <c r="C112" s="326"/>
      <c r="D112" s="326"/>
      <c r="E112" s="326"/>
      <c r="F112" s="326"/>
      <c r="G112" s="325"/>
      <c r="H112" s="325"/>
      <c r="I112" s="325"/>
      <c r="J112" s="325"/>
    </row>
    <row r="113" spans="1:10" s="51" customFormat="1" x14ac:dyDescent="0.2">
      <c r="A113" s="58"/>
      <c r="B113" s="58"/>
      <c r="C113" s="326"/>
      <c r="D113" s="326"/>
      <c r="E113" s="326"/>
      <c r="F113" s="326"/>
      <c r="G113" s="325"/>
      <c r="H113" s="325"/>
      <c r="I113" s="325"/>
      <c r="J113" s="325"/>
    </row>
    <row r="114" spans="1:10" s="51" customFormat="1" x14ac:dyDescent="0.2">
      <c r="A114" s="58"/>
      <c r="B114" s="58"/>
      <c r="C114" s="326"/>
      <c r="D114" s="326"/>
      <c r="E114" s="326"/>
      <c r="F114" s="326"/>
      <c r="G114" s="325"/>
      <c r="H114" s="325"/>
      <c r="I114" s="325"/>
      <c r="J114" s="325"/>
    </row>
    <row r="115" spans="1:10" s="51" customFormat="1" x14ac:dyDescent="0.2">
      <c r="A115" s="58"/>
      <c r="B115" s="58"/>
      <c r="C115" s="326"/>
      <c r="D115" s="326"/>
      <c r="E115" s="326"/>
      <c r="F115" s="326"/>
      <c r="G115" s="325"/>
      <c r="H115" s="325"/>
      <c r="I115" s="325"/>
      <c r="J115" s="325"/>
    </row>
    <row r="116" spans="1:10" s="51" customFormat="1" x14ac:dyDescent="0.2">
      <c r="A116" s="58"/>
      <c r="B116" s="58"/>
      <c r="C116" s="326"/>
      <c r="D116" s="326"/>
      <c r="E116" s="326"/>
      <c r="F116" s="326"/>
      <c r="G116" s="325"/>
      <c r="H116" s="325"/>
      <c r="I116" s="325"/>
      <c r="J116" s="325"/>
    </row>
    <row r="117" spans="1:10" s="51" customFormat="1" x14ac:dyDescent="0.2">
      <c r="A117" s="58"/>
      <c r="B117" s="58"/>
      <c r="C117" s="326"/>
      <c r="D117" s="326"/>
      <c r="E117" s="326"/>
      <c r="F117" s="326"/>
      <c r="G117" s="325"/>
      <c r="H117" s="325"/>
      <c r="I117" s="325"/>
      <c r="J117" s="325"/>
    </row>
    <row r="118" spans="1:10" s="51" customFormat="1" x14ac:dyDescent="0.2">
      <c r="A118" s="58"/>
      <c r="B118" s="58"/>
      <c r="C118" s="326"/>
      <c r="D118" s="326"/>
      <c r="E118" s="326"/>
      <c r="F118" s="326"/>
      <c r="G118" s="325"/>
      <c r="H118" s="325"/>
      <c r="I118" s="325"/>
      <c r="J118" s="325"/>
    </row>
    <row r="119" spans="1:10" s="51" customFormat="1" x14ac:dyDescent="0.2">
      <c r="A119" s="58"/>
      <c r="B119" s="58"/>
      <c r="C119" s="326"/>
      <c r="D119" s="326"/>
      <c r="E119" s="326"/>
      <c r="F119" s="326"/>
      <c r="G119" s="325"/>
      <c r="H119" s="325"/>
      <c r="I119" s="325"/>
      <c r="J119" s="325"/>
    </row>
    <row r="120" spans="1:10" s="51" customFormat="1" x14ac:dyDescent="0.2">
      <c r="A120" s="58"/>
      <c r="B120" s="58"/>
      <c r="C120" s="326"/>
      <c r="D120" s="326"/>
      <c r="E120" s="326"/>
      <c r="F120" s="326"/>
      <c r="G120" s="325"/>
      <c r="H120" s="325"/>
      <c r="I120" s="325"/>
      <c r="J120" s="325"/>
    </row>
    <row r="121" spans="1:10" s="51" customFormat="1" x14ac:dyDescent="0.2">
      <c r="A121" s="58"/>
      <c r="B121" s="58"/>
      <c r="C121" s="326"/>
      <c r="D121" s="326"/>
      <c r="E121" s="326"/>
      <c r="F121" s="326"/>
      <c r="G121" s="325"/>
      <c r="H121" s="325"/>
      <c r="I121" s="325"/>
      <c r="J121" s="325"/>
    </row>
    <row r="122" spans="1:10" s="51" customFormat="1" x14ac:dyDescent="0.2">
      <c r="A122" s="58"/>
      <c r="B122" s="58"/>
      <c r="C122" s="326"/>
      <c r="D122" s="326"/>
      <c r="E122" s="326"/>
      <c r="F122" s="326"/>
      <c r="G122" s="325"/>
      <c r="H122" s="325"/>
      <c r="I122" s="325"/>
      <c r="J122" s="325"/>
    </row>
    <row r="123" spans="1:10" s="51" customFormat="1" x14ac:dyDescent="0.2">
      <c r="A123" s="58"/>
      <c r="B123" s="58"/>
      <c r="C123" s="326"/>
      <c r="D123" s="326"/>
      <c r="E123" s="326"/>
      <c r="F123" s="326"/>
      <c r="G123" s="325"/>
      <c r="H123" s="325"/>
      <c r="I123" s="325"/>
      <c r="J123" s="325"/>
    </row>
    <row r="124" spans="1:10" s="51" customFormat="1" x14ac:dyDescent="0.2">
      <c r="A124" s="58"/>
      <c r="B124" s="58"/>
      <c r="C124" s="326"/>
      <c r="D124" s="326"/>
      <c r="E124" s="326"/>
      <c r="F124" s="326"/>
      <c r="G124" s="325"/>
      <c r="H124" s="325"/>
      <c r="I124" s="325"/>
      <c r="J124" s="325"/>
    </row>
    <row r="125" spans="1:10" s="51" customFormat="1" x14ac:dyDescent="0.2">
      <c r="A125" s="58"/>
      <c r="B125" s="58"/>
      <c r="C125" s="326"/>
      <c r="D125" s="326"/>
      <c r="E125" s="326"/>
      <c r="F125" s="326"/>
      <c r="G125" s="325"/>
      <c r="H125" s="325"/>
      <c r="I125" s="325"/>
      <c r="J125" s="325"/>
    </row>
    <row r="126" spans="1:10" s="51" customFormat="1" x14ac:dyDescent="0.2">
      <c r="A126" s="58"/>
      <c r="B126" s="58"/>
      <c r="C126" s="326"/>
      <c r="D126" s="326"/>
      <c r="E126" s="326"/>
      <c r="F126" s="326"/>
      <c r="G126" s="325"/>
      <c r="H126" s="325"/>
      <c r="I126" s="325"/>
      <c r="J126" s="325"/>
    </row>
    <row r="127" spans="1:10" s="51" customFormat="1" x14ac:dyDescent="0.2">
      <c r="A127" s="58"/>
      <c r="B127" s="58"/>
      <c r="C127" s="326"/>
      <c r="D127" s="326"/>
      <c r="E127" s="326"/>
      <c r="F127" s="326"/>
      <c r="G127" s="325"/>
      <c r="H127" s="325"/>
      <c r="I127" s="325"/>
      <c r="J127" s="325"/>
    </row>
    <row r="128" spans="1:10" s="51" customFormat="1" x14ac:dyDescent="0.2">
      <c r="A128" s="58"/>
      <c r="B128" s="58"/>
      <c r="C128" s="326"/>
      <c r="D128" s="326"/>
      <c r="E128" s="326"/>
      <c r="F128" s="326"/>
      <c r="G128" s="325"/>
      <c r="H128" s="325"/>
      <c r="I128" s="325"/>
      <c r="J128" s="325"/>
    </row>
    <row r="129" spans="1:10" s="51" customFormat="1" x14ac:dyDescent="0.2">
      <c r="A129" s="58"/>
      <c r="B129" s="58"/>
      <c r="C129" s="326"/>
      <c r="D129" s="326"/>
      <c r="E129" s="326"/>
      <c r="F129" s="326"/>
      <c r="G129" s="325"/>
      <c r="H129" s="325"/>
      <c r="I129" s="325"/>
      <c r="J129" s="325"/>
    </row>
    <row r="130" spans="1:10" s="51" customFormat="1" x14ac:dyDescent="0.2">
      <c r="A130" s="58"/>
      <c r="B130" s="58"/>
      <c r="C130" s="326"/>
      <c r="D130" s="326"/>
      <c r="E130" s="326"/>
      <c r="F130" s="326"/>
      <c r="G130" s="325"/>
      <c r="H130" s="325"/>
      <c r="I130" s="325"/>
      <c r="J130" s="325"/>
    </row>
    <row r="131" spans="1:10" s="51" customFormat="1" x14ac:dyDescent="0.2">
      <c r="A131" s="58"/>
      <c r="B131" s="58"/>
      <c r="C131" s="326"/>
      <c r="D131" s="326"/>
      <c r="E131" s="326"/>
      <c r="F131" s="326"/>
      <c r="G131" s="325"/>
      <c r="H131" s="325"/>
      <c r="I131" s="325"/>
      <c r="J131" s="325"/>
    </row>
    <row r="132" spans="1:10" s="51" customFormat="1" x14ac:dyDescent="0.2">
      <c r="A132" s="58"/>
      <c r="B132" s="58"/>
      <c r="C132" s="326"/>
      <c r="D132" s="326"/>
      <c r="E132" s="326"/>
      <c r="F132" s="326"/>
      <c r="G132" s="325"/>
      <c r="H132" s="325"/>
      <c r="I132" s="325"/>
      <c r="J132" s="325"/>
    </row>
    <row r="133" spans="1:10" s="51" customFormat="1" x14ac:dyDescent="0.2">
      <c r="A133" s="58"/>
      <c r="B133" s="58"/>
      <c r="C133" s="326"/>
      <c r="D133" s="326"/>
      <c r="E133" s="326"/>
      <c r="F133" s="326"/>
      <c r="G133" s="325"/>
      <c r="H133" s="325"/>
      <c r="I133" s="325"/>
      <c r="J133" s="325"/>
    </row>
    <row r="134" spans="1:10" s="51" customFormat="1" x14ac:dyDescent="0.2">
      <c r="A134" s="58"/>
      <c r="B134" s="58"/>
      <c r="C134" s="326"/>
      <c r="D134" s="326"/>
      <c r="E134" s="326"/>
      <c r="F134" s="326"/>
      <c r="G134" s="325"/>
      <c r="H134" s="325"/>
      <c r="I134" s="325"/>
      <c r="J134" s="325"/>
    </row>
    <row r="135" spans="1:10" s="51" customFormat="1" x14ac:dyDescent="0.2">
      <c r="A135" s="58"/>
      <c r="B135" s="58"/>
      <c r="C135" s="326"/>
      <c r="D135" s="326"/>
      <c r="E135" s="326"/>
      <c r="F135" s="326"/>
      <c r="G135" s="325"/>
      <c r="H135" s="325"/>
      <c r="I135" s="325"/>
      <c r="J135" s="325"/>
    </row>
    <row r="136" spans="1:10" s="51" customFormat="1" x14ac:dyDescent="0.2">
      <c r="A136" s="58"/>
      <c r="B136" s="58"/>
      <c r="C136" s="326"/>
      <c r="D136" s="326"/>
      <c r="E136" s="326"/>
      <c r="F136" s="326"/>
      <c r="G136" s="325"/>
      <c r="H136" s="325"/>
      <c r="I136" s="325"/>
      <c r="J136" s="325"/>
    </row>
    <row r="137" spans="1:10" s="51" customFormat="1" x14ac:dyDescent="0.2">
      <c r="A137" s="58"/>
      <c r="B137" s="58"/>
      <c r="C137" s="326"/>
      <c r="D137" s="326"/>
      <c r="E137" s="326"/>
      <c r="F137" s="326"/>
      <c r="G137" s="325"/>
      <c r="H137" s="325"/>
      <c r="I137" s="325"/>
      <c r="J137" s="325"/>
    </row>
    <row r="138" spans="1:10" s="51" customFormat="1" x14ac:dyDescent="0.2">
      <c r="A138" s="58"/>
      <c r="B138" s="58"/>
      <c r="C138" s="326"/>
      <c r="D138" s="326"/>
      <c r="E138" s="326"/>
      <c r="F138" s="326"/>
      <c r="G138" s="325"/>
      <c r="H138" s="325"/>
      <c r="I138" s="325"/>
      <c r="J138" s="325"/>
    </row>
    <row r="139" spans="1:10" s="51" customFormat="1" x14ac:dyDescent="0.2">
      <c r="A139" s="58"/>
      <c r="B139" s="58"/>
      <c r="C139" s="326"/>
      <c r="D139" s="326"/>
      <c r="E139" s="326"/>
      <c r="F139" s="326"/>
      <c r="G139" s="325"/>
      <c r="H139" s="325"/>
      <c r="I139" s="325"/>
      <c r="J139" s="325"/>
    </row>
    <row r="140" spans="1:10" s="51" customFormat="1" x14ac:dyDescent="0.2">
      <c r="A140" s="58"/>
      <c r="B140" s="58"/>
      <c r="C140" s="326"/>
      <c r="D140" s="326"/>
      <c r="E140" s="326"/>
      <c r="F140" s="326"/>
      <c r="G140" s="325"/>
      <c r="H140" s="325"/>
      <c r="I140" s="325"/>
      <c r="J140" s="325"/>
    </row>
    <row r="141" spans="1:10" s="51" customFormat="1" x14ac:dyDescent="0.2">
      <c r="A141" s="58"/>
      <c r="B141" s="58"/>
      <c r="C141" s="326"/>
      <c r="D141" s="326"/>
      <c r="E141" s="326"/>
      <c r="F141" s="326"/>
      <c r="G141" s="325"/>
      <c r="H141" s="325"/>
      <c r="I141" s="325"/>
      <c r="J141" s="325"/>
    </row>
    <row r="142" spans="1:10" s="51" customFormat="1" x14ac:dyDescent="0.2">
      <c r="A142" s="58"/>
      <c r="B142" s="58"/>
      <c r="C142" s="326"/>
      <c r="D142" s="326"/>
      <c r="E142" s="326"/>
      <c r="F142" s="326"/>
      <c r="G142" s="325"/>
      <c r="H142" s="325"/>
      <c r="I142" s="325"/>
      <c r="J142" s="325"/>
    </row>
    <row r="143" spans="1:10" s="51" customFormat="1" x14ac:dyDescent="0.2">
      <c r="A143" s="58"/>
      <c r="B143" s="58"/>
      <c r="C143" s="326"/>
      <c r="D143" s="326"/>
      <c r="E143" s="326"/>
      <c r="F143" s="326"/>
      <c r="G143" s="325"/>
      <c r="H143" s="325"/>
      <c r="I143" s="325"/>
      <c r="J143" s="325"/>
    </row>
    <row r="144" spans="1:10" s="51" customFormat="1" x14ac:dyDescent="0.2">
      <c r="A144" s="58"/>
      <c r="B144" s="58"/>
      <c r="C144" s="326"/>
      <c r="D144" s="326"/>
      <c r="E144" s="326"/>
      <c r="F144" s="326"/>
      <c r="G144" s="325"/>
      <c r="H144" s="325"/>
      <c r="I144" s="325"/>
      <c r="J144" s="325"/>
    </row>
    <row r="145" spans="1:10" s="51" customFormat="1" x14ac:dyDescent="0.2">
      <c r="A145" s="58"/>
      <c r="B145" s="58"/>
      <c r="C145" s="326"/>
      <c r="D145" s="326"/>
      <c r="E145" s="326"/>
      <c r="F145" s="326"/>
      <c r="G145" s="325"/>
      <c r="H145" s="325"/>
      <c r="I145" s="325"/>
      <c r="J145" s="325"/>
    </row>
    <row r="146" spans="1:10" s="51" customFormat="1" x14ac:dyDescent="0.2">
      <c r="A146" s="58"/>
      <c r="B146" s="58"/>
      <c r="C146" s="326"/>
      <c r="D146" s="326"/>
      <c r="E146" s="326"/>
      <c r="F146" s="326"/>
      <c r="G146" s="325"/>
      <c r="H146" s="325"/>
      <c r="I146" s="325"/>
      <c r="J146" s="325"/>
    </row>
    <row r="147" spans="1:10" s="51" customFormat="1" x14ac:dyDescent="0.2">
      <c r="A147" s="58"/>
      <c r="B147" s="58"/>
      <c r="C147" s="326"/>
      <c r="D147" s="326"/>
      <c r="E147" s="326"/>
      <c r="F147" s="326"/>
      <c r="G147" s="325"/>
      <c r="H147" s="325"/>
      <c r="I147" s="325"/>
      <c r="J147" s="325"/>
    </row>
    <row r="148" spans="1:10" s="51" customFormat="1" x14ac:dyDescent="0.2">
      <c r="A148" s="58"/>
      <c r="B148" s="58"/>
      <c r="C148" s="326"/>
      <c r="D148" s="326"/>
      <c r="E148" s="326"/>
      <c r="F148" s="326"/>
      <c r="G148" s="325"/>
      <c r="H148" s="325"/>
      <c r="I148" s="325"/>
      <c r="J148" s="325"/>
    </row>
    <row r="149" spans="1:10" s="51" customFormat="1" x14ac:dyDescent="0.2">
      <c r="A149" s="58"/>
      <c r="B149" s="58"/>
      <c r="C149" s="326"/>
      <c r="D149" s="326"/>
      <c r="E149" s="326"/>
      <c r="F149" s="326"/>
      <c r="G149" s="325"/>
      <c r="H149" s="325"/>
      <c r="I149" s="325"/>
      <c r="J149" s="325"/>
    </row>
    <row r="150" spans="1:10" s="51" customFormat="1" x14ac:dyDescent="0.2">
      <c r="A150" s="58"/>
      <c r="B150" s="58"/>
      <c r="C150" s="326"/>
      <c r="D150" s="326"/>
      <c r="E150" s="326"/>
      <c r="F150" s="326"/>
      <c r="G150" s="325"/>
      <c r="H150" s="325"/>
      <c r="I150" s="325"/>
      <c r="J150" s="325"/>
    </row>
    <row r="151" spans="1:10" s="51" customFormat="1" x14ac:dyDescent="0.2">
      <c r="A151" s="58"/>
      <c r="B151" s="58"/>
      <c r="C151" s="326"/>
      <c r="D151" s="326"/>
      <c r="E151" s="326"/>
      <c r="F151" s="326"/>
      <c r="G151" s="325"/>
      <c r="H151" s="325"/>
      <c r="I151" s="325"/>
      <c r="J151" s="325"/>
    </row>
    <row r="152" spans="1:10" s="51" customFormat="1" x14ac:dyDescent="0.2">
      <c r="A152" s="58"/>
      <c r="B152" s="58"/>
      <c r="C152" s="326"/>
      <c r="D152" s="326"/>
      <c r="E152" s="326"/>
      <c r="F152" s="326"/>
      <c r="G152" s="325"/>
      <c r="H152" s="325"/>
      <c r="I152" s="325"/>
      <c r="J152" s="325"/>
    </row>
    <row r="153" spans="1:10" s="51" customFormat="1" x14ac:dyDescent="0.2">
      <c r="A153" s="58"/>
      <c r="B153" s="58"/>
      <c r="C153" s="326"/>
      <c r="D153" s="326"/>
      <c r="E153" s="326"/>
      <c r="F153" s="326"/>
      <c r="G153" s="325"/>
      <c r="H153" s="325"/>
      <c r="I153" s="325"/>
      <c r="J153" s="325"/>
    </row>
    <row r="154" spans="1:10" s="51" customFormat="1" x14ac:dyDescent="0.2">
      <c r="A154" s="58"/>
      <c r="B154" s="58"/>
      <c r="C154" s="326"/>
      <c r="D154" s="326"/>
      <c r="E154" s="326"/>
      <c r="F154" s="326"/>
      <c r="G154" s="325"/>
      <c r="H154" s="325"/>
      <c r="I154" s="325"/>
      <c r="J154" s="325"/>
    </row>
    <row r="155" spans="1:10" s="51" customFormat="1" x14ac:dyDescent="0.2">
      <c r="A155" s="58"/>
      <c r="B155" s="58"/>
      <c r="C155" s="326"/>
      <c r="D155" s="326"/>
      <c r="E155" s="326"/>
      <c r="F155" s="326"/>
      <c r="G155" s="325"/>
      <c r="H155" s="325"/>
      <c r="I155" s="325"/>
      <c r="J155" s="325"/>
    </row>
    <row r="156" spans="1:10" s="51" customFormat="1" x14ac:dyDescent="0.2">
      <c r="A156" s="58"/>
      <c r="B156" s="58"/>
      <c r="C156" s="326"/>
      <c r="D156" s="326"/>
      <c r="E156" s="326"/>
      <c r="F156" s="326"/>
      <c r="G156" s="325"/>
      <c r="H156" s="325"/>
      <c r="I156" s="325"/>
      <c r="J156" s="325"/>
    </row>
    <row r="157" spans="1:10" s="51" customFormat="1" x14ac:dyDescent="0.2">
      <c r="A157" s="58"/>
      <c r="B157" s="58"/>
      <c r="C157" s="326"/>
      <c r="D157" s="326"/>
      <c r="E157" s="326"/>
      <c r="F157" s="326"/>
      <c r="G157" s="325"/>
      <c r="H157" s="325"/>
      <c r="I157" s="325"/>
      <c r="J157" s="325"/>
    </row>
    <row r="158" spans="1:10" s="51" customFormat="1" x14ac:dyDescent="0.2">
      <c r="A158" s="58"/>
      <c r="B158" s="58"/>
      <c r="C158" s="326"/>
      <c r="D158" s="326"/>
      <c r="E158" s="326"/>
      <c r="F158" s="326"/>
      <c r="G158" s="325"/>
      <c r="H158" s="325"/>
      <c r="I158" s="325"/>
      <c r="J158" s="325"/>
    </row>
    <row r="159" spans="1:10" s="51" customFormat="1" x14ac:dyDescent="0.2">
      <c r="A159" s="58"/>
      <c r="B159" s="58"/>
      <c r="C159" s="326"/>
      <c r="D159" s="326"/>
      <c r="E159" s="326"/>
      <c r="F159" s="326"/>
      <c r="G159" s="325"/>
      <c r="H159" s="325"/>
      <c r="I159" s="325"/>
      <c r="J159" s="325"/>
    </row>
    <row r="160" spans="1:10" s="51" customFormat="1" x14ac:dyDescent="0.2">
      <c r="A160" s="58"/>
      <c r="B160" s="58"/>
      <c r="C160" s="326"/>
      <c r="D160" s="326"/>
      <c r="E160" s="326"/>
      <c r="F160" s="326"/>
      <c r="G160" s="325"/>
      <c r="H160" s="325"/>
      <c r="I160" s="325"/>
      <c r="J160" s="325"/>
    </row>
    <row r="161" spans="1:10" s="51" customFormat="1" x14ac:dyDescent="0.2">
      <c r="A161" s="58"/>
      <c r="B161" s="58"/>
      <c r="C161" s="326"/>
      <c r="D161" s="326"/>
      <c r="E161" s="326"/>
      <c r="F161" s="326"/>
      <c r="G161" s="325"/>
      <c r="H161" s="325"/>
      <c r="I161" s="325"/>
      <c r="J161" s="325"/>
    </row>
    <row r="162" spans="1:10" s="51" customFormat="1" x14ac:dyDescent="0.2">
      <c r="A162" s="58"/>
      <c r="B162" s="58"/>
      <c r="C162" s="326"/>
      <c r="D162" s="326"/>
      <c r="E162" s="326"/>
      <c r="F162" s="326"/>
      <c r="G162" s="325"/>
      <c r="H162" s="325"/>
      <c r="I162" s="325"/>
      <c r="J162" s="325"/>
    </row>
    <row r="163" spans="1:10" s="51" customFormat="1" x14ac:dyDescent="0.2">
      <c r="A163" s="58"/>
      <c r="B163" s="58"/>
      <c r="C163" s="326"/>
      <c r="D163" s="326"/>
      <c r="E163" s="326"/>
      <c r="F163" s="326"/>
      <c r="G163" s="325"/>
      <c r="H163" s="325"/>
      <c r="I163" s="325"/>
      <c r="J163" s="325"/>
    </row>
    <row r="164" spans="1:10" s="51" customFormat="1" x14ac:dyDescent="0.2">
      <c r="A164" s="58"/>
      <c r="B164" s="58"/>
      <c r="C164" s="326"/>
      <c r="D164" s="326"/>
      <c r="E164" s="326"/>
      <c r="F164" s="326"/>
      <c r="G164" s="325"/>
      <c r="H164" s="325"/>
      <c r="I164" s="325"/>
      <c r="J164" s="325"/>
    </row>
    <row r="165" spans="1:10" s="51" customFormat="1" x14ac:dyDescent="0.2">
      <c r="A165" s="58"/>
      <c r="B165" s="58"/>
      <c r="C165" s="326"/>
      <c r="D165" s="326"/>
      <c r="E165" s="326"/>
      <c r="F165" s="326"/>
      <c r="G165" s="325"/>
      <c r="H165" s="325"/>
      <c r="I165" s="325"/>
      <c r="J165" s="325"/>
    </row>
    <row r="166" spans="1:10" s="51" customFormat="1" x14ac:dyDescent="0.2">
      <c r="A166" s="58"/>
      <c r="B166" s="58"/>
      <c r="C166" s="326"/>
      <c r="D166" s="326"/>
      <c r="E166" s="326"/>
      <c r="F166" s="326"/>
      <c r="G166" s="325"/>
      <c r="H166" s="325"/>
      <c r="I166" s="325"/>
      <c r="J166" s="325"/>
    </row>
    <row r="167" spans="1:10" s="51" customFormat="1" x14ac:dyDescent="0.2">
      <c r="A167" s="58"/>
      <c r="B167" s="58"/>
      <c r="C167" s="326"/>
      <c r="D167" s="326"/>
      <c r="E167" s="326"/>
      <c r="F167" s="326"/>
      <c r="G167" s="325"/>
      <c r="H167" s="325"/>
      <c r="I167" s="325"/>
      <c r="J167" s="325"/>
    </row>
    <row r="168" spans="1:10" s="51" customFormat="1" x14ac:dyDescent="0.2">
      <c r="A168" s="58"/>
      <c r="B168" s="58"/>
      <c r="C168" s="326"/>
      <c r="D168" s="326"/>
      <c r="E168" s="326"/>
      <c r="F168" s="326"/>
      <c r="G168" s="325"/>
      <c r="H168" s="325"/>
      <c r="I168" s="325"/>
      <c r="J168" s="325"/>
    </row>
    <row r="169" spans="1:10" s="51" customFormat="1" x14ac:dyDescent="0.2">
      <c r="A169" s="58"/>
      <c r="B169" s="58"/>
      <c r="C169" s="326"/>
      <c r="D169" s="326"/>
      <c r="E169" s="326"/>
      <c r="F169" s="326"/>
      <c r="G169" s="325"/>
      <c r="H169" s="325"/>
      <c r="I169" s="325"/>
      <c r="J169" s="325"/>
    </row>
    <row r="170" spans="1:10" s="51" customFormat="1" x14ac:dyDescent="0.2">
      <c r="A170" s="58"/>
      <c r="B170" s="58"/>
      <c r="C170" s="326"/>
      <c r="D170" s="326"/>
      <c r="E170" s="326"/>
      <c r="F170" s="326"/>
      <c r="G170" s="325"/>
      <c r="H170" s="325"/>
      <c r="I170" s="325"/>
      <c r="J170" s="325"/>
    </row>
    <row r="171" spans="1:10" s="51" customFormat="1" x14ac:dyDescent="0.2">
      <c r="A171" s="58"/>
      <c r="B171" s="58"/>
      <c r="C171" s="326"/>
      <c r="D171" s="326"/>
      <c r="E171" s="326"/>
      <c r="F171" s="326"/>
      <c r="G171" s="325"/>
      <c r="H171" s="325"/>
      <c r="I171" s="325"/>
      <c r="J171" s="325"/>
    </row>
    <row r="172" spans="1:10" s="51" customFormat="1" x14ac:dyDescent="0.2">
      <c r="A172" s="58"/>
      <c r="B172" s="58"/>
      <c r="C172" s="326"/>
      <c r="D172" s="326"/>
      <c r="E172" s="326"/>
      <c r="F172" s="326"/>
      <c r="G172" s="325"/>
      <c r="H172" s="325"/>
      <c r="I172" s="325"/>
      <c r="J172" s="325"/>
    </row>
    <row r="173" spans="1:10" s="51" customFormat="1" x14ac:dyDescent="0.2">
      <c r="A173" s="58"/>
      <c r="B173" s="58"/>
      <c r="C173" s="326"/>
      <c r="D173" s="326"/>
      <c r="E173" s="326"/>
      <c r="F173" s="326"/>
      <c r="G173" s="325"/>
      <c r="H173" s="325"/>
      <c r="I173" s="325"/>
      <c r="J173" s="325"/>
    </row>
    <row r="174" spans="1:10" s="51" customFormat="1" x14ac:dyDescent="0.2">
      <c r="A174" s="58"/>
      <c r="B174" s="58"/>
      <c r="C174" s="326"/>
      <c r="D174" s="326"/>
      <c r="E174" s="326"/>
      <c r="F174" s="326"/>
      <c r="G174" s="325"/>
      <c r="H174" s="325"/>
      <c r="I174" s="325"/>
      <c r="J174" s="325"/>
    </row>
    <row r="175" spans="1:10" s="51" customFormat="1" x14ac:dyDescent="0.2">
      <c r="A175" s="58"/>
      <c r="B175" s="58"/>
      <c r="C175" s="326"/>
      <c r="D175" s="326"/>
      <c r="E175" s="326"/>
      <c r="F175" s="326"/>
      <c r="G175" s="325"/>
      <c r="H175" s="325"/>
      <c r="I175" s="325"/>
      <c r="J175" s="325"/>
    </row>
    <row r="176" spans="1:10" s="51" customFormat="1" x14ac:dyDescent="0.2">
      <c r="A176" s="58"/>
      <c r="B176" s="58"/>
      <c r="C176" s="326"/>
      <c r="D176" s="326"/>
      <c r="E176" s="326"/>
      <c r="F176" s="326"/>
      <c r="G176" s="325"/>
      <c r="H176" s="325"/>
      <c r="I176" s="325"/>
      <c r="J176" s="325"/>
    </row>
    <row r="177" spans="1:10" s="51" customFormat="1" x14ac:dyDescent="0.2">
      <c r="A177" s="58"/>
      <c r="B177" s="58"/>
      <c r="C177" s="326"/>
      <c r="D177" s="326"/>
      <c r="E177" s="326"/>
      <c r="F177" s="326"/>
      <c r="G177" s="325"/>
      <c r="H177" s="325"/>
      <c r="I177" s="325"/>
      <c r="J177" s="325"/>
    </row>
    <row r="178" spans="1:10" s="51" customFormat="1" x14ac:dyDescent="0.2">
      <c r="A178" s="58"/>
      <c r="B178" s="58"/>
      <c r="C178" s="326"/>
      <c r="D178" s="326"/>
      <c r="E178" s="326"/>
      <c r="F178" s="326"/>
      <c r="G178" s="325"/>
      <c r="H178" s="325"/>
      <c r="I178" s="325"/>
      <c r="J178" s="325"/>
    </row>
    <row r="179" spans="1:10" s="51" customFormat="1" x14ac:dyDescent="0.2">
      <c r="A179" s="58"/>
      <c r="B179" s="58"/>
      <c r="C179" s="326"/>
      <c r="D179" s="326"/>
      <c r="E179" s="326"/>
      <c r="F179" s="326"/>
      <c r="G179" s="325"/>
      <c r="H179" s="325"/>
      <c r="I179" s="325"/>
      <c r="J179" s="325"/>
    </row>
    <row r="180" spans="1:10" s="51" customFormat="1" x14ac:dyDescent="0.2">
      <c r="A180" s="58"/>
      <c r="B180" s="58"/>
      <c r="C180" s="326"/>
      <c r="D180" s="326"/>
      <c r="E180" s="326"/>
      <c r="F180" s="326"/>
      <c r="G180" s="325"/>
      <c r="H180" s="325"/>
      <c r="I180" s="325"/>
      <c r="J180" s="325"/>
    </row>
    <row r="181" spans="1:10" s="51" customFormat="1" x14ac:dyDescent="0.2">
      <c r="A181" s="58"/>
      <c r="B181" s="58"/>
      <c r="C181" s="326"/>
      <c r="D181" s="326"/>
      <c r="E181" s="326"/>
      <c r="F181" s="326"/>
      <c r="G181" s="325"/>
      <c r="H181" s="325"/>
      <c r="I181" s="325"/>
      <c r="J181" s="325"/>
    </row>
    <row r="182" spans="1:10" s="51" customFormat="1" x14ac:dyDescent="0.2">
      <c r="A182" s="58"/>
      <c r="B182" s="58"/>
      <c r="C182" s="326"/>
      <c r="D182" s="326"/>
      <c r="E182" s="326"/>
      <c r="F182" s="326"/>
      <c r="G182" s="325"/>
      <c r="H182" s="325"/>
      <c r="I182" s="325"/>
      <c r="J182" s="325"/>
    </row>
    <row r="183" spans="1:10" s="51" customFormat="1" x14ac:dyDescent="0.2">
      <c r="A183" s="58"/>
      <c r="B183" s="58"/>
      <c r="C183" s="326"/>
      <c r="D183" s="326"/>
      <c r="E183" s="326"/>
      <c r="F183" s="326"/>
      <c r="G183" s="325"/>
      <c r="H183" s="325"/>
      <c r="I183" s="325"/>
      <c r="J183" s="325"/>
    </row>
    <row r="184" spans="1:10" s="51" customFormat="1" x14ac:dyDescent="0.2">
      <c r="A184" s="58"/>
      <c r="B184" s="58"/>
      <c r="C184" s="326"/>
      <c r="D184" s="326"/>
      <c r="E184" s="326"/>
      <c r="F184" s="326"/>
      <c r="G184" s="325"/>
      <c r="H184" s="325"/>
      <c r="I184" s="325"/>
      <c r="J184" s="325"/>
    </row>
    <row r="185" spans="1:10" s="51" customFormat="1" x14ac:dyDescent="0.2">
      <c r="A185" s="58"/>
      <c r="B185" s="58"/>
      <c r="C185" s="326"/>
      <c r="D185" s="326"/>
      <c r="E185" s="326"/>
      <c r="F185" s="326"/>
      <c r="G185" s="325"/>
      <c r="H185" s="325"/>
      <c r="I185" s="325"/>
      <c r="J185" s="325"/>
    </row>
    <row r="186" spans="1:10" s="51" customFormat="1" x14ac:dyDescent="0.2">
      <c r="A186" s="58"/>
      <c r="B186" s="58"/>
      <c r="C186" s="326"/>
      <c r="D186" s="326"/>
      <c r="E186" s="326"/>
      <c r="F186" s="326"/>
      <c r="G186" s="325"/>
      <c r="H186" s="325"/>
      <c r="I186" s="325"/>
      <c r="J186" s="325"/>
    </row>
    <row r="187" spans="1:10" s="51" customFormat="1" x14ac:dyDescent="0.2">
      <c r="A187" s="58"/>
      <c r="B187" s="58"/>
      <c r="C187" s="326"/>
      <c r="D187" s="326"/>
      <c r="E187" s="326"/>
      <c r="F187" s="326"/>
      <c r="G187" s="325"/>
      <c r="H187" s="325"/>
      <c r="I187" s="325"/>
      <c r="J187" s="325"/>
    </row>
    <row r="188" spans="1:10" s="51" customFormat="1" x14ac:dyDescent="0.2">
      <c r="A188" s="58"/>
      <c r="B188" s="58"/>
      <c r="C188" s="326"/>
      <c r="D188" s="326"/>
      <c r="E188" s="326"/>
      <c r="F188" s="326"/>
      <c r="G188" s="325"/>
      <c r="H188" s="325"/>
      <c r="I188" s="325"/>
      <c r="J188" s="325"/>
    </row>
    <row r="189" spans="1:10" s="51" customFormat="1" x14ac:dyDescent="0.2">
      <c r="A189" s="58"/>
      <c r="B189" s="58"/>
      <c r="C189" s="326"/>
      <c r="D189" s="326"/>
      <c r="E189" s="326"/>
      <c r="F189" s="326"/>
      <c r="G189" s="325"/>
      <c r="H189" s="325"/>
      <c r="I189" s="325"/>
      <c r="J189" s="325"/>
    </row>
    <row r="190" spans="1:10" s="51" customFormat="1" x14ac:dyDescent="0.2">
      <c r="A190" s="58"/>
      <c r="B190" s="58"/>
      <c r="C190" s="326"/>
      <c r="D190" s="326"/>
      <c r="E190" s="326"/>
      <c r="F190" s="326"/>
      <c r="G190" s="325"/>
      <c r="H190" s="325"/>
      <c r="I190" s="325"/>
      <c r="J190" s="325"/>
    </row>
    <row r="191" spans="1:10" s="51" customFormat="1" x14ac:dyDescent="0.2">
      <c r="A191" s="58"/>
      <c r="B191" s="58"/>
      <c r="C191" s="326"/>
      <c r="D191" s="326"/>
      <c r="E191" s="326"/>
      <c r="F191" s="326"/>
      <c r="G191" s="325"/>
      <c r="H191" s="325"/>
      <c r="I191" s="325"/>
      <c r="J191" s="325"/>
    </row>
    <row r="192" spans="1:10" s="51" customFormat="1" x14ac:dyDescent="0.2">
      <c r="A192" s="58"/>
      <c r="B192" s="58"/>
      <c r="C192" s="326"/>
      <c r="D192" s="326"/>
      <c r="E192" s="326"/>
      <c r="F192" s="326"/>
      <c r="G192" s="325"/>
      <c r="H192" s="325"/>
      <c r="I192" s="325"/>
      <c r="J192" s="325"/>
    </row>
    <row r="193" spans="1:10" s="51" customFormat="1" x14ac:dyDescent="0.2">
      <c r="A193" s="58"/>
      <c r="B193" s="58"/>
      <c r="C193" s="326"/>
      <c r="D193" s="326"/>
      <c r="E193" s="326"/>
      <c r="F193" s="326"/>
      <c r="G193" s="325"/>
      <c r="H193" s="325"/>
      <c r="I193" s="325"/>
      <c r="J193" s="325"/>
    </row>
    <row r="194" spans="1:10" s="51" customFormat="1" x14ac:dyDescent="0.2">
      <c r="A194" s="58"/>
      <c r="B194" s="58"/>
      <c r="C194" s="326"/>
      <c r="D194" s="326"/>
      <c r="E194" s="326"/>
      <c r="F194" s="326"/>
      <c r="G194" s="325"/>
      <c r="H194" s="325"/>
      <c r="I194" s="325"/>
      <c r="J194" s="325"/>
    </row>
    <row r="195" spans="1:10" s="51" customFormat="1" x14ac:dyDescent="0.2">
      <c r="A195" s="58"/>
      <c r="B195" s="58"/>
      <c r="C195" s="326"/>
      <c r="D195" s="326"/>
      <c r="E195" s="326"/>
      <c r="F195" s="326"/>
      <c r="G195" s="325"/>
      <c r="H195" s="325"/>
      <c r="I195" s="325"/>
      <c r="J195" s="325"/>
    </row>
    <row r="196" spans="1:10" s="51" customFormat="1" x14ac:dyDescent="0.2">
      <c r="A196" s="58"/>
      <c r="B196" s="58"/>
      <c r="C196" s="326"/>
      <c r="D196" s="326"/>
      <c r="E196" s="326"/>
      <c r="F196" s="326"/>
      <c r="G196" s="325"/>
      <c r="H196" s="325"/>
      <c r="I196" s="325"/>
      <c r="J196" s="325"/>
    </row>
    <row r="197" spans="1:10" s="51" customFormat="1" x14ac:dyDescent="0.2">
      <c r="A197" s="58"/>
      <c r="B197" s="58"/>
      <c r="C197" s="326"/>
      <c r="D197" s="326"/>
      <c r="E197" s="326"/>
      <c r="F197" s="326"/>
      <c r="G197" s="325"/>
      <c r="H197" s="325"/>
      <c r="I197" s="325"/>
      <c r="J197" s="325"/>
    </row>
    <row r="198" spans="1:10" s="51" customFormat="1" x14ac:dyDescent="0.2">
      <c r="A198" s="58"/>
      <c r="B198" s="58"/>
      <c r="C198" s="326"/>
      <c r="D198" s="326"/>
      <c r="E198" s="326"/>
      <c r="F198" s="326"/>
      <c r="G198" s="325"/>
      <c r="H198" s="325"/>
      <c r="I198" s="325"/>
      <c r="J198" s="325"/>
    </row>
    <row r="199" spans="1:10" s="51" customFormat="1" x14ac:dyDescent="0.2">
      <c r="A199" s="58"/>
      <c r="B199" s="58"/>
      <c r="C199" s="326"/>
      <c r="D199" s="326"/>
      <c r="E199" s="326"/>
      <c r="F199" s="326"/>
      <c r="G199" s="325"/>
      <c r="H199" s="325"/>
      <c r="I199" s="325"/>
      <c r="J199" s="325"/>
    </row>
    <row r="200" spans="1:10" s="51" customFormat="1" x14ac:dyDescent="0.2">
      <c r="A200" s="58"/>
      <c r="B200" s="58"/>
      <c r="C200" s="326"/>
      <c r="D200" s="326"/>
      <c r="E200" s="326"/>
      <c r="F200" s="326"/>
      <c r="G200" s="325"/>
      <c r="H200" s="325"/>
      <c r="I200" s="325"/>
      <c r="J200" s="325"/>
    </row>
    <row r="201" spans="1:10" s="51" customFormat="1" x14ac:dyDescent="0.2">
      <c r="A201" s="58"/>
      <c r="B201" s="58"/>
      <c r="C201" s="326"/>
      <c r="D201" s="326"/>
      <c r="E201" s="326"/>
      <c r="F201" s="326"/>
      <c r="G201" s="325"/>
      <c r="H201" s="325"/>
      <c r="I201" s="325"/>
      <c r="J201" s="325"/>
    </row>
    <row r="202" spans="1:10" s="51" customFormat="1" x14ac:dyDescent="0.2">
      <c r="A202" s="58"/>
      <c r="B202" s="58"/>
      <c r="C202" s="326"/>
      <c r="D202" s="326"/>
      <c r="E202" s="326"/>
      <c r="F202" s="326"/>
      <c r="G202" s="325"/>
      <c r="H202" s="325"/>
      <c r="I202" s="325"/>
      <c r="J202" s="325"/>
    </row>
    <row r="203" spans="1:10" s="51" customFormat="1" x14ac:dyDescent="0.2">
      <c r="A203" s="58"/>
      <c r="B203" s="58"/>
      <c r="C203" s="326"/>
      <c r="D203" s="326"/>
      <c r="E203" s="326"/>
      <c r="F203" s="326"/>
      <c r="G203" s="325"/>
      <c r="H203" s="325"/>
      <c r="I203" s="325"/>
      <c r="J203" s="325"/>
    </row>
    <row r="204" spans="1:10" s="51" customFormat="1" x14ac:dyDescent="0.2">
      <c r="A204" s="58"/>
      <c r="B204" s="58"/>
      <c r="C204" s="326"/>
      <c r="D204" s="326"/>
      <c r="E204" s="326"/>
      <c r="F204" s="326"/>
      <c r="G204" s="325"/>
      <c r="H204" s="325"/>
      <c r="I204" s="325"/>
      <c r="J204" s="325"/>
    </row>
    <row r="205" spans="1:10" s="51" customFormat="1" x14ac:dyDescent="0.2">
      <c r="A205" s="58"/>
      <c r="B205" s="58"/>
      <c r="C205" s="326"/>
      <c r="D205" s="326"/>
      <c r="E205" s="326"/>
      <c r="F205" s="326"/>
      <c r="G205" s="325"/>
      <c r="H205" s="325"/>
      <c r="I205" s="325"/>
      <c r="J205" s="325"/>
    </row>
    <row r="206" spans="1:10" s="51" customFormat="1" x14ac:dyDescent="0.2">
      <c r="A206" s="58"/>
      <c r="B206" s="58"/>
      <c r="C206" s="326"/>
      <c r="D206" s="326"/>
      <c r="E206" s="326"/>
      <c r="F206" s="326"/>
      <c r="G206" s="325"/>
      <c r="H206" s="325"/>
      <c r="I206" s="325"/>
      <c r="J206" s="325"/>
    </row>
    <row r="207" spans="1:10" s="51" customFormat="1" x14ac:dyDescent="0.2">
      <c r="A207" s="58"/>
      <c r="B207" s="58"/>
      <c r="C207" s="326"/>
      <c r="D207" s="326"/>
      <c r="E207" s="326"/>
      <c r="F207" s="326"/>
      <c r="G207" s="325"/>
      <c r="H207" s="325"/>
      <c r="I207" s="325"/>
      <c r="J207" s="325"/>
    </row>
    <row r="208" spans="1:10" s="51" customFormat="1" x14ac:dyDescent="0.2">
      <c r="A208" s="58"/>
      <c r="B208" s="58"/>
      <c r="C208" s="326"/>
      <c r="D208" s="326"/>
      <c r="E208" s="326"/>
      <c r="F208" s="326"/>
      <c r="G208" s="325"/>
      <c r="H208" s="325"/>
      <c r="I208" s="325"/>
      <c r="J208" s="325"/>
    </row>
    <row r="209" spans="1:10" s="51" customFormat="1" x14ac:dyDescent="0.2">
      <c r="A209" s="58"/>
      <c r="B209" s="58"/>
      <c r="C209" s="326"/>
      <c r="D209" s="326"/>
      <c r="E209" s="326"/>
      <c r="F209" s="326"/>
      <c r="G209" s="325"/>
      <c r="H209" s="325"/>
      <c r="I209" s="325"/>
      <c r="J209" s="325"/>
    </row>
    <row r="210" spans="1:10" s="51" customFormat="1" x14ac:dyDescent="0.2">
      <c r="A210" s="58"/>
      <c r="B210" s="58"/>
      <c r="C210" s="326"/>
      <c r="D210" s="326"/>
      <c r="E210" s="326"/>
      <c r="F210" s="326"/>
      <c r="G210" s="325"/>
      <c r="H210" s="325"/>
      <c r="I210" s="325"/>
      <c r="J210" s="325"/>
    </row>
    <row r="211" spans="1:10" s="51" customFormat="1" x14ac:dyDescent="0.2">
      <c r="A211" s="58"/>
      <c r="B211" s="58"/>
      <c r="C211" s="326"/>
      <c r="D211" s="326"/>
      <c r="E211" s="326"/>
      <c r="F211" s="326"/>
      <c r="G211" s="325"/>
      <c r="H211" s="325"/>
      <c r="I211" s="325"/>
      <c r="J211" s="325"/>
    </row>
    <row r="212" spans="1:10" s="51" customFormat="1" x14ac:dyDescent="0.2">
      <c r="A212" s="58"/>
      <c r="B212" s="58"/>
      <c r="C212" s="326"/>
      <c r="D212" s="326"/>
      <c r="E212" s="326"/>
      <c r="F212" s="326"/>
      <c r="G212" s="325"/>
      <c r="H212" s="325"/>
      <c r="I212" s="325"/>
      <c r="J212" s="325"/>
    </row>
    <row r="213" spans="1:10" s="51" customFormat="1" x14ac:dyDescent="0.2">
      <c r="A213" s="58"/>
      <c r="B213" s="58"/>
      <c r="C213" s="326"/>
      <c r="D213" s="326"/>
      <c r="E213" s="326"/>
      <c r="F213" s="326"/>
      <c r="G213" s="325"/>
      <c r="H213" s="325"/>
      <c r="I213" s="325"/>
      <c r="J213" s="325"/>
    </row>
    <row r="214" spans="1:10" s="51" customFormat="1" x14ac:dyDescent="0.2">
      <c r="A214" s="58"/>
      <c r="B214" s="58"/>
      <c r="C214" s="326"/>
      <c r="D214" s="326"/>
      <c r="E214" s="326"/>
      <c r="F214" s="326"/>
      <c r="G214" s="325"/>
      <c r="H214" s="325"/>
      <c r="I214" s="325"/>
      <c r="J214" s="325"/>
    </row>
    <row r="215" spans="1:10" s="51" customFormat="1" x14ac:dyDescent="0.2">
      <c r="A215" s="58"/>
      <c r="B215" s="58"/>
      <c r="C215" s="326"/>
      <c r="D215" s="326"/>
      <c r="E215" s="326"/>
      <c r="F215" s="326"/>
      <c r="G215" s="325"/>
      <c r="H215" s="325"/>
      <c r="I215" s="325"/>
      <c r="J215" s="325"/>
    </row>
    <row r="216" spans="1:10" s="51" customFormat="1" x14ac:dyDescent="0.2">
      <c r="A216" s="58"/>
      <c r="B216" s="58"/>
      <c r="C216" s="326"/>
      <c r="D216" s="326"/>
      <c r="E216" s="326"/>
      <c r="F216" s="326"/>
      <c r="G216" s="325"/>
      <c r="H216" s="325"/>
      <c r="I216" s="325"/>
      <c r="J216" s="325"/>
    </row>
    <row r="217" spans="1:10" s="51" customFormat="1" x14ac:dyDescent="0.2">
      <c r="A217" s="58"/>
      <c r="B217" s="58"/>
      <c r="C217" s="326"/>
      <c r="D217" s="326"/>
      <c r="E217" s="326"/>
      <c r="F217" s="326"/>
      <c r="G217" s="325"/>
      <c r="H217" s="325"/>
      <c r="I217" s="325"/>
      <c r="J217" s="325"/>
    </row>
    <row r="218" spans="1:10" s="51" customFormat="1" x14ac:dyDescent="0.2">
      <c r="A218" s="58"/>
      <c r="B218" s="58"/>
      <c r="C218" s="326"/>
      <c r="D218" s="326"/>
      <c r="E218" s="326"/>
      <c r="F218" s="326"/>
      <c r="G218" s="325"/>
      <c r="H218" s="325"/>
      <c r="I218" s="325"/>
      <c r="J218" s="325"/>
    </row>
    <row r="219" spans="1:10" s="51" customFormat="1" x14ac:dyDescent="0.2">
      <c r="A219" s="58"/>
      <c r="B219" s="58"/>
      <c r="C219" s="326"/>
      <c r="D219" s="326"/>
      <c r="E219" s="326"/>
      <c r="F219" s="326"/>
      <c r="G219" s="325"/>
      <c r="H219" s="325"/>
      <c r="I219" s="325"/>
      <c r="J219" s="325"/>
    </row>
    <row r="220" spans="1:10" s="51" customFormat="1" x14ac:dyDescent="0.2">
      <c r="A220" s="58"/>
      <c r="B220" s="58"/>
      <c r="C220" s="326"/>
      <c r="D220" s="326"/>
      <c r="E220" s="326"/>
      <c r="F220" s="326"/>
      <c r="G220" s="325"/>
      <c r="H220" s="325"/>
      <c r="I220" s="325"/>
      <c r="J220" s="325"/>
    </row>
    <row r="221" spans="1:10" s="51" customFormat="1" x14ac:dyDescent="0.2">
      <c r="A221" s="58"/>
      <c r="B221" s="58"/>
      <c r="C221" s="326"/>
      <c r="D221" s="326"/>
      <c r="E221" s="326"/>
      <c r="F221" s="326"/>
      <c r="G221" s="325"/>
      <c r="H221" s="325"/>
      <c r="I221" s="325"/>
      <c r="J221" s="325"/>
    </row>
    <row r="222" spans="1:10" s="51" customFormat="1" x14ac:dyDescent="0.2">
      <c r="A222" s="58"/>
      <c r="B222" s="58"/>
      <c r="C222" s="326"/>
      <c r="D222" s="326"/>
      <c r="E222" s="326"/>
      <c r="F222" s="326"/>
      <c r="G222" s="325"/>
      <c r="H222" s="325"/>
      <c r="I222" s="325"/>
      <c r="J222" s="325"/>
    </row>
    <row r="223" spans="1:10" s="51" customFormat="1" x14ac:dyDescent="0.2">
      <c r="A223" s="58"/>
      <c r="B223" s="58"/>
      <c r="C223" s="326"/>
      <c r="D223" s="326"/>
      <c r="E223" s="326"/>
      <c r="F223" s="326"/>
      <c r="G223" s="325"/>
      <c r="H223" s="325"/>
      <c r="I223" s="325"/>
      <c r="J223" s="325"/>
    </row>
    <row r="224" spans="1:10" s="51" customFormat="1" x14ac:dyDescent="0.2">
      <c r="A224" s="58"/>
      <c r="B224" s="58"/>
      <c r="C224" s="326"/>
      <c r="D224" s="326"/>
      <c r="E224" s="326"/>
      <c r="F224" s="326"/>
      <c r="G224" s="325"/>
      <c r="H224" s="325"/>
      <c r="I224" s="325"/>
      <c r="J224" s="325"/>
    </row>
    <row r="225" spans="1:10" s="51" customFormat="1" x14ac:dyDescent="0.2">
      <c r="A225" s="58"/>
      <c r="B225" s="58"/>
      <c r="C225" s="326"/>
      <c r="D225" s="326"/>
      <c r="E225" s="326"/>
      <c r="F225" s="326"/>
      <c r="G225" s="325"/>
      <c r="H225" s="325"/>
      <c r="I225" s="325"/>
      <c r="J225" s="325"/>
    </row>
    <row r="226" spans="1:10" s="51" customFormat="1" x14ac:dyDescent="0.2">
      <c r="A226" s="58"/>
      <c r="B226" s="58"/>
      <c r="C226" s="326"/>
      <c r="D226" s="326"/>
      <c r="E226" s="326"/>
      <c r="F226" s="326"/>
      <c r="G226" s="325"/>
      <c r="H226" s="325"/>
      <c r="I226" s="325"/>
      <c r="J226" s="325"/>
    </row>
    <row r="227" spans="1:10" s="51" customFormat="1" x14ac:dyDescent="0.2">
      <c r="A227" s="58"/>
      <c r="B227" s="58"/>
      <c r="C227" s="326"/>
      <c r="D227" s="326"/>
      <c r="E227" s="326"/>
      <c r="F227" s="326"/>
      <c r="G227" s="325"/>
      <c r="H227" s="325"/>
      <c r="I227" s="325"/>
      <c r="J227" s="325"/>
    </row>
    <row r="228" spans="1:10" s="51" customFormat="1" x14ac:dyDescent="0.2">
      <c r="A228" s="58"/>
      <c r="B228" s="58"/>
      <c r="C228" s="326"/>
      <c r="D228" s="326"/>
      <c r="E228" s="326"/>
      <c r="F228" s="326"/>
      <c r="G228" s="325"/>
      <c r="H228" s="325"/>
      <c r="I228" s="325"/>
      <c r="J228" s="325"/>
    </row>
    <row r="229" spans="1:10" s="51" customFormat="1" x14ac:dyDescent="0.2">
      <c r="A229" s="58"/>
      <c r="B229" s="58"/>
      <c r="C229" s="326"/>
      <c r="D229" s="326"/>
      <c r="E229" s="326"/>
      <c r="F229" s="326"/>
      <c r="G229" s="325"/>
      <c r="H229" s="325"/>
      <c r="I229" s="325"/>
      <c r="J229" s="325"/>
    </row>
    <row r="230" spans="1:10" s="51" customFormat="1" x14ac:dyDescent="0.2">
      <c r="A230" s="58"/>
      <c r="B230" s="58"/>
      <c r="C230" s="326"/>
      <c r="D230" s="326"/>
      <c r="E230" s="326"/>
      <c r="F230" s="326"/>
      <c r="G230" s="325"/>
      <c r="H230" s="325"/>
      <c r="I230" s="325"/>
      <c r="J230" s="325"/>
    </row>
    <row r="231" spans="1:10" s="51" customFormat="1" x14ac:dyDescent="0.2">
      <c r="A231" s="58"/>
      <c r="B231" s="58"/>
      <c r="C231" s="326"/>
      <c r="D231" s="326"/>
      <c r="E231" s="326"/>
      <c r="F231" s="326"/>
      <c r="G231" s="325"/>
      <c r="H231" s="325"/>
      <c r="I231" s="325"/>
      <c r="J231" s="325"/>
    </row>
    <row r="232" spans="1:10" s="51" customFormat="1" x14ac:dyDescent="0.2">
      <c r="A232" s="58"/>
      <c r="B232" s="58"/>
      <c r="C232" s="326"/>
      <c r="D232" s="326"/>
      <c r="E232" s="326"/>
      <c r="F232" s="326"/>
      <c r="G232" s="325"/>
      <c r="H232" s="325"/>
      <c r="I232" s="325"/>
      <c r="J232" s="325"/>
    </row>
    <row r="233" spans="1:10" s="51" customFormat="1" x14ac:dyDescent="0.2">
      <c r="A233" s="58"/>
      <c r="B233" s="58"/>
      <c r="C233" s="326"/>
      <c r="D233" s="326"/>
      <c r="E233" s="326"/>
      <c r="F233" s="326"/>
      <c r="G233" s="325"/>
      <c r="H233" s="325"/>
      <c r="I233" s="325"/>
      <c r="J233" s="325"/>
    </row>
    <row r="234" spans="1:10" s="51" customFormat="1" x14ac:dyDescent="0.2">
      <c r="A234" s="58"/>
      <c r="B234" s="58"/>
      <c r="C234" s="326"/>
      <c r="D234" s="326"/>
      <c r="E234" s="326"/>
      <c r="F234" s="326"/>
      <c r="G234" s="325"/>
      <c r="H234" s="325"/>
      <c r="I234" s="325"/>
      <c r="J234" s="325"/>
    </row>
    <row r="235" spans="1:10" s="51" customFormat="1" x14ac:dyDescent="0.2">
      <c r="A235" s="58"/>
      <c r="B235" s="58"/>
      <c r="C235" s="326"/>
      <c r="D235" s="326"/>
      <c r="E235" s="326"/>
      <c r="F235" s="326"/>
      <c r="G235" s="325"/>
      <c r="H235" s="325"/>
      <c r="I235" s="325"/>
      <c r="J235" s="325"/>
    </row>
    <row r="236" spans="1:10" s="51" customFormat="1" x14ac:dyDescent="0.2">
      <c r="A236" s="58"/>
      <c r="B236" s="58"/>
      <c r="C236" s="326"/>
      <c r="D236" s="326"/>
      <c r="E236" s="326"/>
      <c r="F236" s="326"/>
      <c r="G236" s="325"/>
      <c r="H236" s="325"/>
      <c r="I236" s="325"/>
      <c r="J236" s="325"/>
    </row>
    <row r="237" spans="1:10" s="51" customFormat="1" x14ac:dyDescent="0.2">
      <c r="A237" s="58"/>
      <c r="B237" s="58"/>
      <c r="C237" s="326"/>
      <c r="D237" s="326"/>
      <c r="E237" s="326"/>
      <c r="F237" s="326"/>
      <c r="G237" s="325"/>
      <c r="H237" s="325"/>
      <c r="I237" s="325"/>
      <c r="J237" s="325"/>
    </row>
    <row r="238" spans="1:10" s="51" customFormat="1" x14ac:dyDescent="0.2">
      <c r="A238" s="58"/>
      <c r="B238" s="58"/>
      <c r="C238" s="326"/>
      <c r="D238" s="326"/>
      <c r="E238" s="326"/>
      <c r="F238" s="326"/>
      <c r="G238" s="325"/>
      <c r="H238" s="325"/>
      <c r="I238" s="325"/>
      <c r="J238" s="325"/>
    </row>
    <row r="239" spans="1:10" s="51" customFormat="1" x14ac:dyDescent="0.2">
      <c r="A239" s="58"/>
      <c r="B239" s="58"/>
      <c r="C239" s="326"/>
      <c r="D239" s="326"/>
      <c r="E239" s="326"/>
      <c r="F239" s="326"/>
      <c r="G239" s="325"/>
      <c r="H239" s="325"/>
      <c r="I239" s="325"/>
      <c r="J239" s="325"/>
    </row>
    <row r="240" spans="1:10" s="51" customFormat="1" x14ac:dyDescent="0.2">
      <c r="A240" s="58"/>
      <c r="B240" s="58"/>
      <c r="C240" s="326"/>
      <c r="D240" s="326"/>
      <c r="E240" s="326"/>
      <c r="F240" s="326"/>
      <c r="G240" s="325"/>
      <c r="H240" s="325"/>
      <c r="I240" s="325"/>
      <c r="J240" s="325"/>
    </row>
    <row r="241" spans="1:10" s="51" customFormat="1" x14ac:dyDescent="0.2">
      <c r="A241" s="58"/>
      <c r="B241" s="58"/>
      <c r="C241" s="326"/>
      <c r="D241" s="326"/>
      <c r="E241" s="326"/>
      <c r="F241" s="326"/>
      <c r="G241" s="325"/>
      <c r="H241" s="325"/>
      <c r="I241" s="325"/>
      <c r="J241" s="325"/>
    </row>
    <row r="242" spans="1:10" s="51" customFormat="1" x14ac:dyDescent="0.2">
      <c r="A242" s="58"/>
      <c r="B242" s="58"/>
      <c r="C242" s="326"/>
      <c r="D242" s="326"/>
      <c r="E242" s="326"/>
      <c r="F242" s="326"/>
      <c r="G242" s="325"/>
      <c r="H242" s="325"/>
      <c r="I242" s="325"/>
      <c r="J242" s="325"/>
    </row>
    <row r="243" spans="1:10" s="51" customFormat="1" x14ac:dyDescent="0.2">
      <c r="A243" s="58"/>
      <c r="B243" s="58"/>
      <c r="C243" s="326"/>
      <c r="D243" s="326"/>
      <c r="E243" s="326"/>
      <c r="F243" s="326"/>
      <c r="G243" s="325"/>
      <c r="H243" s="325"/>
      <c r="I243" s="325"/>
      <c r="J243" s="325"/>
    </row>
    <row r="244" spans="1:10" s="51" customFormat="1" x14ac:dyDescent="0.2">
      <c r="A244" s="58"/>
      <c r="B244" s="58"/>
      <c r="C244" s="326"/>
      <c r="D244" s="326"/>
      <c r="E244" s="326"/>
      <c r="F244" s="326"/>
      <c r="G244" s="325"/>
      <c r="H244" s="325"/>
      <c r="I244" s="325"/>
      <c r="J244" s="325"/>
    </row>
    <row r="245" spans="1:10" s="51" customFormat="1" x14ac:dyDescent="0.2">
      <c r="A245" s="58"/>
      <c r="B245" s="58"/>
      <c r="C245" s="326"/>
      <c r="D245" s="326"/>
      <c r="E245" s="326"/>
      <c r="F245" s="326"/>
      <c r="G245" s="325"/>
      <c r="H245" s="325"/>
      <c r="I245" s="325"/>
      <c r="J245" s="325"/>
    </row>
    <row r="246" spans="1:10" s="51" customFormat="1" x14ac:dyDescent="0.2">
      <c r="A246" s="58"/>
      <c r="B246" s="58"/>
      <c r="C246" s="326"/>
      <c r="D246" s="326"/>
      <c r="E246" s="326"/>
      <c r="F246" s="326"/>
      <c r="G246" s="325"/>
      <c r="H246" s="325"/>
      <c r="I246" s="325"/>
      <c r="J246" s="325"/>
    </row>
    <row r="247" spans="1:10" s="51" customFormat="1" x14ac:dyDescent="0.2">
      <c r="A247" s="58"/>
      <c r="B247" s="58"/>
      <c r="C247" s="326"/>
      <c r="D247" s="326"/>
      <c r="E247" s="326"/>
      <c r="F247" s="326"/>
      <c r="G247" s="325"/>
      <c r="H247" s="325"/>
      <c r="I247" s="325"/>
      <c r="J247" s="325"/>
    </row>
    <row r="248" spans="1:10" s="51" customFormat="1" x14ac:dyDescent="0.2">
      <c r="A248" s="58"/>
      <c r="B248" s="58"/>
      <c r="C248" s="326"/>
      <c r="D248" s="326"/>
      <c r="E248" s="326"/>
      <c r="F248" s="326"/>
      <c r="G248" s="325"/>
      <c r="H248" s="325"/>
      <c r="I248" s="325"/>
      <c r="J248" s="325"/>
    </row>
    <row r="249" spans="1:10" s="51" customFormat="1" x14ac:dyDescent="0.2">
      <c r="A249" s="58"/>
      <c r="B249" s="58"/>
      <c r="C249" s="326"/>
      <c r="D249" s="326"/>
      <c r="E249" s="326"/>
      <c r="F249" s="326"/>
      <c r="G249" s="325"/>
      <c r="H249" s="325"/>
      <c r="I249" s="325"/>
      <c r="J249" s="325"/>
    </row>
    <row r="250" spans="1:10" s="51" customFormat="1" x14ac:dyDescent="0.2">
      <c r="A250" s="58"/>
      <c r="B250" s="58"/>
      <c r="C250" s="326"/>
      <c r="D250" s="326"/>
      <c r="E250" s="326"/>
      <c r="F250" s="326"/>
      <c r="G250" s="325"/>
      <c r="H250" s="325"/>
      <c r="I250" s="325"/>
      <c r="J250" s="325"/>
    </row>
    <row r="251" spans="1:10" s="51" customFormat="1" x14ac:dyDescent="0.2">
      <c r="A251" s="58"/>
      <c r="B251" s="58"/>
      <c r="C251" s="326"/>
      <c r="D251" s="326"/>
      <c r="E251" s="326"/>
      <c r="F251" s="326"/>
      <c r="G251" s="325"/>
      <c r="H251" s="325"/>
      <c r="I251" s="325"/>
      <c r="J251" s="325"/>
    </row>
    <row r="252" spans="1:10" s="51" customFormat="1" x14ac:dyDescent="0.2">
      <c r="A252" s="58"/>
      <c r="B252" s="58"/>
      <c r="C252" s="326"/>
      <c r="D252" s="326"/>
      <c r="E252" s="326"/>
      <c r="F252" s="326"/>
      <c r="G252" s="325"/>
      <c r="H252" s="325"/>
      <c r="I252" s="325"/>
      <c r="J252" s="325"/>
    </row>
    <row r="253" spans="1:10" s="51" customFormat="1" x14ac:dyDescent="0.2">
      <c r="A253" s="58"/>
      <c r="B253" s="58"/>
      <c r="C253" s="326"/>
      <c r="D253" s="326"/>
      <c r="E253" s="326"/>
      <c r="F253" s="326"/>
      <c r="G253" s="325"/>
      <c r="H253" s="325"/>
      <c r="I253" s="325"/>
      <c r="J253" s="325"/>
    </row>
    <row r="254" spans="1:10" s="51" customFormat="1" x14ac:dyDescent="0.2">
      <c r="A254" s="58"/>
      <c r="B254" s="58"/>
      <c r="C254" s="326"/>
      <c r="D254" s="326"/>
      <c r="E254" s="326"/>
      <c r="F254" s="326"/>
      <c r="G254" s="325"/>
      <c r="H254" s="325"/>
      <c r="I254" s="325"/>
      <c r="J254" s="325"/>
    </row>
    <row r="255" spans="1:10" s="51" customFormat="1" x14ac:dyDescent="0.2">
      <c r="A255" s="58"/>
      <c r="B255" s="58"/>
      <c r="C255" s="326"/>
      <c r="D255" s="326"/>
      <c r="E255" s="326"/>
      <c r="F255" s="326"/>
      <c r="G255" s="325"/>
      <c r="H255" s="325"/>
      <c r="I255" s="325"/>
      <c r="J255" s="325"/>
    </row>
    <row r="256" spans="1:10" s="51" customFormat="1" x14ac:dyDescent="0.2">
      <c r="A256" s="58"/>
      <c r="B256" s="58"/>
      <c r="C256" s="326"/>
      <c r="D256" s="326"/>
      <c r="E256" s="326"/>
      <c r="F256" s="326"/>
      <c r="G256" s="325"/>
      <c r="H256" s="325"/>
      <c r="I256" s="325"/>
      <c r="J256" s="325"/>
    </row>
    <row r="257" spans="1:10" s="51" customFormat="1" x14ac:dyDescent="0.2">
      <c r="A257" s="58"/>
      <c r="B257" s="58"/>
      <c r="C257" s="326"/>
      <c r="D257" s="326"/>
      <c r="E257" s="326"/>
      <c r="F257" s="326"/>
      <c r="G257" s="325"/>
      <c r="H257" s="325"/>
      <c r="I257" s="325"/>
      <c r="J257" s="325"/>
    </row>
    <row r="258" spans="1:10" s="51" customFormat="1" x14ac:dyDescent="0.2">
      <c r="A258" s="58"/>
      <c r="B258" s="58"/>
      <c r="C258" s="326"/>
      <c r="D258" s="326"/>
      <c r="E258" s="326"/>
      <c r="F258" s="326"/>
      <c r="G258" s="325"/>
      <c r="H258" s="325"/>
      <c r="I258" s="325"/>
      <c r="J258" s="325"/>
    </row>
    <row r="259" spans="1:10" s="51" customFormat="1" x14ac:dyDescent="0.2">
      <c r="A259" s="58"/>
      <c r="B259" s="58"/>
      <c r="C259" s="326"/>
      <c r="D259" s="326"/>
      <c r="E259" s="326"/>
      <c r="F259" s="326"/>
      <c r="G259" s="325"/>
      <c r="H259" s="325"/>
      <c r="I259" s="325"/>
      <c r="J259" s="325"/>
    </row>
    <row r="260" spans="1:10" s="51" customFormat="1" x14ac:dyDescent="0.2">
      <c r="A260" s="58"/>
      <c r="B260" s="58"/>
      <c r="C260" s="326"/>
      <c r="D260" s="326"/>
      <c r="E260" s="326"/>
      <c r="F260" s="326"/>
      <c r="G260" s="325"/>
      <c r="H260" s="325"/>
      <c r="I260" s="325"/>
      <c r="J260" s="325"/>
    </row>
    <row r="261" spans="1:10" s="51" customFormat="1" x14ac:dyDescent="0.2">
      <c r="A261" s="58"/>
      <c r="B261" s="58"/>
      <c r="C261" s="326"/>
      <c r="D261" s="326"/>
      <c r="E261" s="326"/>
      <c r="F261" s="326"/>
      <c r="G261" s="325"/>
      <c r="H261" s="325"/>
      <c r="I261" s="325"/>
      <c r="J261" s="325"/>
    </row>
    <row r="262" spans="1:10" s="51" customFormat="1" x14ac:dyDescent="0.2">
      <c r="A262" s="58"/>
      <c r="B262" s="58"/>
      <c r="C262" s="326"/>
      <c r="D262" s="326"/>
      <c r="E262" s="326"/>
      <c r="F262" s="326"/>
      <c r="G262" s="325"/>
      <c r="H262" s="325"/>
      <c r="I262" s="325"/>
      <c r="J262" s="325"/>
    </row>
    <row r="263" spans="1:10" s="51" customFormat="1" x14ac:dyDescent="0.2">
      <c r="A263" s="58"/>
      <c r="B263" s="58"/>
      <c r="C263" s="326"/>
      <c r="D263" s="326"/>
      <c r="E263" s="326"/>
      <c r="F263" s="326"/>
      <c r="G263" s="325"/>
      <c r="H263" s="325"/>
      <c r="I263" s="325"/>
      <c r="J263" s="325"/>
    </row>
    <row r="264" spans="1:10" s="51" customFormat="1" x14ac:dyDescent="0.2">
      <c r="A264" s="58"/>
      <c r="B264" s="58"/>
      <c r="C264" s="326"/>
      <c r="D264" s="326"/>
      <c r="E264" s="326"/>
      <c r="F264" s="326"/>
      <c r="G264" s="325"/>
      <c r="H264" s="325"/>
      <c r="I264" s="325"/>
      <c r="J264" s="325"/>
    </row>
    <row r="265" spans="1:10" s="51" customFormat="1" x14ac:dyDescent="0.2">
      <c r="A265" s="58"/>
      <c r="B265" s="58"/>
      <c r="C265" s="326"/>
      <c r="D265" s="326"/>
      <c r="E265" s="326"/>
      <c r="F265" s="326"/>
      <c r="G265" s="325"/>
      <c r="H265" s="325"/>
      <c r="I265" s="325"/>
      <c r="J265" s="325"/>
    </row>
    <row r="266" spans="1:10" s="51" customFormat="1" x14ac:dyDescent="0.2">
      <c r="A266" s="58"/>
      <c r="B266" s="58"/>
      <c r="C266" s="326"/>
      <c r="D266" s="326"/>
      <c r="E266" s="326"/>
      <c r="F266" s="326"/>
      <c r="G266" s="325"/>
      <c r="H266" s="325"/>
      <c r="I266" s="325"/>
      <c r="J266" s="325"/>
    </row>
    <row r="267" spans="1:10" s="51" customFormat="1" x14ac:dyDescent="0.2">
      <c r="A267" s="58"/>
      <c r="B267" s="58"/>
      <c r="C267" s="326"/>
      <c r="D267" s="326"/>
      <c r="E267" s="326"/>
      <c r="F267" s="326"/>
      <c r="G267" s="325"/>
      <c r="H267" s="325"/>
      <c r="I267" s="325"/>
      <c r="J267" s="325"/>
    </row>
    <row r="268" spans="1:10" s="51" customFormat="1" x14ac:dyDescent="0.2">
      <c r="A268" s="58"/>
      <c r="B268" s="58"/>
      <c r="C268" s="326"/>
      <c r="D268" s="326"/>
      <c r="E268" s="326"/>
      <c r="F268" s="326"/>
      <c r="G268" s="325"/>
      <c r="H268" s="325"/>
      <c r="I268" s="325"/>
      <c r="J268" s="325"/>
    </row>
    <row r="269" spans="1:10" s="51" customFormat="1" x14ac:dyDescent="0.2">
      <c r="A269" s="58"/>
      <c r="B269" s="58"/>
      <c r="C269" s="326"/>
      <c r="D269" s="326"/>
      <c r="E269" s="326"/>
      <c r="F269" s="326"/>
      <c r="G269" s="325"/>
      <c r="H269" s="325"/>
      <c r="I269" s="325"/>
      <c r="J269" s="325"/>
    </row>
    <row r="270" spans="1:10" s="51" customFormat="1" x14ac:dyDescent="0.2">
      <c r="A270" s="58"/>
      <c r="B270" s="58"/>
      <c r="C270" s="326"/>
      <c r="D270" s="326"/>
      <c r="E270" s="326"/>
      <c r="F270" s="326"/>
      <c r="G270" s="325"/>
      <c r="H270" s="325"/>
      <c r="I270" s="325"/>
      <c r="J270" s="325"/>
    </row>
    <row r="271" spans="1:10" s="51" customFormat="1" x14ac:dyDescent="0.2">
      <c r="A271" s="58"/>
      <c r="B271" s="58"/>
      <c r="C271" s="326"/>
      <c r="D271" s="326"/>
      <c r="E271" s="326"/>
      <c r="F271" s="326"/>
      <c r="G271" s="325"/>
      <c r="H271" s="325"/>
      <c r="I271" s="325"/>
      <c r="J271" s="325"/>
    </row>
    <row r="272" spans="1:10" s="51" customFormat="1" x14ac:dyDescent="0.2">
      <c r="A272" s="58"/>
      <c r="B272" s="58"/>
      <c r="C272" s="326"/>
      <c r="D272" s="326"/>
      <c r="E272" s="326"/>
      <c r="F272" s="326"/>
      <c r="G272" s="325"/>
      <c r="H272" s="325"/>
      <c r="I272" s="325"/>
      <c r="J272" s="325"/>
    </row>
    <row r="273" spans="1:10" s="51" customFormat="1" x14ac:dyDescent="0.2">
      <c r="A273" s="58"/>
      <c r="B273" s="58"/>
      <c r="C273" s="326"/>
      <c r="D273" s="326"/>
      <c r="E273" s="326"/>
      <c r="F273" s="326"/>
      <c r="G273" s="325"/>
      <c r="H273" s="325"/>
      <c r="I273" s="325"/>
      <c r="J273" s="325"/>
    </row>
    <row r="274" spans="1:10" s="51" customFormat="1" x14ac:dyDescent="0.2">
      <c r="A274" s="58"/>
      <c r="B274" s="58"/>
      <c r="C274" s="326"/>
      <c r="D274" s="326"/>
      <c r="E274" s="326"/>
      <c r="F274" s="326"/>
      <c r="G274" s="325"/>
      <c r="H274" s="325"/>
      <c r="I274" s="325"/>
      <c r="J274" s="325"/>
    </row>
    <row r="275" spans="1:10" s="51" customFormat="1" x14ac:dyDescent="0.2">
      <c r="A275" s="58"/>
      <c r="B275" s="58"/>
      <c r="C275" s="326"/>
      <c r="D275" s="326"/>
      <c r="E275" s="326"/>
      <c r="F275" s="326"/>
      <c r="G275" s="325"/>
      <c r="H275" s="325"/>
      <c r="I275" s="325"/>
      <c r="J275" s="325"/>
    </row>
    <row r="276" spans="1:10" s="51" customFormat="1" x14ac:dyDescent="0.2">
      <c r="A276" s="58"/>
      <c r="B276" s="58"/>
      <c r="C276" s="326"/>
      <c r="D276" s="326"/>
      <c r="E276" s="326"/>
      <c r="F276" s="326"/>
      <c r="G276" s="325"/>
      <c r="H276" s="325"/>
      <c r="I276" s="325"/>
      <c r="J276" s="325"/>
    </row>
    <row r="277" spans="1:10" s="51" customFormat="1" x14ac:dyDescent="0.2">
      <c r="A277" s="58"/>
      <c r="B277" s="58"/>
      <c r="C277" s="326"/>
      <c r="D277" s="326"/>
      <c r="E277" s="326"/>
      <c r="F277" s="326"/>
      <c r="G277" s="325"/>
      <c r="H277" s="325"/>
      <c r="I277" s="325"/>
      <c r="J277" s="325"/>
    </row>
    <row r="278" spans="1:10" s="51" customFormat="1" x14ac:dyDescent="0.2">
      <c r="A278" s="58"/>
      <c r="B278" s="58"/>
      <c r="C278" s="326"/>
      <c r="D278" s="326"/>
      <c r="E278" s="326"/>
      <c r="F278" s="326"/>
      <c r="G278" s="325"/>
      <c r="H278" s="325"/>
      <c r="I278" s="325"/>
      <c r="J278" s="325"/>
    </row>
    <row r="279" spans="1:10" s="51" customFormat="1" x14ac:dyDescent="0.2">
      <c r="A279" s="58"/>
      <c r="B279" s="58"/>
      <c r="C279" s="326"/>
      <c r="D279" s="326"/>
      <c r="E279" s="326"/>
      <c r="F279" s="326"/>
      <c r="G279" s="325"/>
      <c r="H279" s="325"/>
      <c r="I279" s="325"/>
      <c r="J279" s="325"/>
    </row>
    <row r="280" spans="1:10" s="51" customFormat="1" x14ac:dyDescent="0.2">
      <c r="A280" s="58"/>
      <c r="B280" s="58"/>
      <c r="C280" s="326"/>
      <c r="D280" s="326"/>
      <c r="E280" s="326"/>
      <c r="F280" s="326"/>
      <c r="G280" s="325"/>
      <c r="H280" s="325"/>
      <c r="I280" s="325"/>
      <c r="J280" s="325"/>
    </row>
    <row r="281" spans="1:10" s="51" customFormat="1" x14ac:dyDescent="0.2">
      <c r="A281" s="58"/>
      <c r="B281" s="58"/>
      <c r="C281" s="326"/>
      <c r="D281" s="326"/>
      <c r="E281" s="326"/>
      <c r="F281" s="326"/>
      <c r="G281" s="325"/>
      <c r="H281" s="325"/>
      <c r="I281" s="325"/>
      <c r="J281" s="325"/>
    </row>
    <row r="282" spans="1:10" s="51" customFormat="1" x14ac:dyDescent="0.2">
      <c r="A282" s="58"/>
      <c r="B282" s="58"/>
      <c r="C282" s="326"/>
      <c r="D282" s="326"/>
      <c r="E282" s="326"/>
      <c r="F282" s="326"/>
      <c r="G282" s="325"/>
      <c r="H282" s="325"/>
      <c r="I282" s="325"/>
      <c r="J282" s="325"/>
    </row>
    <row r="283" spans="1:10" s="51" customFormat="1" x14ac:dyDescent="0.2">
      <c r="A283" s="58"/>
      <c r="B283" s="58"/>
      <c r="C283" s="326"/>
      <c r="D283" s="326"/>
      <c r="E283" s="326"/>
      <c r="F283" s="326"/>
      <c r="G283" s="325"/>
      <c r="H283" s="325"/>
      <c r="I283" s="325"/>
      <c r="J283" s="325"/>
    </row>
    <row r="284" spans="1:10" s="51" customFormat="1" x14ac:dyDescent="0.2">
      <c r="A284" s="58"/>
      <c r="B284" s="58"/>
      <c r="C284" s="326"/>
      <c r="D284" s="326"/>
      <c r="E284" s="326"/>
      <c r="F284" s="326"/>
      <c r="G284" s="325"/>
      <c r="H284" s="325"/>
      <c r="I284" s="325"/>
      <c r="J284" s="325"/>
    </row>
    <row r="285" spans="1:10" s="51" customFormat="1" x14ac:dyDescent="0.2">
      <c r="A285" s="58"/>
      <c r="B285" s="58"/>
      <c r="C285" s="326"/>
      <c r="D285" s="326"/>
      <c r="E285" s="326"/>
      <c r="F285" s="326"/>
      <c r="G285" s="325"/>
      <c r="H285" s="325"/>
      <c r="I285" s="325"/>
      <c r="J285" s="325"/>
    </row>
    <row r="286" spans="1:10" s="51" customFormat="1" x14ac:dyDescent="0.2">
      <c r="A286" s="58"/>
      <c r="B286" s="58"/>
      <c r="C286" s="326"/>
      <c r="D286" s="326"/>
      <c r="E286" s="326"/>
      <c r="F286" s="326"/>
      <c r="G286" s="325"/>
      <c r="H286" s="325"/>
      <c r="I286" s="325"/>
      <c r="J286" s="325"/>
    </row>
    <row r="287" spans="1:10" s="51" customFormat="1" x14ac:dyDescent="0.2">
      <c r="A287" s="58"/>
      <c r="B287" s="58"/>
      <c r="C287" s="326"/>
      <c r="D287" s="326"/>
      <c r="E287" s="326"/>
      <c r="F287" s="326"/>
      <c r="G287" s="325"/>
      <c r="H287" s="325"/>
      <c r="I287" s="325"/>
      <c r="J287" s="325"/>
    </row>
    <row r="288" spans="1:10" s="51" customFormat="1" x14ac:dyDescent="0.2">
      <c r="A288" s="58"/>
      <c r="B288" s="58"/>
      <c r="C288" s="326"/>
      <c r="D288" s="326"/>
      <c r="E288" s="326"/>
      <c r="F288" s="326"/>
      <c r="G288" s="325"/>
      <c r="H288" s="325"/>
      <c r="I288" s="325"/>
      <c r="J288" s="325"/>
    </row>
    <row r="289" spans="1:10" s="51" customFormat="1" x14ac:dyDescent="0.2">
      <c r="A289" s="58"/>
      <c r="B289" s="58"/>
      <c r="C289" s="326"/>
      <c r="D289" s="326"/>
      <c r="E289" s="326"/>
      <c r="F289" s="326"/>
      <c r="G289" s="325"/>
      <c r="H289" s="325"/>
      <c r="I289" s="325"/>
      <c r="J289" s="325"/>
    </row>
    <row r="290" spans="1:10" s="51" customFormat="1" x14ac:dyDescent="0.2">
      <c r="A290" s="58"/>
      <c r="B290" s="58"/>
      <c r="C290" s="326"/>
      <c r="D290" s="326"/>
      <c r="E290" s="326"/>
      <c r="F290" s="326"/>
      <c r="G290" s="325"/>
      <c r="H290" s="325"/>
      <c r="I290" s="325"/>
      <c r="J290" s="325"/>
    </row>
    <row r="291" spans="1:10" s="51" customFormat="1" x14ac:dyDescent="0.2">
      <c r="A291" s="58"/>
      <c r="B291" s="58"/>
      <c r="C291" s="326"/>
      <c r="D291" s="326"/>
      <c r="E291" s="326"/>
      <c r="F291" s="326"/>
      <c r="G291" s="325"/>
      <c r="H291" s="325"/>
      <c r="I291" s="325"/>
      <c r="J291" s="325"/>
    </row>
    <row r="292" spans="1:10" s="51" customFormat="1" x14ac:dyDescent="0.2">
      <c r="A292" s="58"/>
      <c r="B292" s="58"/>
      <c r="C292" s="326"/>
      <c r="D292" s="326"/>
      <c r="E292" s="326"/>
      <c r="F292" s="326"/>
      <c r="G292" s="325"/>
      <c r="H292" s="325"/>
      <c r="I292" s="325"/>
      <c r="J292" s="325"/>
    </row>
    <row r="293" spans="1:10" s="51" customFormat="1" x14ac:dyDescent="0.2">
      <c r="A293" s="58"/>
      <c r="B293" s="58"/>
      <c r="C293" s="326"/>
      <c r="D293" s="326"/>
      <c r="E293" s="326"/>
      <c r="F293" s="326"/>
      <c r="G293" s="325"/>
      <c r="H293" s="325"/>
      <c r="I293" s="325"/>
      <c r="J293" s="325"/>
    </row>
    <row r="294" spans="1:10" s="51" customFormat="1" x14ac:dyDescent="0.2">
      <c r="A294" s="58"/>
      <c r="B294" s="58"/>
      <c r="C294" s="326"/>
      <c r="D294" s="326"/>
      <c r="E294" s="326"/>
      <c r="F294" s="326"/>
      <c r="G294" s="325"/>
      <c r="H294" s="325"/>
      <c r="I294" s="325"/>
      <c r="J294" s="325"/>
    </row>
    <row r="295" spans="1:10" s="51" customFormat="1" x14ac:dyDescent="0.2">
      <c r="A295" s="58"/>
      <c r="B295" s="58"/>
      <c r="C295" s="326"/>
      <c r="D295" s="326"/>
      <c r="E295" s="326"/>
      <c r="F295" s="326"/>
      <c r="G295" s="325"/>
      <c r="H295" s="325"/>
      <c r="I295" s="325"/>
      <c r="J295" s="325"/>
    </row>
    <row r="296" spans="1:10" s="51" customFormat="1" x14ac:dyDescent="0.2">
      <c r="A296" s="58"/>
      <c r="B296" s="58"/>
      <c r="C296" s="326"/>
      <c r="D296" s="326"/>
      <c r="E296" s="326"/>
      <c r="F296" s="326"/>
      <c r="G296" s="325"/>
      <c r="H296" s="325"/>
      <c r="I296" s="325"/>
      <c r="J296" s="325"/>
    </row>
    <row r="297" spans="1:10" s="51" customFormat="1" x14ac:dyDescent="0.2">
      <c r="A297" s="58"/>
      <c r="B297" s="58"/>
      <c r="C297" s="326"/>
      <c r="D297" s="326"/>
      <c r="E297" s="326"/>
      <c r="F297" s="326"/>
      <c r="G297" s="325"/>
      <c r="H297" s="325"/>
      <c r="I297" s="325"/>
      <c r="J297" s="325"/>
    </row>
    <row r="298" spans="1:10" s="51" customFormat="1" x14ac:dyDescent="0.2">
      <c r="A298" s="58"/>
      <c r="B298" s="58"/>
      <c r="C298" s="326"/>
      <c r="D298" s="326"/>
      <c r="E298" s="326"/>
      <c r="F298" s="326"/>
      <c r="G298" s="325"/>
      <c r="H298" s="325"/>
      <c r="I298" s="325"/>
      <c r="J298" s="325"/>
    </row>
    <row r="299" spans="1:10" s="51" customFormat="1" x14ac:dyDescent="0.2">
      <c r="A299" s="58"/>
      <c r="B299" s="58"/>
      <c r="C299" s="326"/>
      <c r="D299" s="326"/>
      <c r="E299" s="326"/>
      <c r="F299" s="326"/>
      <c r="G299" s="325"/>
      <c r="H299" s="325"/>
      <c r="I299" s="325"/>
      <c r="J299" s="325"/>
    </row>
    <row r="300" spans="1:10" s="51" customFormat="1" x14ac:dyDescent="0.2">
      <c r="A300" s="58"/>
      <c r="B300" s="58"/>
      <c r="C300" s="326"/>
      <c r="D300" s="326"/>
      <c r="E300" s="326"/>
      <c r="F300" s="326"/>
      <c r="G300" s="325"/>
      <c r="H300" s="325"/>
      <c r="I300" s="325"/>
      <c r="J300" s="325"/>
    </row>
    <row r="301" spans="1:10" s="51" customFormat="1" x14ac:dyDescent="0.2">
      <c r="A301" s="58"/>
      <c r="B301" s="58"/>
      <c r="C301" s="326"/>
      <c r="D301" s="326"/>
      <c r="E301" s="326"/>
      <c r="F301" s="326"/>
      <c r="G301" s="325"/>
      <c r="H301" s="325"/>
      <c r="I301" s="325"/>
      <c r="J301" s="325"/>
    </row>
    <row r="302" spans="1:10" s="51" customFormat="1" x14ac:dyDescent="0.2">
      <c r="A302" s="58"/>
      <c r="B302" s="58"/>
      <c r="C302" s="326"/>
      <c r="D302" s="326"/>
      <c r="E302" s="326"/>
      <c r="F302" s="326"/>
      <c r="G302" s="325"/>
      <c r="H302" s="325"/>
      <c r="I302" s="325"/>
      <c r="J302" s="325"/>
    </row>
    <row r="303" spans="1:10" s="51" customFormat="1" x14ac:dyDescent="0.2">
      <c r="A303" s="58"/>
      <c r="B303" s="58"/>
      <c r="C303" s="326"/>
      <c r="D303" s="326"/>
      <c r="E303" s="326"/>
      <c r="F303" s="326"/>
      <c r="G303" s="325"/>
      <c r="H303" s="325"/>
      <c r="I303" s="325"/>
      <c r="J303" s="325"/>
    </row>
    <row r="304" spans="1:10" s="51" customFormat="1" x14ac:dyDescent="0.2">
      <c r="A304" s="58"/>
      <c r="B304" s="58"/>
      <c r="C304" s="326"/>
      <c r="D304" s="326"/>
      <c r="E304" s="326"/>
      <c r="F304" s="326"/>
      <c r="G304" s="325"/>
      <c r="H304" s="325"/>
      <c r="I304" s="325"/>
      <c r="J304" s="325"/>
    </row>
    <row r="305" spans="1:10" s="51" customFormat="1" x14ac:dyDescent="0.2">
      <c r="A305" s="58"/>
      <c r="B305" s="58"/>
      <c r="C305" s="326"/>
      <c r="D305" s="326"/>
      <c r="E305" s="326"/>
      <c r="F305" s="326"/>
      <c r="G305" s="325"/>
      <c r="H305" s="325"/>
      <c r="I305" s="325"/>
      <c r="J305" s="325"/>
    </row>
    <row r="306" spans="1:10" s="51" customFormat="1" x14ac:dyDescent="0.2">
      <c r="A306" s="58"/>
      <c r="B306" s="58"/>
      <c r="C306" s="326"/>
      <c r="D306" s="326"/>
      <c r="E306" s="326"/>
      <c r="F306" s="326"/>
      <c r="G306" s="325"/>
      <c r="H306" s="325"/>
      <c r="I306" s="325"/>
      <c r="J306" s="325"/>
    </row>
    <row r="307" spans="1:10" s="51" customFormat="1" x14ac:dyDescent="0.2">
      <c r="A307" s="58"/>
      <c r="B307" s="58"/>
      <c r="C307" s="326"/>
      <c r="D307" s="326"/>
      <c r="E307" s="326"/>
      <c r="F307" s="326"/>
      <c r="G307" s="325"/>
      <c r="H307" s="325"/>
      <c r="I307" s="325"/>
      <c r="J307" s="325"/>
    </row>
    <row r="308" spans="1:10" s="51" customFormat="1" x14ac:dyDescent="0.2">
      <c r="A308" s="58"/>
      <c r="B308" s="58"/>
      <c r="C308" s="326"/>
      <c r="D308" s="326"/>
      <c r="E308" s="326"/>
      <c r="F308" s="326"/>
      <c r="G308" s="325"/>
      <c r="H308" s="325"/>
      <c r="I308" s="325"/>
      <c r="J308" s="325"/>
    </row>
    <row r="309" spans="1:10" s="51" customFormat="1" x14ac:dyDescent="0.2">
      <c r="A309" s="58"/>
      <c r="B309" s="58"/>
      <c r="C309" s="326"/>
      <c r="D309" s="326"/>
      <c r="E309" s="326"/>
      <c r="F309" s="326"/>
      <c r="G309" s="325"/>
      <c r="H309" s="325"/>
      <c r="I309" s="325"/>
      <c r="J309" s="325"/>
    </row>
    <row r="310" spans="1:10" s="51" customFormat="1" x14ac:dyDescent="0.2">
      <c r="A310" s="58"/>
      <c r="B310" s="58"/>
      <c r="C310" s="326"/>
      <c r="D310" s="326"/>
      <c r="E310" s="326"/>
      <c r="F310" s="326"/>
      <c r="G310" s="325"/>
      <c r="H310" s="325"/>
      <c r="I310" s="325"/>
      <c r="J310" s="325"/>
    </row>
    <row r="311" spans="1:10" s="51" customFormat="1" x14ac:dyDescent="0.2">
      <c r="A311" s="58"/>
      <c r="B311" s="58"/>
      <c r="C311" s="326"/>
      <c r="D311" s="326"/>
      <c r="E311" s="326"/>
      <c r="F311" s="326"/>
      <c r="G311" s="325"/>
      <c r="H311" s="325"/>
      <c r="I311" s="325"/>
      <c r="J311" s="325"/>
    </row>
    <row r="312" spans="1:10" s="51" customFormat="1" x14ac:dyDescent="0.2">
      <c r="A312" s="58"/>
      <c r="B312" s="58"/>
      <c r="C312" s="326"/>
      <c r="D312" s="326"/>
      <c r="E312" s="326"/>
      <c r="F312" s="326"/>
      <c r="G312" s="325"/>
      <c r="H312" s="325"/>
      <c r="I312" s="325"/>
      <c r="J312" s="325"/>
    </row>
    <row r="313" spans="1:10" s="51" customFormat="1" x14ac:dyDescent="0.2">
      <c r="A313" s="58"/>
      <c r="B313" s="58"/>
      <c r="C313" s="326"/>
      <c r="D313" s="326"/>
      <c r="E313" s="326"/>
      <c r="F313" s="326"/>
      <c r="G313" s="325"/>
      <c r="H313" s="325"/>
      <c r="I313" s="325"/>
      <c r="J313" s="325"/>
    </row>
    <row r="314" spans="1:10" s="51" customFormat="1" x14ac:dyDescent="0.2">
      <c r="A314" s="58"/>
      <c r="B314" s="58"/>
      <c r="C314" s="326"/>
      <c r="D314" s="326"/>
      <c r="E314" s="326"/>
      <c r="F314" s="326"/>
      <c r="G314" s="325"/>
      <c r="H314" s="325"/>
      <c r="I314" s="325"/>
      <c r="J314" s="325"/>
    </row>
    <row r="315" spans="1:10" s="51" customFormat="1" x14ac:dyDescent="0.2">
      <c r="A315" s="58"/>
      <c r="B315" s="58"/>
      <c r="C315" s="326"/>
      <c r="D315" s="326"/>
      <c r="E315" s="326"/>
      <c r="F315" s="326"/>
      <c r="G315" s="325"/>
      <c r="H315" s="325"/>
      <c r="I315" s="325"/>
      <c r="J315" s="325"/>
    </row>
    <row r="316" spans="1:10" s="51" customFormat="1" x14ac:dyDescent="0.2">
      <c r="A316" s="58"/>
      <c r="B316" s="58"/>
      <c r="C316" s="326"/>
      <c r="D316" s="326"/>
      <c r="E316" s="326"/>
      <c r="F316" s="326"/>
      <c r="G316" s="325"/>
      <c r="H316" s="325"/>
      <c r="I316" s="325"/>
      <c r="J316" s="325"/>
    </row>
    <row r="317" spans="1:10" s="51" customFormat="1" x14ac:dyDescent="0.2">
      <c r="A317" s="58"/>
      <c r="B317" s="58"/>
      <c r="C317" s="326"/>
      <c r="D317" s="326"/>
      <c r="E317" s="326"/>
      <c r="F317" s="326"/>
      <c r="G317" s="325"/>
      <c r="H317" s="325"/>
      <c r="I317" s="325"/>
      <c r="J317" s="325"/>
    </row>
    <row r="318" spans="1:10" s="51" customFormat="1" x14ac:dyDescent="0.2">
      <c r="A318" s="58"/>
      <c r="B318" s="58"/>
      <c r="C318" s="326"/>
      <c r="D318" s="326"/>
      <c r="E318" s="326"/>
      <c r="F318" s="326"/>
      <c r="G318" s="325"/>
      <c r="H318" s="325"/>
      <c r="I318" s="325"/>
      <c r="J318" s="325"/>
    </row>
    <row r="319" spans="1:10" s="51" customFormat="1" x14ac:dyDescent="0.2">
      <c r="A319" s="58"/>
      <c r="B319" s="58"/>
      <c r="C319" s="326"/>
      <c r="D319" s="326"/>
      <c r="E319" s="326"/>
      <c r="F319" s="326"/>
      <c r="G319" s="325"/>
      <c r="H319" s="325"/>
      <c r="I319" s="325"/>
      <c r="J319" s="325"/>
    </row>
    <row r="320" spans="1:10" s="51" customFormat="1" x14ac:dyDescent="0.2">
      <c r="A320" s="58"/>
      <c r="B320" s="58"/>
      <c r="C320" s="326"/>
      <c r="D320" s="326"/>
      <c r="E320" s="326"/>
      <c r="F320" s="326"/>
      <c r="G320" s="325"/>
      <c r="H320" s="325"/>
      <c r="I320" s="325"/>
      <c r="J320" s="325"/>
    </row>
    <row r="321" spans="1:10" s="51" customFormat="1" x14ac:dyDescent="0.2">
      <c r="A321" s="58"/>
      <c r="B321" s="58"/>
      <c r="C321" s="326"/>
      <c r="D321" s="326"/>
      <c r="E321" s="326"/>
      <c r="F321" s="326"/>
      <c r="G321" s="325"/>
      <c r="H321" s="325"/>
      <c r="I321" s="325"/>
      <c r="J321" s="325"/>
    </row>
    <row r="322" spans="1:10" s="51" customFormat="1" x14ac:dyDescent="0.2">
      <c r="A322" s="58"/>
      <c r="B322" s="58"/>
      <c r="C322" s="326"/>
      <c r="D322" s="326"/>
      <c r="E322" s="326"/>
      <c r="F322" s="326"/>
      <c r="G322" s="325"/>
      <c r="H322" s="325"/>
      <c r="I322" s="325"/>
      <c r="J322" s="325"/>
    </row>
    <row r="323" spans="1:10" s="51" customFormat="1" x14ac:dyDescent="0.2">
      <c r="A323" s="58"/>
      <c r="B323" s="58"/>
      <c r="C323" s="326"/>
      <c r="D323" s="326"/>
      <c r="E323" s="326"/>
      <c r="F323" s="326"/>
      <c r="G323" s="325"/>
      <c r="H323" s="325"/>
      <c r="I323" s="325"/>
      <c r="J323" s="325"/>
    </row>
    <row r="324" spans="1:10" s="51" customFormat="1" x14ac:dyDescent="0.2">
      <c r="A324" s="58"/>
      <c r="B324" s="58"/>
      <c r="C324" s="326"/>
      <c r="D324" s="326"/>
      <c r="E324" s="326"/>
      <c r="F324" s="326"/>
      <c r="G324" s="325"/>
      <c r="H324" s="325"/>
      <c r="I324" s="325"/>
      <c r="J324" s="325"/>
    </row>
    <row r="325" spans="1:10" s="51" customFormat="1" x14ac:dyDescent="0.2">
      <c r="A325" s="58"/>
      <c r="B325" s="58"/>
      <c r="C325" s="326"/>
      <c r="D325" s="326"/>
      <c r="E325" s="326"/>
      <c r="F325" s="326"/>
      <c r="G325" s="325"/>
      <c r="H325" s="325"/>
      <c r="I325" s="325"/>
      <c r="J325" s="325"/>
    </row>
    <row r="326" spans="1:10" s="51" customFormat="1" x14ac:dyDescent="0.2">
      <c r="A326" s="58"/>
      <c r="B326" s="58"/>
      <c r="C326" s="326"/>
      <c r="D326" s="326"/>
      <c r="E326" s="326"/>
      <c r="F326" s="326"/>
      <c r="G326" s="325"/>
      <c r="H326" s="325"/>
      <c r="I326" s="325"/>
      <c r="J326" s="325"/>
    </row>
    <row r="327" spans="1:10" s="51" customFormat="1" x14ac:dyDescent="0.2">
      <c r="A327" s="58"/>
      <c r="B327" s="58"/>
      <c r="C327" s="326"/>
      <c r="D327" s="326"/>
      <c r="E327" s="326"/>
      <c r="F327" s="326"/>
      <c r="G327" s="325"/>
      <c r="H327" s="325"/>
      <c r="I327" s="325"/>
      <c r="J327" s="325"/>
    </row>
    <row r="328" spans="1:10" s="51" customFormat="1" x14ac:dyDescent="0.2">
      <c r="A328" s="58"/>
      <c r="B328" s="58"/>
      <c r="C328" s="326"/>
      <c r="D328" s="326"/>
      <c r="E328" s="326"/>
      <c r="F328" s="326"/>
      <c r="G328" s="325"/>
      <c r="H328" s="325"/>
      <c r="I328" s="325"/>
      <c r="J328" s="325"/>
    </row>
    <row r="329" spans="1:10" s="51" customFormat="1" x14ac:dyDescent="0.2">
      <c r="A329" s="58"/>
      <c r="B329" s="58"/>
      <c r="C329" s="326"/>
      <c r="D329" s="326"/>
      <c r="E329" s="326"/>
      <c r="F329" s="326"/>
      <c r="G329" s="325"/>
      <c r="H329" s="325"/>
      <c r="I329" s="325"/>
      <c r="J329" s="325"/>
    </row>
    <row r="330" spans="1:10" s="51" customFormat="1" x14ac:dyDescent="0.2">
      <c r="A330" s="58"/>
      <c r="B330" s="58"/>
      <c r="C330" s="326"/>
      <c r="D330" s="326"/>
      <c r="E330" s="326"/>
      <c r="F330" s="326"/>
      <c r="G330" s="325"/>
      <c r="H330" s="325"/>
      <c r="I330" s="325"/>
      <c r="J330" s="325"/>
    </row>
    <row r="331" spans="1:10" s="51" customFormat="1" x14ac:dyDescent="0.2">
      <c r="A331" s="58"/>
      <c r="B331" s="58"/>
      <c r="C331" s="326"/>
      <c r="D331" s="326"/>
      <c r="E331" s="326"/>
      <c r="F331" s="326"/>
      <c r="G331" s="325"/>
      <c r="H331" s="325"/>
      <c r="I331" s="325"/>
      <c r="J331" s="325"/>
    </row>
    <row r="332" spans="1:10" s="51" customFormat="1" x14ac:dyDescent="0.2">
      <c r="A332" s="58"/>
      <c r="B332" s="58"/>
      <c r="C332" s="326"/>
      <c r="D332" s="326"/>
      <c r="E332" s="326"/>
      <c r="F332" s="326"/>
      <c r="G332" s="325"/>
      <c r="H332" s="325"/>
      <c r="I332" s="325"/>
      <c r="J332" s="325"/>
    </row>
    <row r="333" spans="1:10" s="51" customFormat="1" x14ac:dyDescent="0.2">
      <c r="A333" s="58"/>
      <c r="B333" s="58"/>
      <c r="C333" s="326"/>
      <c r="D333" s="326"/>
      <c r="E333" s="326"/>
      <c r="F333" s="326"/>
      <c r="G333" s="325"/>
      <c r="H333" s="325"/>
      <c r="I333" s="325"/>
      <c r="J333" s="325"/>
    </row>
    <row r="334" spans="1:10" s="51" customFormat="1" x14ac:dyDescent="0.2">
      <c r="A334" s="58"/>
      <c r="B334" s="58"/>
      <c r="C334" s="326"/>
      <c r="D334" s="326"/>
      <c r="E334" s="326"/>
      <c r="F334" s="326"/>
      <c r="G334" s="325"/>
      <c r="H334" s="325"/>
      <c r="I334" s="325"/>
      <c r="J334" s="325"/>
    </row>
    <row r="335" spans="1:10" s="51" customFormat="1" x14ac:dyDescent="0.2">
      <c r="A335" s="58"/>
      <c r="B335" s="58"/>
      <c r="C335" s="326"/>
      <c r="D335" s="326"/>
      <c r="E335" s="326"/>
      <c r="F335" s="326"/>
      <c r="G335" s="325"/>
      <c r="H335" s="325"/>
      <c r="I335" s="325"/>
      <c r="J335" s="325"/>
    </row>
    <row r="336" spans="1:10" s="51" customFormat="1" x14ac:dyDescent="0.2">
      <c r="A336" s="58"/>
      <c r="B336" s="58"/>
      <c r="C336" s="326"/>
      <c r="D336" s="326"/>
      <c r="E336" s="326"/>
      <c r="F336" s="326"/>
      <c r="G336" s="325"/>
      <c r="H336" s="325"/>
      <c r="I336" s="325"/>
      <c r="J336" s="325"/>
    </row>
    <row r="337" spans="1:10" s="51" customFormat="1" x14ac:dyDescent="0.2">
      <c r="A337" s="58"/>
      <c r="B337" s="58"/>
      <c r="C337" s="326"/>
      <c r="D337" s="326"/>
      <c r="E337" s="326"/>
      <c r="F337" s="326"/>
      <c r="G337" s="325"/>
      <c r="H337" s="325"/>
      <c r="I337" s="325"/>
      <c r="J337" s="325"/>
    </row>
    <row r="338" spans="1:10" s="51" customFormat="1" x14ac:dyDescent="0.2">
      <c r="A338" s="58"/>
      <c r="B338" s="58"/>
      <c r="C338" s="326"/>
      <c r="D338" s="326"/>
      <c r="E338" s="326"/>
      <c r="F338" s="326"/>
      <c r="G338" s="325"/>
      <c r="H338" s="325"/>
      <c r="I338" s="325"/>
      <c r="J338" s="325"/>
    </row>
    <row r="339" spans="1:10" s="51" customFormat="1" x14ac:dyDescent="0.2">
      <c r="A339" s="58"/>
      <c r="B339" s="58"/>
      <c r="C339" s="326"/>
      <c r="D339" s="326"/>
      <c r="E339" s="326"/>
      <c r="F339" s="326"/>
      <c r="G339" s="325"/>
      <c r="H339" s="325"/>
      <c r="I339" s="325"/>
      <c r="J339" s="325"/>
    </row>
    <row r="340" spans="1:10" s="51" customFormat="1" x14ac:dyDescent="0.2">
      <c r="A340" s="58"/>
      <c r="B340" s="58"/>
      <c r="C340" s="326"/>
      <c r="D340" s="326"/>
      <c r="E340" s="326"/>
      <c r="F340" s="326"/>
      <c r="G340" s="325"/>
      <c r="H340" s="325"/>
      <c r="I340" s="325"/>
      <c r="J340" s="325"/>
    </row>
    <row r="341" spans="1:10" s="51" customFormat="1" x14ac:dyDescent="0.2">
      <c r="A341" s="58"/>
      <c r="B341" s="58"/>
      <c r="C341" s="326"/>
      <c r="D341" s="326"/>
      <c r="E341" s="326"/>
      <c r="F341" s="326"/>
      <c r="G341" s="325"/>
      <c r="H341" s="325"/>
      <c r="I341" s="325"/>
      <c r="J341" s="325"/>
    </row>
    <row r="342" spans="1:10" s="51" customFormat="1" x14ac:dyDescent="0.2">
      <c r="A342" s="58"/>
      <c r="B342" s="58"/>
      <c r="C342" s="326"/>
      <c r="D342" s="326"/>
      <c r="E342" s="326"/>
      <c r="F342" s="326"/>
      <c r="G342" s="325"/>
      <c r="H342" s="325"/>
      <c r="I342" s="325"/>
      <c r="J342" s="325"/>
    </row>
    <row r="343" spans="1:10" s="51" customFormat="1" x14ac:dyDescent="0.2">
      <c r="A343" s="58"/>
      <c r="B343" s="58"/>
      <c r="C343" s="326"/>
      <c r="D343" s="326"/>
      <c r="E343" s="326"/>
      <c r="F343" s="326"/>
      <c r="G343" s="325"/>
      <c r="H343" s="325"/>
      <c r="I343" s="325"/>
      <c r="J343" s="325"/>
    </row>
    <row r="344" spans="1:10" s="51" customFormat="1" x14ac:dyDescent="0.2">
      <c r="A344" s="58"/>
      <c r="B344" s="58"/>
      <c r="C344" s="326"/>
      <c r="D344" s="326"/>
      <c r="E344" s="326"/>
      <c r="F344" s="326"/>
      <c r="G344" s="325"/>
      <c r="H344" s="325"/>
      <c r="I344" s="325"/>
      <c r="J344" s="325"/>
    </row>
    <row r="345" spans="1:10" s="51" customFormat="1" x14ac:dyDescent="0.2">
      <c r="A345" s="58"/>
      <c r="B345" s="58"/>
      <c r="C345" s="326"/>
      <c r="D345" s="326"/>
      <c r="E345" s="326"/>
      <c r="F345" s="326"/>
      <c r="G345" s="325"/>
      <c r="H345" s="325"/>
      <c r="I345" s="325"/>
      <c r="J345" s="325"/>
    </row>
    <row r="346" spans="1:10" s="51" customFormat="1" x14ac:dyDescent="0.2">
      <c r="A346" s="58"/>
      <c r="B346" s="58"/>
      <c r="C346" s="326"/>
      <c r="D346" s="326"/>
      <c r="E346" s="326"/>
      <c r="F346" s="326"/>
      <c r="G346" s="325"/>
      <c r="H346" s="325"/>
      <c r="I346" s="325"/>
      <c r="J346" s="325"/>
    </row>
    <row r="347" spans="1:10" s="51" customFormat="1" x14ac:dyDescent="0.2">
      <c r="A347" s="58"/>
      <c r="B347" s="58"/>
      <c r="C347" s="326"/>
      <c r="D347" s="326"/>
      <c r="E347" s="326"/>
      <c r="F347" s="326"/>
      <c r="G347" s="325"/>
      <c r="H347" s="325"/>
      <c r="I347" s="325"/>
      <c r="J347" s="325"/>
    </row>
    <row r="348" spans="1:10" s="51" customFormat="1" x14ac:dyDescent="0.2">
      <c r="A348" s="58"/>
      <c r="B348" s="58"/>
      <c r="C348" s="326"/>
      <c r="D348" s="326"/>
      <c r="E348" s="326"/>
      <c r="F348" s="326"/>
      <c r="G348" s="325"/>
      <c r="H348" s="325"/>
      <c r="I348" s="325"/>
      <c r="J348" s="325"/>
    </row>
    <row r="349" spans="1:10" s="51" customFormat="1" x14ac:dyDescent="0.2">
      <c r="A349" s="58"/>
      <c r="B349" s="58"/>
      <c r="C349" s="326"/>
      <c r="D349" s="326"/>
      <c r="E349" s="326"/>
      <c r="F349" s="326"/>
      <c r="G349" s="325"/>
      <c r="H349" s="325"/>
      <c r="I349" s="325"/>
      <c r="J349" s="325"/>
    </row>
    <row r="350" spans="1:10" s="51" customFormat="1" x14ac:dyDescent="0.2">
      <c r="A350" s="58"/>
      <c r="B350" s="58"/>
      <c r="C350" s="326"/>
      <c r="D350" s="326"/>
      <c r="E350" s="326"/>
      <c r="F350" s="326"/>
      <c r="G350" s="325"/>
      <c r="H350" s="325"/>
      <c r="I350" s="325"/>
      <c r="J350" s="325"/>
    </row>
    <row r="351" spans="1:10" s="51" customFormat="1" x14ac:dyDescent="0.2">
      <c r="A351" s="58"/>
      <c r="B351" s="58"/>
      <c r="C351" s="326"/>
      <c r="D351" s="326"/>
      <c r="E351" s="326"/>
      <c r="F351" s="326"/>
      <c r="G351" s="325"/>
      <c r="H351" s="325"/>
      <c r="I351" s="325"/>
      <c r="J351" s="325"/>
    </row>
    <row r="352" spans="1:10" s="51" customFormat="1" x14ac:dyDescent="0.2">
      <c r="A352" s="58"/>
      <c r="B352" s="58"/>
      <c r="C352" s="326"/>
      <c r="D352" s="326"/>
      <c r="E352" s="326"/>
      <c r="F352" s="326"/>
      <c r="G352" s="325"/>
      <c r="H352" s="325"/>
      <c r="I352" s="325"/>
      <c r="J352" s="325"/>
    </row>
    <row r="353" spans="1:10" s="51" customFormat="1" x14ac:dyDescent="0.2">
      <c r="A353" s="58"/>
      <c r="B353" s="58"/>
      <c r="C353" s="326"/>
      <c r="D353" s="326"/>
      <c r="E353" s="326"/>
      <c r="F353" s="326"/>
      <c r="G353" s="325"/>
      <c r="H353" s="325"/>
      <c r="I353" s="325"/>
      <c r="J353" s="325"/>
    </row>
    <row r="354" spans="1:10" s="51" customFormat="1" x14ac:dyDescent="0.2">
      <c r="A354" s="58"/>
      <c r="B354" s="58"/>
      <c r="C354" s="326"/>
      <c r="D354" s="326"/>
      <c r="E354" s="326"/>
      <c r="F354" s="326"/>
      <c r="G354" s="325"/>
      <c r="H354" s="325"/>
      <c r="I354" s="325"/>
      <c r="J354" s="325"/>
    </row>
    <row r="355" spans="1:10" s="51" customFormat="1" x14ac:dyDescent="0.2">
      <c r="A355" s="58"/>
      <c r="B355" s="58"/>
      <c r="C355" s="326"/>
      <c r="D355" s="326"/>
      <c r="E355" s="326"/>
      <c r="F355" s="326"/>
      <c r="G355" s="325"/>
      <c r="H355" s="325"/>
      <c r="I355" s="325"/>
      <c r="J355" s="325"/>
    </row>
    <row r="356" spans="1:10" s="51" customFormat="1" x14ac:dyDescent="0.2">
      <c r="A356" s="58"/>
      <c r="B356" s="58"/>
      <c r="C356" s="326"/>
      <c r="D356" s="326"/>
      <c r="E356" s="326"/>
      <c r="F356" s="326"/>
      <c r="G356" s="325"/>
      <c r="H356" s="325"/>
      <c r="I356" s="325"/>
      <c r="J356" s="325"/>
    </row>
    <row r="357" spans="1:10" s="51" customFormat="1" x14ac:dyDescent="0.2">
      <c r="A357" s="58"/>
      <c r="B357" s="58"/>
      <c r="C357" s="326"/>
      <c r="D357" s="326"/>
      <c r="E357" s="326"/>
      <c r="F357" s="326"/>
      <c r="G357" s="325"/>
      <c r="H357" s="325"/>
      <c r="I357" s="325"/>
      <c r="J357" s="325"/>
    </row>
    <row r="358" spans="1:10" s="51" customFormat="1" x14ac:dyDescent="0.2">
      <c r="A358" s="58"/>
      <c r="B358" s="58"/>
      <c r="C358" s="326"/>
      <c r="D358" s="326"/>
      <c r="E358" s="326"/>
      <c r="F358" s="326"/>
      <c r="G358" s="325"/>
      <c r="H358" s="325"/>
      <c r="I358" s="325"/>
      <c r="J358" s="325"/>
    </row>
    <row r="359" spans="1:10" s="51" customFormat="1" x14ac:dyDescent="0.2">
      <c r="A359" s="58"/>
      <c r="B359" s="58"/>
      <c r="C359" s="326"/>
      <c r="D359" s="326"/>
      <c r="E359" s="326"/>
      <c r="F359" s="326"/>
      <c r="G359" s="325"/>
      <c r="H359" s="325"/>
      <c r="I359" s="325"/>
      <c r="J359" s="325"/>
    </row>
    <row r="360" spans="1:10" s="51" customFormat="1" x14ac:dyDescent="0.2">
      <c r="A360" s="58"/>
      <c r="B360" s="58"/>
      <c r="C360" s="326"/>
      <c r="D360" s="326"/>
      <c r="E360" s="326"/>
      <c r="F360" s="326"/>
      <c r="G360" s="325"/>
      <c r="H360" s="325"/>
      <c r="I360" s="325"/>
      <c r="J360" s="325"/>
    </row>
    <row r="361" spans="1:10" s="51" customFormat="1" x14ac:dyDescent="0.2">
      <c r="A361" s="58"/>
      <c r="B361" s="58"/>
      <c r="C361" s="326"/>
      <c r="D361" s="326"/>
      <c r="E361" s="326"/>
      <c r="F361" s="326"/>
      <c r="G361" s="325"/>
      <c r="H361" s="325"/>
      <c r="I361" s="325"/>
      <c r="J361" s="325"/>
    </row>
    <row r="362" spans="1:10" s="51" customFormat="1" x14ac:dyDescent="0.2">
      <c r="A362" s="58"/>
      <c r="B362" s="58"/>
      <c r="C362" s="326"/>
      <c r="D362" s="326"/>
      <c r="E362" s="326"/>
      <c r="F362" s="326"/>
      <c r="G362" s="325"/>
      <c r="H362" s="325"/>
      <c r="I362" s="325"/>
      <c r="J362" s="325"/>
    </row>
    <row r="363" spans="1:10" s="51" customFormat="1" x14ac:dyDescent="0.2">
      <c r="A363" s="58"/>
      <c r="B363" s="58"/>
      <c r="C363" s="326"/>
      <c r="D363" s="326"/>
      <c r="E363" s="326"/>
      <c r="F363" s="326"/>
      <c r="G363" s="325"/>
      <c r="H363" s="325"/>
      <c r="I363" s="325"/>
      <c r="J363" s="325"/>
    </row>
    <row r="364" spans="1:10" s="51" customFormat="1" x14ac:dyDescent="0.2">
      <c r="A364" s="58"/>
      <c r="B364" s="58"/>
      <c r="C364" s="326"/>
      <c r="D364" s="326"/>
      <c r="E364" s="326"/>
      <c r="F364" s="326"/>
      <c r="G364" s="325"/>
      <c r="H364" s="325"/>
      <c r="I364" s="325"/>
      <c r="J364" s="325"/>
    </row>
    <row r="365" spans="1:10" s="51" customFormat="1" x14ac:dyDescent="0.2">
      <c r="A365" s="58"/>
      <c r="B365" s="58"/>
      <c r="C365" s="326"/>
      <c r="D365" s="326"/>
      <c r="E365" s="326"/>
      <c r="F365" s="326"/>
      <c r="G365" s="325"/>
      <c r="H365" s="325"/>
      <c r="I365" s="325"/>
      <c r="J365" s="325"/>
    </row>
    <row r="366" spans="1:10" s="51" customFormat="1" x14ac:dyDescent="0.2">
      <c r="A366" s="58"/>
      <c r="B366" s="58"/>
      <c r="C366" s="326"/>
      <c r="D366" s="326"/>
      <c r="E366" s="326"/>
      <c r="F366" s="326"/>
      <c r="G366" s="325"/>
      <c r="H366" s="325"/>
      <c r="I366" s="325"/>
      <c r="J366" s="325"/>
    </row>
    <row r="367" spans="1:10" s="51" customFormat="1" x14ac:dyDescent="0.2">
      <c r="A367" s="58"/>
      <c r="B367" s="58"/>
      <c r="C367" s="326"/>
      <c r="D367" s="326"/>
      <c r="E367" s="326"/>
      <c r="F367" s="326"/>
      <c r="G367" s="325"/>
      <c r="H367" s="325"/>
      <c r="I367" s="325"/>
      <c r="J367" s="325"/>
    </row>
    <row r="368" spans="1:10" s="51" customFormat="1" x14ac:dyDescent="0.2">
      <c r="A368" s="58"/>
      <c r="B368" s="58"/>
      <c r="C368" s="326"/>
      <c r="D368" s="326"/>
      <c r="E368" s="326"/>
      <c r="F368" s="326"/>
      <c r="G368" s="325"/>
      <c r="H368" s="325"/>
      <c r="I368" s="325"/>
      <c r="J368" s="325"/>
    </row>
    <row r="369" spans="1:10" s="51" customFormat="1" x14ac:dyDescent="0.2">
      <c r="A369" s="58"/>
      <c r="B369" s="58"/>
      <c r="C369" s="326"/>
      <c r="D369" s="326"/>
      <c r="E369" s="326"/>
      <c r="F369" s="326"/>
      <c r="G369" s="325"/>
      <c r="H369" s="325"/>
      <c r="I369" s="325"/>
      <c r="J369" s="325"/>
    </row>
    <row r="370" spans="1:10" s="51" customFormat="1" x14ac:dyDescent="0.2">
      <c r="A370" s="58"/>
      <c r="B370" s="58"/>
      <c r="C370" s="326"/>
      <c r="D370" s="326"/>
      <c r="E370" s="326"/>
      <c r="F370" s="326"/>
      <c r="G370" s="325"/>
      <c r="H370" s="325"/>
      <c r="I370" s="325"/>
      <c r="J370" s="325"/>
    </row>
    <row r="371" spans="1:10" s="51" customFormat="1" x14ac:dyDescent="0.2">
      <c r="A371" s="58"/>
      <c r="B371" s="58"/>
      <c r="C371" s="326"/>
      <c r="D371" s="326"/>
      <c r="E371" s="326"/>
      <c r="F371" s="326"/>
      <c r="G371" s="325"/>
      <c r="H371" s="325"/>
      <c r="I371" s="325"/>
      <c r="J371" s="325"/>
    </row>
    <row r="372" spans="1:10" s="51" customFormat="1" x14ac:dyDescent="0.2">
      <c r="A372" s="58"/>
      <c r="B372" s="58"/>
      <c r="C372" s="326"/>
      <c r="D372" s="326"/>
      <c r="E372" s="326"/>
      <c r="F372" s="326"/>
      <c r="G372" s="325"/>
      <c r="H372" s="325"/>
      <c r="I372" s="325"/>
      <c r="J372" s="325"/>
    </row>
    <row r="373" spans="1:10" s="51" customFormat="1" x14ac:dyDescent="0.2">
      <c r="A373" s="58"/>
      <c r="B373" s="58"/>
      <c r="C373" s="326"/>
      <c r="D373" s="326"/>
      <c r="E373" s="326"/>
      <c r="F373" s="326"/>
      <c r="G373" s="325"/>
      <c r="H373" s="325"/>
      <c r="I373" s="325"/>
      <c r="J373" s="325"/>
    </row>
    <row r="374" spans="1:10" s="51" customFormat="1" x14ac:dyDescent="0.2">
      <c r="A374" s="58"/>
      <c r="B374" s="58"/>
      <c r="C374" s="326"/>
      <c r="D374" s="326"/>
      <c r="E374" s="326"/>
      <c r="F374" s="326"/>
      <c r="G374" s="325"/>
      <c r="H374" s="325"/>
      <c r="I374" s="325"/>
      <c r="J374" s="325"/>
    </row>
    <row r="375" spans="1:10" s="51" customFormat="1" x14ac:dyDescent="0.2">
      <c r="A375" s="58"/>
      <c r="B375" s="58"/>
      <c r="C375" s="326"/>
      <c r="D375" s="326"/>
      <c r="E375" s="326"/>
      <c r="F375" s="326"/>
      <c r="G375" s="325"/>
      <c r="H375" s="325"/>
      <c r="I375" s="325"/>
      <c r="J375" s="325"/>
    </row>
    <row r="376" spans="1:10" s="51" customFormat="1" x14ac:dyDescent="0.2">
      <c r="A376" s="58"/>
      <c r="B376" s="58"/>
      <c r="C376" s="326"/>
      <c r="D376" s="326"/>
      <c r="E376" s="326"/>
      <c r="F376" s="326"/>
      <c r="G376" s="325"/>
      <c r="H376" s="325"/>
      <c r="I376" s="325"/>
      <c r="J376" s="325"/>
    </row>
    <row r="377" spans="1:10" s="51" customFormat="1" x14ac:dyDescent="0.2">
      <c r="A377" s="58"/>
      <c r="B377" s="58"/>
      <c r="C377" s="326"/>
      <c r="D377" s="326"/>
      <c r="E377" s="326"/>
      <c r="F377" s="326"/>
      <c r="G377" s="325"/>
      <c r="H377" s="325"/>
      <c r="I377" s="325"/>
      <c r="J377" s="325"/>
    </row>
    <row r="378" spans="1:10" s="51" customFormat="1" x14ac:dyDescent="0.2">
      <c r="A378" s="58"/>
      <c r="B378" s="58"/>
      <c r="C378" s="326"/>
      <c r="D378" s="326"/>
      <c r="E378" s="326"/>
      <c r="F378" s="326"/>
      <c r="G378" s="325"/>
      <c r="H378" s="325"/>
      <c r="I378" s="325"/>
      <c r="J378" s="325"/>
    </row>
    <row r="379" spans="1:10" s="51" customFormat="1" x14ac:dyDescent="0.2">
      <c r="A379" s="58"/>
      <c r="B379" s="58"/>
      <c r="C379" s="326"/>
      <c r="D379" s="326"/>
      <c r="E379" s="326"/>
      <c r="F379" s="326"/>
      <c r="G379" s="325"/>
      <c r="H379" s="325"/>
      <c r="I379" s="325"/>
      <c r="J379" s="325"/>
    </row>
    <row r="380" spans="1:10" s="51" customFormat="1" x14ac:dyDescent="0.2">
      <c r="A380" s="58"/>
      <c r="B380" s="58"/>
      <c r="C380" s="326"/>
      <c r="D380" s="326"/>
      <c r="E380" s="326"/>
      <c r="F380" s="326"/>
      <c r="G380" s="325"/>
      <c r="H380" s="325"/>
      <c r="I380" s="325"/>
      <c r="J380" s="325"/>
    </row>
    <row r="381" spans="1:10" s="51" customFormat="1" x14ac:dyDescent="0.2">
      <c r="A381" s="58"/>
      <c r="B381" s="58"/>
      <c r="C381" s="326"/>
      <c r="D381" s="326"/>
      <c r="E381" s="326"/>
      <c r="F381" s="326"/>
      <c r="G381" s="325"/>
      <c r="H381" s="325"/>
      <c r="I381" s="325"/>
      <c r="J381" s="325"/>
    </row>
    <row r="382" spans="1:10" s="51" customFormat="1" x14ac:dyDescent="0.2">
      <c r="A382" s="58"/>
      <c r="B382" s="58"/>
      <c r="C382" s="326"/>
      <c r="D382" s="326"/>
      <c r="E382" s="326"/>
      <c r="F382" s="326"/>
      <c r="G382" s="325"/>
      <c r="H382" s="325"/>
      <c r="I382" s="325"/>
      <c r="J382" s="325"/>
    </row>
    <row r="383" spans="1:10" s="51" customFormat="1" x14ac:dyDescent="0.2">
      <c r="A383" s="58"/>
      <c r="B383" s="58"/>
      <c r="C383" s="326"/>
      <c r="D383" s="326"/>
      <c r="E383" s="326"/>
      <c r="F383" s="326"/>
      <c r="G383" s="325"/>
      <c r="H383" s="325"/>
      <c r="I383" s="325"/>
      <c r="J383" s="325"/>
    </row>
    <row r="384" spans="1:10" s="51" customFormat="1" x14ac:dyDescent="0.2">
      <c r="A384" s="58"/>
      <c r="B384" s="58"/>
      <c r="C384" s="326"/>
      <c r="D384" s="326"/>
      <c r="E384" s="326"/>
      <c r="F384" s="326"/>
      <c r="G384" s="325"/>
      <c r="H384" s="325"/>
      <c r="I384" s="325"/>
      <c r="J384" s="325"/>
    </row>
    <row r="385" spans="1:10" s="51" customFormat="1" x14ac:dyDescent="0.2">
      <c r="A385" s="58"/>
      <c r="B385" s="58"/>
      <c r="C385" s="326"/>
      <c r="D385" s="326"/>
      <c r="E385" s="326"/>
      <c r="F385" s="326"/>
      <c r="G385" s="325"/>
      <c r="H385" s="325"/>
      <c r="I385" s="325"/>
      <c r="J385" s="325"/>
    </row>
    <row r="386" spans="1:10" s="51" customFormat="1" x14ac:dyDescent="0.2">
      <c r="A386" s="58"/>
      <c r="B386" s="58"/>
      <c r="C386" s="326"/>
      <c r="D386" s="326"/>
      <c r="E386" s="326"/>
      <c r="F386" s="326"/>
      <c r="G386" s="325"/>
      <c r="H386" s="325"/>
      <c r="I386" s="325"/>
      <c r="J386" s="325"/>
    </row>
    <row r="387" spans="1:10" s="51" customFormat="1" x14ac:dyDescent="0.2">
      <c r="A387" s="58"/>
      <c r="B387" s="58"/>
      <c r="C387" s="326"/>
      <c r="D387" s="326"/>
      <c r="E387" s="326"/>
      <c r="F387" s="326"/>
      <c r="G387" s="325"/>
      <c r="H387" s="325"/>
      <c r="I387" s="325"/>
      <c r="J387" s="325"/>
    </row>
    <row r="388" spans="1:10" s="51" customFormat="1" x14ac:dyDescent="0.2">
      <c r="A388" s="58"/>
      <c r="B388" s="58"/>
      <c r="C388" s="326"/>
      <c r="D388" s="326"/>
      <c r="E388" s="326"/>
      <c r="F388" s="326"/>
      <c r="G388" s="325"/>
      <c r="H388" s="325"/>
      <c r="I388" s="325"/>
      <c r="J388" s="325"/>
    </row>
    <row r="389" spans="1:10" s="51" customFormat="1" x14ac:dyDescent="0.2">
      <c r="A389" s="58"/>
      <c r="B389" s="58"/>
      <c r="C389" s="326"/>
      <c r="D389" s="326"/>
      <c r="E389" s="326"/>
      <c r="F389" s="326"/>
      <c r="G389" s="325"/>
      <c r="H389" s="325"/>
      <c r="I389" s="325"/>
      <c r="J389" s="325"/>
    </row>
    <row r="390" spans="1:10" s="51" customFormat="1" x14ac:dyDescent="0.2">
      <c r="A390" s="58"/>
      <c r="B390" s="58"/>
      <c r="C390" s="326"/>
      <c r="D390" s="326"/>
      <c r="E390" s="326"/>
      <c r="F390" s="326"/>
      <c r="G390" s="325"/>
      <c r="H390" s="325"/>
      <c r="I390" s="325"/>
      <c r="J390" s="325"/>
    </row>
    <row r="391" spans="1:10" s="51" customFormat="1" x14ac:dyDescent="0.2">
      <c r="A391" s="58"/>
      <c r="B391" s="58"/>
      <c r="C391" s="326"/>
      <c r="D391" s="326"/>
      <c r="E391" s="326"/>
      <c r="F391" s="326"/>
      <c r="G391" s="325"/>
      <c r="H391" s="325"/>
      <c r="I391" s="325"/>
      <c r="J391" s="325"/>
    </row>
    <row r="392" spans="1:10" s="51" customFormat="1" x14ac:dyDescent="0.2">
      <c r="A392" s="58"/>
      <c r="B392" s="58"/>
      <c r="C392" s="326"/>
      <c r="D392" s="326"/>
      <c r="E392" s="326"/>
      <c r="F392" s="326"/>
      <c r="G392" s="325"/>
      <c r="H392" s="325"/>
      <c r="I392" s="325"/>
      <c r="J392" s="325"/>
    </row>
    <row r="393" spans="1:10" s="51" customFormat="1" x14ac:dyDescent="0.2">
      <c r="A393" s="58"/>
      <c r="B393" s="58"/>
      <c r="C393" s="326"/>
      <c r="D393" s="326"/>
      <c r="E393" s="326"/>
      <c r="F393" s="326"/>
      <c r="G393" s="325"/>
      <c r="H393" s="325"/>
      <c r="I393" s="325"/>
      <c r="J393" s="325"/>
    </row>
    <row r="394" spans="1:10" s="51" customFormat="1" x14ac:dyDescent="0.2">
      <c r="A394" s="58"/>
      <c r="B394" s="58"/>
      <c r="C394" s="326"/>
      <c r="D394" s="326"/>
      <c r="E394" s="326"/>
      <c r="F394" s="326"/>
      <c r="G394" s="325"/>
      <c r="H394" s="325"/>
      <c r="I394" s="325"/>
      <c r="J394" s="325"/>
    </row>
    <row r="395" spans="1:10" s="51" customFormat="1" x14ac:dyDescent="0.2">
      <c r="A395" s="58"/>
      <c r="B395" s="58"/>
      <c r="C395" s="326"/>
      <c r="D395" s="326"/>
      <c r="E395" s="326"/>
      <c r="F395" s="326"/>
      <c r="G395" s="325"/>
      <c r="H395" s="325"/>
      <c r="I395" s="325"/>
      <c r="J395" s="325"/>
    </row>
    <row r="396" spans="1:10" s="51" customFormat="1" x14ac:dyDescent="0.2">
      <c r="A396" s="58"/>
      <c r="B396" s="58"/>
      <c r="C396" s="326"/>
      <c r="D396" s="326"/>
      <c r="E396" s="326"/>
      <c r="F396" s="326"/>
      <c r="G396" s="325"/>
      <c r="H396" s="325"/>
      <c r="I396" s="325"/>
      <c r="J396" s="325"/>
    </row>
    <row r="397" spans="1:10" s="51" customFormat="1" x14ac:dyDescent="0.2">
      <c r="A397" s="58"/>
      <c r="B397" s="58"/>
      <c r="C397" s="326"/>
      <c r="D397" s="326"/>
      <c r="E397" s="326"/>
      <c r="F397" s="326"/>
      <c r="G397" s="325"/>
      <c r="H397" s="325"/>
      <c r="I397" s="325"/>
      <c r="J397" s="325"/>
    </row>
    <row r="398" spans="1:10" s="51" customFormat="1" x14ac:dyDescent="0.2">
      <c r="A398" s="58"/>
      <c r="B398" s="58"/>
      <c r="C398" s="326"/>
      <c r="D398" s="326"/>
      <c r="E398" s="326"/>
      <c r="F398" s="326"/>
      <c r="G398" s="325"/>
      <c r="H398" s="325"/>
      <c r="I398" s="325"/>
      <c r="J398" s="325"/>
    </row>
    <row r="399" spans="1:10" s="51" customFormat="1" x14ac:dyDescent="0.2">
      <c r="A399" s="58"/>
      <c r="B399" s="58"/>
      <c r="C399" s="326"/>
      <c r="D399" s="326"/>
      <c r="E399" s="326"/>
      <c r="F399" s="326"/>
      <c r="G399" s="325"/>
      <c r="H399" s="325"/>
      <c r="I399" s="325"/>
      <c r="J399" s="325"/>
    </row>
    <row r="400" spans="1:10" s="51" customFormat="1" x14ac:dyDescent="0.2">
      <c r="A400" s="58"/>
      <c r="B400" s="58"/>
      <c r="C400" s="326"/>
      <c r="D400" s="326"/>
      <c r="E400" s="326"/>
      <c r="F400" s="326"/>
      <c r="G400" s="325"/>
      <c r="H400" s="325"/>
      <c r="I400" s="325"/>
      <c r="J400" s="325"/>
    </row>
    <row r="401" spans="1:10" s="51" customFormat="1" x14ac:dyDescent="0.2">
      <c r="A401" s="58"/>
      <c r="B401" s="58"/>
      <c r="C401" s="326"/>
      <c r="D401" s="326"/>
      <c r="E401" s="326"/>
      <c r="F401" s="326"/>
      <c r="G401" s="325"/>
      <c r="H401" s="325"/>
      <c r="I401" s="325"/>
      <c r="J401" s="325"/>
    </row>
    <row r="402" spans="1:10" s="51" customFormat="1" x14ac:dyDescent="0.2">
      <c r="A402" s="58"/>
      <c r="B402" s="58"/>
      <c r="C402" s="326"/>
      <c r="D402" s="326"/>
      <c r="E402" s="326"/>
      <c r="F402" s="326"/>
      <c r="G402" s="325"/>
      <c r="H402" s="325"/>
      <c r="I402" s="325"/>
      <c r="J402" s="325"/>
    </row>
    <row r="403" spans="1:10" s="51" customFormat="1" x14ac:dyDescent="0.2">
      <c r="A403" s="58"/>
      <c r="B403" s="58"/>
      <c r="C403" s="326"/>
      <c r="D403" s="326"/>
      <c r="E403" s="326"/>
      <c r="F403" s="326"/>
      <c r="G403" s="325"/>
      <c r="H403" s="325"/>
      <c r="I403" s="325"/>
      <c r="J403" s="325"/>
    </row>
    <row r="404" spans="1:10" s="51" customFormat="1" x14ac:dyDescent="0.2">
      <c r="A404" s="58"/>
      <c r="B404" s="58"/>
      <c r="C404" s="326"/>
      <c r="D404" s="326"/>
      <c r="E404" s="326"/>
      <c r="F404" s="326"/>
      <c r="G404" s="325"/>
      <c r="H404" s="325"/>
      <c r="I404" s="325"/>
      <c r="J404" s="325"/>
    </row>
    <row r="405" spans="1:10" s="51" customFormat="1" x14ac:dyDescent="0.2">
      <c r="A405" s="58"/>
      <c r="B405" s="58"/>
      <c r="C405" s="326"/>
      <c r="D405" s="326"/>
      <c r="E405" s="326"/>
      <c r="F405" s="326"/>
      <c r="G405" s="325"/>
      <c r="H405" s="325"/>
      <c r="I405" s="325"/>
      <c r="J405" s="325"/>
    </row>
    <row r="406" spans="1:10" s="51" customFormat="1" x14ac:dyDescent="0.2">
      <c r="A406" s="58"/>
      <c r="B406" s="58"/>
      <c r="C406" s="326"/>
      <c r="D406" s="326"/>
      <c r="E406" s="326"/>
      <c r="F406" s="326"/>
      <c r="G406" s="325"/>
      <c r="H406" s="325"/>
      <c r="I406" s="325"/>
      <c r="J406" s="325"/>
    </row>
    <row r="407" spans="1:10" s="51" customFormat="1" x14ac:dyDescent="0.2">
      <c r="A407" s="58"/>
      <c r="B407" s="58"/>
      <c r="C407" s="326"/>
      <c r="D407" s="326"/>
      <c r="E407" s="326"/>
      <c r="F407" s="326"/>
      <c r="G407" s="325"/>
      <c r="H407" s="325"/>
      <c r="I407" s="325"/>
      <c r="J407" s="325"/>
    </row>
    <row r="408" spans="1:10" s="51" customFormat="1" x14ac:dyDescent="0.2">
      <c r="A408" s="58"/>
      <c r="B408" s="58"/>
      <c r="C408" s="326"/>
      <c r="D408" s="326"/>
      <c r="E408" s="326"/>
      <c r="F408" s="326"/>
      <c r="G408" s="325"/>
      <c r="H408" s="325"/>
      <c r="I408" s="325"/>
      <c r="J408" s="325"/>
    </row>
    <row r="409" spans="1:10" s="51" customFormat="1" x14ac:dyDescent="0.2">
      <c r="A409" s="58"/>
      <c r="B409" s="58"/>
      <c r="C409" s="326"/>
      <c r="D409" s="326"/>
      <c r="E409" s="326"/>
      <c r="F409" s="326"/>
      <c r="G409" s="325"/>
      <c r="H409" s="325"/>
      <c r="I409" s="325"/>
      <c r="J409" s="325"/>
    </row>
    <row r="410" spans="1:10" s="51" customFormat="1" x14ac:dyDescent="0.2">
      <c r="A410" s="58"/>
      <c r="B410" s="58"/>
      <c r="C410" s="326"/>
      <c r="D410" s="326"/>
      <c r="E410" s="326"/>
      <c r="F410" s="326"/>
      <c r="G410" s="325"/>
      <c r="H410" s="325"/>
      <c r="I410" s="325"/>
      <c r="J410" s="325"/>
    </row>
    <row r="411" spans="1:10" s="51" customFormat="1" x14ac:dyDescent="0.2">
      <c r="A411" s="58"/>
      <c r="B411" s="58"/>
      <c r="C411" s="326"/>
      <c r="D411" s="326"/>
      <c r="E411" s="326"/>
      <c r="F411" s="326"/>
      <c r="G411" s="325"/>
      <c r="H411" s="325"/>
      <c r="I411" s="325"/>
      <c r="J411" s="325"/>
    </row>
    <row r="412" spans="1:10" s="51" customFormat="1" x14ac:dyDescent="0.2">
      <c r="A412" s="58"/>
      <c r="B412" s="58"/>
      <c r="C412" s="326"/>
      <c r="D412" s="326"/>
      <c r="E412" s="326"/>
      <c r="F412" s="326"/>
      <c r="G412" s="325"/>
      <c r="H412" s="325"/>
      <c r="I412" s="325"/>
      <c r="J412" s="325"/>
    </row>
    <row r="413" spans="1:10" s="51" customFormat="1" x14ac:dyDescent="0.2">
      <c r="A413" s="58"/>
      <c r="B413" s="58"/>
      <c r="C413" s="326"/>
      <c r="D413" s="326"/>
      <c r="E413" s="326"/>
      <c r="F413" s="326"/>
      <c r="G413" s="325"/>
      <c r="H413" s="325"/>
      <c r="I413" s="325"/>
      <c r="J413" s="325"/>
    </row>
    <row r="414" spans="1:10" s="51" customFormat="1" x14ac:dyDescent="0.2">
      <c r="A414" s="58"/>
      <c r="B414" s="58"/>
      <c r="C414" s="326"/>
      <c r="D414" s="326"/>
      <c r="E414" s="326"/>
      <c r="F414" s="326"/>
      <c r="G414" s="325"/>
      <c r="H414" s="325"/>
      <c r="I414" s="325"/>
      <c r="J414" s="325"/>
    </row>
    <row r="415" spans="1:10" s="51" customFormat="1" x14ac:dyDescent="0.2">
      <c r="A415" s="58"/>
      <c r="B415" s="58"/>
      <c r="C415" s="326"/>
      <c r="D415" s="326"/>
      <c r="E415" s="326"/>
      <c r="F415" s="326"/>
      <c r="G415" s="325"/>
      <c r="H415" s="325"/>
      <c r="I415" s="325"/>
      <c r="J415" s="325"/>
    </row>
    <row r="416" spans="1:10" s="51" customFormat="1" x14ac:dyDescent="0.2">
      <c r="A416" s="58"/>
      <c r="B416" s="58"/>
      <c r="C416" s="326"/>
      <c r="D416" s="326"/>
      <c r="E416" s="326"/>
      <c r="F416" s="326"/>
      <c r="G416" s="325"/>
      <c r="H416" s="325"/>
      <c r="I416" s="325"/>
      <c r="J416" s="325"/>
    </row>
    <row r="417" spans="1:10" s="51" customFormat="1" x14ac:dyDescent="0.2">
      <c r="A417" s="58"/>
      <c r="B417" s="58"/>
      <c r="C417" s="326"/>
      <c r="D417" s="326"/>
      <c r="E417" s="326"/>
      <c r="F417" s="326"/>
      <c r="G417" s="325"/>
      <c r="H417" s="325"/>
      <c r="I417" s="325"/>
      <c r="J417" s="325"/>
    </row>
    <row r="418" spans="1:10" s="51" customFormat="1" x14ac:dyDescent="0.2">
      <c r="A418" s="58"/>
      <c r="B418" s="58"/>
      <c r="C418" s="326"/>
      <c r="D418" s="326"/>
      <c r="E418" s="326"/>
      <c r="F418" s="326"/>
      <c r="G418" s="325"/>
      <c r="H418" s="325"/>
      <c r="I418" s="325"/>
      <c r="J418" s="325"/>
    </row>
    <row r="419" spans="1:10" s="51" customFormat="1" x14ac:dyDescent="0.2">
      <c r="A419" s="58"/>
      <c r="B419" s="58"/>
      <c r="C419" s="326"/>
      <c r="D419" s="326"/>
      <c r="E419" s="326"/>
      <c r="F419" s="326"/>
      <c r="G419" s="325"/>
      <c r="H419" s="325"/>
      <c r="I419" s="325"/>
      <c r="J419" s="325"/>
    </row>
    <row r="420" spans="1:10" s="51" customFormat="1" x14ac:dyDescent="0.2">
      <c r="A420" s="58"/>
      <c r="B420" s="58"/>
      <c r="C420" s="326"/>
      <c r="D420" s="326"/>
      <c r="E420" s="326"/>
      <c r="F420" s="326"/>
      <c r="G420" s="325"/>
      <c r="H420" s="325"/>
      <c r="I420" s="325"/>
      <c r="J420" s="325"/>
    </row>
    <row r="421" spans="1:10" s="51" customFormat="1" x14ac:dyDescent="0.2">
      <c r="A421" s="58"/>
      <c r="B421" s="58"/>
      <c r="C421" s="326"/>
      <c r="D421" s="326"/>
      <c r="E421" s="326"/>
      <c r="F421" s="326"/>
      <c r="G421" s="325"/>
      <c r="H421" s="325"/>
      <c r="I421" s="325"/>
      <c r="J421" s="325"/>
    </row>
    <row r="422" spans="1:10" s="51" customFormat="1" x14ac:dyDescent="0.2">
      <c r="A422" s="58"/>
      <c r="B422" s="58"/>
      <c r="C422" s="326"/>
      <c r="D422" s="326"/>
      <c r="E422" s="326"/>
      <c r="F422" s="326"/>
      <c r="G422" s="325"/>
      <c r="H422" s="325"/>
      <c r="I422" s="325"/>
      <c r="J422" s="325"/>
    </row>
    <row r="423" spans="1:10" s="51" customFormat="1" x14ac:dyDescent="0.2">
      <c r="A423" s="58"/>
      <c r="B423" s="58"/>
      <c r="C423" s="326"/>
      <c r="D423" s="326"/>
      <c r="E423" s="326"/>
      <c r="F423" s="326"/>
      <c r="G423" s="325"/>
      <c r="H423" s="325"/>
      <c r="I423" s="325"/>
      <c r="J423" s="325"/>
    </row>
    <row r="424" spans="1:10" s="51" customFormat="1" x14ac:dyDescent="0.2">
      <c r="A424" s="58"/>
      <c r="B424" s="58"/>
      <c r="C424" s="326"/>
      <c r="D424" s="326"/>
      <c r="E424" s="326"/>
      <c r="F424" s="326"/>
      <c r="G424" s="325"/>
      <c r="H424" s="325"/>
      <c r="I424" s="325"/>
      <c r="J424" s="325"/>
    </row>
    <row r="425" spans="1:10" s="51" customFormat="1" x14ac:dyDescent="0.2">
      <c r="A425" s="58"/>
      <c r="B425" s="58"/>
      <c r="C425" s="326"/>
      <c r="D425" s="326"/>
      <c r="E425" s="326"/>
      <c r="F425" s="326"/>
      <c r="G425" s="325"/>
      <c r="H425" s="325"/>
      <c r="I425" s="325"/>
      <c r="J425" s="325"/>
    </row>
    <row r="426" spans="1:10" s="51" customFormat="1" x14ac:dyDescent="0.2">
      <c r="A426" s="58"/>
      <c r="B426" s="58"/>
      <c r="C426" s="326"/>
      <c r="D426" s="326"/>
      <c r="E426" s="326"/>
      <c r="F426" s="326"/>
      <c r="G426" s="325"/>
      <c r="H426" s="325"/>
      <c r="I426" s="325"/>
      <c r="J426" s="325"/>
    </row>
    <row r="427" spans="1:10" s="51" customFormat="1" x14ac:dyDescent="0.2">
      <c r="A427" s="58"/>
      <c r="B427" s="58"/>
      <c r="C427" s="326"/>
      <c r="D427" s="326"/>
      <c r="E427" s="326"/>
      <c r="F427" s="326"/>
      <c r="G427" s="325"/>
      <c r="H427" s="325"/>
      <c r="I427" s="325"/>
      <c r="J427" s="325"/>
    </row>
    <row r="428" spans="1:10" s="51" customFormat="1" x14ac:dyDescent="0.2">
      <c r="A428" s="58"/>
      <c r="B428" s="58"/>
      <c r="C428" s="326"/>
      <c r="D428" s="326"/>
      <c r="E428" s="326"/>
      <c r="F428" s="326"/>
      <c r="G428" s="325"/>
      <c r="H428" s="325"/>
      <c r="I428" s="325"/>
      <c r="J428" s="325"/>
    </row>
    <row r="429" spans="1:10" s="51" customFormat="1" x14ac:dyDescent="0.2">
      <c r="A429" s="58"/>
      <c r="B429" s="58"/>
      <c r="C429" s="326"/>
      <c r="D429" s="326"/>
      <c r="E429" s="326"/>
      <c r="F429" s="326"/>
      <c r="G429" s="325"/>
      <c r="H429" s="325"/>
      <c r="I429" s="325"/>
      <c r="J429" s="325"/>
    </row>
    <row r="430" spans="1:10" s="51" customFormat="1" x14ac:dyDescent="0.2">
      <c r="A430" s="58"/>
      <c r="B430" s="58"/>
      <c r="C430" s="326"/>
      <c r="D430" s="326"/>
      <c r="E430" s="326"/>
      <c r="F430" s="326"/>
      <c r="G430" s="325"/>
      <c r="H430" s="325"/>
      <c r="I430" s="325"/>
      <c r="J430" s="325"/>
    </row>
    <row r="431" spans="1:10" s="51" customFormat="1" x14ac:dyDescent="0.2">
      <c r="A431" s="58"/>
      <c r="B431" s="58"/>
      <c r="C431" s="326"/>
      <c r="D431" s="326"/>
      <c r="E431" s="326"/>
      <c r="F431" s="326"/>
      <c r="G431" s="325"/>
      <c r="H431" s="325"/>
      <c r="I431" s="325"/>
      <c r="J431" s="325"/>
    </row>
    <row r="432" spans="1:10" s="51" customFormat="1" x14ac:dyDescent="0.2">
      <c r="A432" s="58"/>
      <c r="B432" s="58"/>
      <c r="C432" s="326"/>
      <c r="D432" s="326"/>
      <c r="E432" s="326"/>
      <c r="F432" s="326"/>
      <c r="G432" s="325"/>
      <c r="H432" s="325"/>
      <c r="I432" s="325"/>
      <c r="J432" s="325"/>
    </row>
    <row r="433" spans="1:10" s="51" customFormat="1" x14ac:dyDescent="0.2">
      <c r="A433" s="58"/>
      <c r="B433" s="58"/>
      <c r="C433" s="326"/>
      <c r="D433" s="326"/>
      <c r="E433" s="326"/>
      <c r="F433" s="326"/>
      <c r="G433" s="325"/>
      <c r="H433" s="325"/>
      <c r="I433" s="325"/>
      <c r="J433" s="325"/>
    </row>
    <row r="434" spans="1:10" s="51" customFormat="1" x14ac:dyDescent="0.2">
      <c r="A434" s="58"/>
      <c r="B434" s="58"/>
      <c r="C434" s="326"/>
      <c r="D434" s="326"/>
      <c r="E434" s="326"/>
      <c r="F434" s="326"/>
      <c r="G434" s="325"/>
      <c r="H434" s="325"/>
      <c r="I434" s="325"/>
      <c r="J434" s="325"/>
    </row>
    <row r="435" spans="1:10" s="51" customFormat="1" x14ac:dyDescent="0.2">
      <c r="A435" s="58"/>
      <c r="B435" s="58"/>
      <c r="C435" s="326"/>
      <c r="D435" s="326"/>
      <c r="E435" s="326"/>
      <c r="F435" s="326"/>
      <c r="G435" s="325"/>
      <c r="H435" s="325"/>
      <c r="I435" s="325"/>
      <c r="J435" s="325"/>
    </row>
    <row r="436" spans="1:10" s="51" customFormat="1" x14ac:dyDescent="0.2">
      <c r="A436" s="58"/>
      <c r="B436" s="58"/>
      <c r="C436" s="326"/>
      <c r="D436" s="326"/>
      <c r="E436" s="326"/>
      <c r="F436" s="326"/>
      <c r="G436" s="325"/>
      <c r="H436" s="325"/>
      <c r="I436" s="325"/>
      <c r="J436" s="325"/>
    </row>
    <row r="437" spans="1:10" s="51" customFormat="1" x14ac:dyDescent="0.2">
      <c r="A437" s="58"/>
      <c r="B437" s="58"/>
      <c r="C437" s="326"/>
      <c r="D437" s="326"/>
      <c r="E437" s="326"/>
      <c r="F437" s="326"/>
      <c r="G437" s="325"/>
      <c r="H437" s="325"/>
      <c r="I437" s="325"/>
      <c r="J437" s="325"/>
    </row>
    <row r="438" spans="1:10" s="51" customFormat="1" x14ac:dyDescent="0.2">
      <c r="A438" s="58"/>
      <c r="B438" s="58"/>
      <c r="C438" s="326"/>
      <c r="D438" s="326"/>
      <c r="E438" s="326"/>
      <c r="F438" s="326"/>
      <c r="G438" s="325"/>
      <c r="H438" s="325"/>
      <c r="I438" s="325"/>
      <c r="J438" s="325"/>
    </row>
    <row r="439" spans="1:10" s="51" customFormat="1" x14ac:dyDescent="0.2">
      <c r="A439" s="58"/>
      <c r="B439" s="58"/>
      <c r="C439" s="326"/>
      <c r="D439" s="326"/>
      <c r="E439" s="326"/>
      <c r="F439" s="326"/>
      <c r="G439" s="325"/>
      <c r="H439" s="325"/>
      <c r="I439" s="325"/>
      <c r="J439" s="325"/>
    </row>
    <row r="440" spans="1:10" s="51" customFormat="1" x14ac:dyDescent="0.2">
      <c r="A440" s="58"/>
      <c r="B440" s="58"/>
      <c r="C440" s="326"/>
      <c r="D440" s="326"/>
      <c r="E440" s="326"/>
      <c r="F440" s="326"/>
      <c r="G440" s="325"/>
      <c r="H440" s="325"/>
      <c r="I440" s="325"/>
      <c r="J440" s="325"/>
    </row>
    <row r="441" spans="1:10" s="51" customFormat="1" x14ac:dyDescent="0.2">
      <c r="A441" s="58"/>
      <c r="B441" s="58"/>
      <c r="C441" s="326"/>
      <c r="D441" s="326"/>
      <c r="E441" s="326"/>
      <c r="F441" s="326"/>
      <c r="G441" s="325"/>
      <c r="H441" s="325"/>
      <c r="I441" s="325"/>
      <c r="J441" s="325"/>
    </row>
    <row r="442" spans="1:10" s="51" customFormat="1" x14ac:dyDescent="0.2">
      <c r="A442" s="58"/>
      <c r="B442" s="58"/>
      <c r="C442" s="326"/>
      <c r="D442" s="326"/>
      <c r="E442" s="326"/>
      <c r="F442" s="326"/>
      <c r="G442" s="325"/>
      <c r="H442" s="325"/>
      <c r="I442" s="325"/>
      <c r="J442" s="325"/>
    </row>
    <row r="443" spans="1:10" s="51" customFormat="1" x14ac:dyDescent="0.2">
      <c r="A443" s="58"/>
      <c r="B443" s="58"/>
      <c r="C443" s="326"/>
      <c r="D443" s="326"/>
      <c r="E443" s="326"/>
      <c r="F443" s="326"/>
      <c r="G443" s="325"/>
      <c r="H443" s="325"/>
      <c r="I443" s="325"/>
      <c r="J443" s="325"/>
    </row>
    <row r="444" spans="1:10" s="51" customFormat="1" x14ac:dyDescent="0.2">
      <c r="A444" s="58"/>
      <c r="B444" s="58"/>
      <c r="C444" s="326"/>
      <c r="D444" s="326"/>
      <c r="E444" s="326"/>
      <c r="F444" s="326"/>
      <c r="G444" s="325"/>
      <c r="H444" s="325"/>
      <c r="I444" s="325"/>
      <c r="J444" s="325"/>
    </row>
    <row r="445" spans="1:10" s="51" customFormat="1" x14ac:dyDescent="0.2">
      <c r="A445" s="58"/>
      <c r="B445" s="58"/>
      <c r="C445" s="326"/>
      <c r="D445" s="326"/>
      <c r="E445" s="326"/>
      <c r="F445" s="326"/>
      <c r="G445" s="325"/>
      <c r="H445" s="325"/>
      <c r="I445" s="325"/>
      <c r="J445" s="325"/>
    </row>
    <row r="446" spans="1:10" s="51" customFormat="1" x14ac:dyDescent="0.2">
      <c r="A446" s="58"/>
      <c r="B446" s="58"/>
      <c r="C446" s="326"/>
      <c r="D446" s="326"/>
      <c r="E446" s="326"/>
      <c r="F446" s="326"/>
      <c r="G446" s="325"/>
      <c r="H446" s="325"/>
      <c r="I446" s="325"/>
      <c r="J446" s="325"/>
    </row>
    <row r="447" spans="1:10" s="51" customFormat="1" x14ac:dyDescent="0.2">
      <c r="A447" s="58"/>
      <c r="B447" s="58"/>
      <c r="C447" s="326"/>
      <c r="D447" s="326"/>
      <c r="E447" s="326"/>
      <c r="F447" s="326"/>
      <c r="G447" s="325"/>
      <c r="H447" s="325"/>
      <c r="I447" s="325"/>
      <c r="J447" s="325"/>
    </row>
    <row r="448" spans="1:10" s="51" customFormat="1" x14ac:dyDescent="0.2">
      <c r="A448" s="58"/>
      <c r="B448" s="58"/>
      <c r="C448" s="326"/>
      <c r="D448" s="326"/>
      <c r="E448" s="326"/>
      <c r="F448" s="326"/>
      <c r="G448" s="325"/>
      <c r="H448" s="325"/>
      <c r="I448" s="325"/>
      <c r="J448" s="325"/>
    </row>
    <row r="449" spans="1:10" s="51" customFormat="1" x14ac:dyDescent="0.2">
      <c r="A449" s="58"/>
      <c r="B449" s="58"/>
      <c r="C449" s="326"/>
      <c r="D449" s="326"/>
      <c r="E449" s="326"/>
      <c r="F449" s="326"/>
      <c r="G449" s="325"/>
      <c r="H449" s="325"/>
      <c r="I449" s="325"/>
      <c r="J449" s="325"/>
    </row>
    <row r="450" spans="1:10" s="51" customFormat="1" x14ac:dyDescent="0.2">
      <c r="A450" s="58"/>
      <c r="B450" s="58"/>
      <c r="C450" s="326"/>
      <c r="D450" s="326"/>
      <c r="E450" s="326"/>
      <c r="F450" s="326"/>
      <c r="G450" s="325"/>
      <c r="H450" s="325"/>
      <c r="I450" s="325"/>
      <c r="J450" s="325"/>
    </row>
    <row r="451" spans="1:10" s="51" customFormat="1" x14ac:dyDescent="0.2">
      <c r="A451" s="58"/>
      <c r="B451" s="58"/>
      <c r="C451" s="326"/>
      <c r="D451" s="326"/>
      <c r="E451" s="326"/>
      <c r="F451" s="326"/>
      <c r="G451" s="325"/>
      <c r="H451" s="325"/>
      <c r="I451" s="325"/>
      <c r="J451" s="325"/>
    </row>
    <row r="452" spans="1:10" s="51" customFormat="1" x14ac:dyDescent="0.2">
      <c r="A452" s="58"/>
      <c r="B452" s="58"/>
      <c r="C452" s="326"/>
      <c r="D452" s="326"/>
      <c r="E452" s="326"/>
      <c r="F452" s="326"/>
      <c r="G452" s="325"/>
      <c r="H452" s="325"/>
      <c r="I452" s="325"/>
      <c r="J452" s="325"/>
    </row>
    <row r="453" spans="1:10" s="51" customFormat="1" x14ac:dyDescent="0.2">
      <c r="A453" s="58"/>
      <c r="B453" s="58"/>
      <c r="C453" s="326"/>
      <c r="D453" s="326"/>
      <c r="E453" s="326"/>
      <c r="F453" s="326"/>
      <c r="G453" s="325"/>
      <c r="H453" s="325"/>
      <c r="I453" s="325"/>
      <c r="J453" s="325"/>
    </row>
    <row r="454" spans="1:10" s="51" customFormat="1" x14ac:dyDescent="0.2">
      <c r="A454" s="58"/>
      <c r="B454" s="58"/>
      <c r="C454" s="326"/>
      <c r="D454" s="326"/>
      <c r="E454" s="326"/>
      <c r="F454" s="326"/>
      <c r="G454" s="325"/>
      <c r="H454" s="325"/>
      <c r="I454" s="325"/>
      <c r="J454" s="325"/>
    </row>
    <row r="455" spans="1:10" s="51" customFormat="1" x14ac:dyDescent="0.2">
      <c r="A455" s="58"/>
      <c r="B455" s="58"/>
      <c r="C455" s="326"/>
      <c r="D455" s="326"/>
      <c r="E455" s="326"/>
      <c r="F455" s="326"/>
      <c r="G455" s="325"/>
      <c r="H455" s="325"/>
      <c r="I455" s="325"/>
      <c r="J455" s="325"/>
    </row>
    <row r="456" spans="1:10" s="51" customFormat="1" x14ac:dyDescent="0.2">
      <c r="A456" s="58"/>
      <c r="B456" s="58"/>
      <c r="C456" s="326"/>
      <c r="D456" s="326"/>
      <c r="E456" s="326"/>
      <c r="F456" s="326"/>
      <c r="G456" s="325"/>
      <c r="H456" s="325"/>
      <c r="I456" s="325"/>
      <c r="J456" s="325"/>
    </row>
    <row r="457" spans="1:10" s="51" customFormat="1" x14ac:dyDescent="0.2">
      <c r="A457" s="58"/>
      <c r="B457" s="58"/>
      <c r="C457" s="326"/>
      <c r="D457" s="326"/>
      <c r="E457" s="326"/>
      <c r="F457" s="326"/>
      <c r="G457" s="325"/>
      <c r="H457" s="325"/>
      <c r="I457" s="325"/>
      <c r="J457" s="325"/>
    </row>
    <row r="458" spans="1:10" s="51" customFormat="1" x14ac:dyDescent="0.2">
      <c r="A458" s="58"/>
      <c r="B458" s="58"/>
      <c r="C458" s="326"/>
      <c r="D458" s="326"/>
      <c r="E458" s="326"/>
      <c r="F458" s="326"/>
      <c r="G458" s="325"/>
      <c r="H458" s="325"/>
      <c r="I458" s="325"/>
      <c r="J458" s="325"/>
    </row>
    <row r="459" spans="1:10" s="51" customFormat="1" x14ac:dyDescent="0.2">
      <c r="A459" s="58"/>
      <c r="B459" s="58"/>
      <c r="C459" s="326"/>
      <c r="D459" s="326"/>
      <c r="E459" s="326"/>
      <c r="F459" s="326"/>
      <c r="G459" s="325"/>
      <c r="H459" s="325"/>
      <c r="I459" s="325"/>
      <c r="J459" s="325"/>
    </row>
    <row r="460" spans="1:10" s="51" customFormat="1" x14ac:dyDescent="0.2">
      <c r="A460" s="58"/>
      <c r="B460" s="58"/>
      <c r="C460" s="326"/>
      <c r="D460" s="326"/>
      <c r="E460" s="326"/>
      <c r="F460" s="326"/>
      <c r="G460" s="325"/>
      <c r="H460" s="325"/>
      <c r="I460" s="325"/>
      <c r="J460" s="325"/>
    </row>
    <row r="461" spans="1:10" s="51" customFormat="1" x14ac:dyDescent="0.2">
      <c r="A461" s="58"/>
      <c r="B461" s="58"/>
      <c r="C461" s="326"/>
      <c r="D461" s="326"/>
      <c r="E461" s="326"/>
      <c r="F461" s="326"/>
      <c r="G461" s="325"/>
      <c r="H461" s="325"/>
      <c r="I461" s="325"/>
      <c r="J461" s="325"/>
    </row>
    <row r="462" spans="1:10" s="51" customFormat="1" x14ac:dyDescent="0.2">
      <c r="A462" s="58"/>
      <c r="B462" s="58"/>
      <c r="C462" s="326"/>
      <c r="D462" s="326"/>
      <c r="E462" s="326"/>
      <c r="F462" s="326"/>
      <c r="G462" s="325"/>
      <c r="H462" s="325"/>
      <c r="I462" s="325"/>
      <c r="J462" s="325"/>
    </row>
    <row r="463" spans="1:10" s="51" customFormat="1" x14ac:dyDescent="0.2">
      <c r="A463" s="58"/>
      <c r="B463" s="58"/>
      <c r="C463" s="326"/>
      <c r="D463" s="326"/>
      <c r="E463" s="326"/>
      <c r="F463" s="326"/>
      <c r="G463" s="325"/>
      <c r="H463" s="325"/>
      <c r="I463" s="325"/>
      <c r="J463" s="325"/>
    </row>
    <row r="464" spans="1:10" s="51" customFormat="1" x14ac:dyDescent="0.2">
      <c r="A464" s="58"/>
      <c r="B464" s="58"/>
      <c r="C464" s="326"/>
      <c r="D464" s="326"/>
      <c r="E464" s="326"/>
      <c r="F464" s="326"/>
      <c r="G464" s="325"/>
      <c r="H464" s="325"/>
      <c r="I464" s="325"/>
      <c r="J464" s="325"/>
    </row>
    <row r="465" spans="1:10" s="51" customFormat="1" x14ac:dyDescent="0.2">
      <c r="A465" s="58"/>
      <c r="B465" s="58"/>
      <c r="C465" s="326"/>
      <c r="D465" s="326"/>
      <c r="E465" s="326"/>
      <c r="F465" s="326"/>
      <c r="G465" s="325"/>
      <c r="H465" s="325"/>
      <c r="I465" s="325"/>
      <c r="J465" s="325"/>
    </row>
    <row r="466" spans="1:10" s="51" customFormat="1" x14ac:dyDescent="0.2">
      <c r="A466" s="58"/>
      <c r="B466" s="58"/>
      <c r="C466" s="326"/>
      <c r="D466" s="326"/>
      <c r="E466" s="326"/>
      <c r="F466" s="326"/>
      <c r="G466" s="325"/>
      <c r="H466" s="325"/>
      <c r="I466" s="325"/>
      <c r="J466" s="325"/>
    </row>
    <row r="467" spans="1:10" s="51" customFormat="1" x14ac:dyDescent="0.2">
      <c r="A467" s="58"/>
      <c r="B467" s="58"/>
      <c r="C467" s="326"/>
      <c r="D467" s="326"/>
      <c r="E467" s="326"/>
      <c r="F467" s="326"/>
      <c r="G467" s="325"/>
      <c r="H467" s="325"/>
      <c r="I467" s="325"/>
      <c r="J467" s="325"/>
    </row>
    <row r="468" spans="1:10" s="51" customFormat="1" x14ac:dyDescent="0.2">
      <c r="A468" s="58"/>
      <c r="B468" s="58"/>
      <c r="C468" s="326"/>
      <c r="D468" s="326"/>
      <c r="E468" s="326"/>
      <c r="F468" s="326"/>
      <c r="G468" s="325"/>
      <c r="H468" s="325"/>
      <c r="I468" s="325"/>
      <c r="J468" s="325"/>
    </row>
    <row r="469" spans="1:10" s="51" customFormat="1" x14ac:dyDescent="0.2">
      <c r="A469" s="58"/>
      <c r="B469" s="58"/>
      <c r="C469" s="326"/>
      <c r="D469" s="326"/>
      <c r="E469" s="326"/>
      <c r="F469" s="326"/>
      <c r="G469" s="325"/>
      <c r="H469" s="325"/>
      <c r="I469" s="325"/>
      <c r="J469" s="325"/>
    </row>
    <row r="470" spans="1:10" s="51" customFormat="1" x14ac:dyDescent="0.2">
      <c r="A470" s="58"/>
      <c r="B470" s="58"/>
      <c r="C470" s="326"/>
      <c r="D470" s="326"/>
      <c r="E470" s="326"/>
      <c r="F470" s="326"/>
      <c r="G470" s="325"/>
      <c r="H470" s="325"/>
      <c r="I470" s="325"/>
      <c r="J470" s="325"/>
    </row>
    <row r="471" spans="1:10" s="51" customFormat="1" x14ac:dyDescent="0.2">
      <c r="A471" s="58"/>
      <c r="B471" s="58"/>
      <c r="C471" s="326"/>
      <c r="D471" s="326"/>
      <c r="E471" s="326"/>
      <c r="F471" s="326"/>
      <c r="G471" s="325"/>
      <c r="H471" s="325"/>
      <c r="I471" s="325"/>
      <c r="J471" s="325"/>
    </row>
    <row r="472" spans="1:10" s="51" customFormat="1" x14ac:dyDescent="0.2">
      <c r="A472" s="58"/>
      <c r="B472" s="58"/>
      <c r="C472" s="326"/>
      <c r="D472" s="326"/>
      <c r="E472" s="326"/>
      <c r="F472" s="326"/>
      <c r="G472" s="325"/>
      <c r="H472" s="325"/>
      <c r="I472" s="325"/>
      <c r="J472" s="325"/>
    </row>
    <row r="473" spans="1:10" s="51" customFormat="1" x14ac:dyDescent="0.2">
      <c r="A473" s="58"/>
      <c r="B473" s="58"/>
      <c r="C473" s="326"/>
      <c r="D473" s="326"/>
      <c r="E473" s="326"/>
      <c r="F473" s="326"/>
      <c r="G473" s="325"/>
      <c r="H473" s="325"/>
      <c r="I473" s="325"/>
      <c r="J473" s="325"/>
    </row>
    <row r="474" spans="1:10" s="51" customFormat="1" x14ac:dyDescent="0.2">
      <c r="A474" s="58"/>
      <c r="B474" s="58"/>
      <c r="C474" s="326"/>
      <c r="D474" s="326"/>
      <c r="E474" s="326"/>
      <c r="F474" s="326"/>
      <c r="G474" s="325"/>
      <c r="H474" s="325"/>
      <c r="I474" s="325"/>
      <c r="J474" s="325"/>
    </row>
    <row r="475" spans="1:10" s="51" customFormat="1" x14ac:dyDescent="0.2">
      <c r="A475" s="58"/>
      <c r="B475" s="58"/>
      <c r="C475" s="326"/>
      <c r="D475" s="326"/>
      <c r="E475" s="326"/>
      <c r="F475" s="326"/>
      <c r="G475" s="325"/>
      <c r="H475" s="325"/>
      <c r="I475" s="325"/>
      <c r="J475" s="325"/>
    </row>
    <row r="476" spans="1:10" s="51" customFormat="1" x14ac:dyDescent="0.2">
      <c r="A476" s="58"/>
      <c r="B476" s="58"/>
      <c r="C476" s="326"/>
      <c r="D476" s="326"/>
      <c r="E476" s="326"/>
      <c r="F476" s="326"/>
      <c r="G476" s="325"/>
      <c r="H476" s="325"/>
      <c r="I476" s="325"/>
      <c r="J476" s="325"/>
    </row>
    <row r="477" spans="1:10" s="51" customFormat="1" x14ac:dyDescent="0.2">
      <c r="A477" s="58"/>
      <c r="B477" s="58"/>
      <c r="C477" s="326"/>
      <c r="D477" s="326"/>
      <c r="E477" s="326"/>
      <c r="F477" s="326"/>
      <c r="G477" s="325"/>
      <c r="H477" s="325"/>
      <c r="I477" s="325"/>
      <c r="J477" s="325"/>
    </row>
    <row r="478" spans="1:10" s="51" customFormat="1" x14ac:dyDescent="0.2">
      <c r="A478" s="58"/>
      <c r="B478" s="58"/>
      <c r="C478" s="326"/>
      <c r="D478" s="326"/>
      <c r="E478" s="326"/>
      <c r="F478" s="326"/>
      <c r="G478" s="325"/>
      <c r="H478" s="325"/>
      <c r="I478" s="325"/>
      <c r="J478" s="325"/>
    </row>
    <row r="479" spans="1:10" s="51" customFormat="1" x14ac:dyDescent="0.2">
      <c r="A479" s="58"/>
      <c r="B479" s="58"/>
      <c r="C479" s="326"/>
      <c r="D479" s="326"/>
      <c r="E479" s="326"/>
      <c r="F479" s="326"/>
      <c r="G479" s="325"/>
      <c r="H479" s="325"/>
      <c r="I479" s="325"/>
      <c r="J479" s="325"/>
    </row>
    <row r="480" spans="1:10" s="51" customFormat="1" x14ac:dyDescent="0.2">
      <c r="A480" s="58"/>
      <c r="B480" s="58"/>
      <c r="C480" s="326"/>
      <c r="D480" s="326"/>
      <c r="E480" s="326"/>
      <c r="F480" s="326"/>
      <c r="G480" s="325"/>
      <c r="H480" s="325"/>
      <c r="I480" s="325"/>
      <c r="J480" s="325"/>
    </row>
    <row r="481" spans="1:10" s="51" customFormat="1" x14ac:dyDescent="0.2">
      <c r="A481" s="58"/>
      <c r="B481" s="58"/>
      <c r="C481" s="326"/>
      <c r="D481" s="326"/>
      <c r="E481" s="326"/>
      <c r="F481" s="326"/>
      <c r="G481" s="325"/>
      <c r="H481" s="325"/>
      <c r="I481" s="325"/>
      <c r="J481" s="325"/>
    </row>
    <row r="482" spans="1:10" s="51" customFormat="1" x14ac:dyDescent="0.2">
      <c r="A482" s="58"/>
      <c r="B482" s="58"/>
      <c r="C482" s="326"/>
      <c r="D482" s="326"/>
      <c r="E482" s="326"/>
      <c r="F482" s="326"/>
      <c r="G482" s="325"/>
      <c r="H482" s="325"/>
      <c r="I482" s="325"/>
      <c r="J482" s="325"/>
    </row>
    <row r="483" spans="1:10" s="51" customFormat="1" x14ac:dyDescent="0.2">
      <c r="A483" s="58"/>
      <c r="B483" s="58"/>
      <c r="C483" s="326"/>
      <c r="D483" s="326"/>
      <c r="E483" s="326"/>
      <c r="F483" s="326"/>
      <c r="G483" s="325"/>
      <c r="H483" s="325"/>
      <c r="I483" s="325"/>
      <c r="J483" s="325"/>
    </row>
    <row r="484" spans="1:10" s="51" customFormat="1" x14ac:dyDescent="0.2">
      <c r="A484" s="58"/>
      <c r="B484" s="58"/>
      <c r="C484" s="326"/>
      <c r="D484" s="326"/>
      <c r="E484" s="326"/>
      <c r="F484" s="326"/>
      <c r="G484" s="325"/>
      <c r="H484" s="325"/>
      <c r="I484" s="325"/>
      <c r="J484" s="325"/>
    </row>
    <row r="485" spans="1:10" s="51" customFormat="1" x14ac:dyDescent="0.2">
      <c r="A485" s="58"/>
      <c r="B485" s="58"/>
      <c r="C485" s="326"/>
      <c r="D485" s="326"/>
      <c r="E485" s="326"/>
      <c r="F485" s="326"/>
      <c r="G485" s="325"/>
      <c r="H485" s="325"/>
      <c r="I485" s="325"/>
      <c r="J485" s="325"/>
    </row>
    <row r="486" spans="1:10" s="51" customFormat="1" x14ac:dyDescent="0.2">
      <c r="A486" s="58"/>
      <c r="B486" s="58"/>
      <c r="C486" s="326"/>
      <c r="D486" s="326"/>
      <c r="E486" s="326"/>
      <c r="F486" s="326"/>
      <c r="G486" s="325"/>
      <c r="H486" s="325"/>
      <c r="I486" s="325"/>
      <c r="J486" s="325"/>
    </row>
    <row r="487" spans="1:10" s="51" customFormat="1" x14ac:dyDescent="0.2">
      <c r="A487" s="58"/>
      <c r="B487" s="58"/>
      <c r="C487" s="326"/>
      <c r="D487" s="326"/>
      <c r="E487" s="326"/>
      <c r="F487" s="326"/>
      <c r="G487" s="325"/>
      <c r="H487" s="325"/>
      <c r="I487" s="325"/>
      <c r="J487" s="325"/>
    </row>
    <row r="488" spans="1:10" s="51" customFormat="1" x14ac:dyDescent="0.2">
      <c r="A488" s="58"/>
      <c r="B488" s="58"/>
      <c r="C488" s="326"/>
      <c r="D488" s="326"/>
      <c r="E488" s="326"/>
      <c r="F488" s="326"/>
      <c r="G488" s="325"/>
      <c r="H488" s="325"/>
      <c r="I488" s="325"/>
      <c r="J488" s="325"/>
    </row>
    <row r="489" spans="1:10" s="51" customFormat="1" x14ac:dyDescent="0.2">
      <c r="A489" s="58"/>
      <c r="B489" s="58"/>
      <c r="C489" s="326"/>
      <c r="D489" s="326"/>
      <c r="E489" s="326"/>
      <c r="F489" s="326"/>
      <c r="G489" s="325"/>
      <c r="H489" s="325"/>
      <c r="I489" s="325"/>
      <c r="J489" s="325"/>
    </row>
    <row r="490" spans="1:10" s="51" customFormat="1" x14ac:dyDescent="0.2">
      <c r="A490" s="58"/>
      <c r="B490" s="58"/>
      <c r="C490" s="326"/>
      <c r="D490" s="326"/>
      <c r="E490" s="326"/>
      <c r="F490" s="326"/>
      <c r="G490" s="325"/>
      <c r="H490" s="325"/>
      <c r="I490" s="325"/>
      <c r="J490" s="325"/>
    </row>
    <row r="491" spans="1:10" s="51" customFormat="1" x14ac:dyDescent="0.2">
      <c r="A491" s="58"/>
      <c r="B491" s="58"/>
      <c r="C491" s="326"/>
      <c r="D491" s="326"/>
      <c r="E491" s="326"/>
      <c r="F491" s="326"/>
      <c r="G491" s="325"/>
      <c r="H491" s="325"/>
      <c r="I491" s="325"/>
      <c r="J491" s="325"/>
    </row>
    <row r="492" spans="1:10" s="51" customFormat="1" x14ac:dyDescent="0.2">
      <c r="A492" s="58"/>
      <c r="B492" s="58"/>
      <c r="C492" s="326"/>
      <c r="D492" s="326"/>
      <c r="E492" s="326"/>
      <c r="F492" s="326"/>
      <c r="G492" s="325"/>
      <c r="H492" s="325"/>
      <c r="I492" s="325"/>
      <c r="J492" s="325"/>
    </row>
    <row r="493" spans="1:10" s="51" customFormat="1" x14ac:dyDescent="0.2">
      <c r="A493" s="58"/>
      <c r="B493" s="58"/>
      <c r="C493" s="326"/>
      <c r="D493" s="326"/>
      <c r="E493" s="326"/>
      <c r="F493" s="326"/>
      <c r="G493" s="325"/>
      <c r="H493" s="325"/>
      <c r="I493" s="325"/>
      <c r="J493" s="325"/>
    </row>
    <row r="494" spans="1:10" s="51" customFormat="1" x14ac:dyDescent="0.2">
      <c r="A494" s="58"/>
      <c r="B494" s="58"/>
      <c r="C494" s="326"/>
      <c r="D494" s="326"/>
      <c r="E494" s="326"/>
      <c r="F494" s="326"/>
      <c r="G494" s="325"/>
      <c r="H494" s="325"/>
      <c r="I494" s="325"/>
      <c r="J494" s="325"/>
    </row>
    <row r="495" spans="1:10" s="51" customFormat="1" x14ac:dyDescent="0.2">
      <c r="A495" s="58"/>
      <c r="B495" s="58"/>
      <c r="C495" s="326"/>
      <c r="D495" s="326"/>
      <c r="E495" s="326"/>
      <c r="F495" s="326"/>
      <c r="G495" s="325"/>
      <c r="H495" s="325"/>
      <c r="I495" s="325"/>
      <c r="J495" s="325"/>
    </row>
    <row r="496" spans="1:10" s="51" customFormat="1" x14ac:dyDescent="0.2">
      <c r="A496" s="58"/>
      <c r="B496" s="58"/>
      <c r="C496" s="326"/>
      <c r="D496" s="326"/>
      <c r="E496" s="326"/>
      <c r="F496" s="326"/>
      <c r="G496" s="325"/>
      <c r="H496" s="325"/>
      <c r="I496" s="325"/>
      <c r="J496" s="325"/>
    </row>
    <row r="497" spans="1:10" s="51" customFormat="1" x14ac:dyDescent="0.2">
      <c r="A497" s="58"/>
      <c r="B497" s="58"/>
      <c r="C497" s="326"/>
      <c r="D497" s="326"/>
      <c r="E497" s="326"/>
      <c r="F497" s="326"/>
      <c r="G497" s="325"/>
      <c r="H497" s="325"/>
      <c r="I497" s="325"/>
      <c r="J497" s="325"/>
    </row>
    <row r="498" spans="1:10" s="51" customFormat="1" x14ac:dyDescent="0.2">
      <c r="A498" s="58"/>
      <c r="B498" s="58"/>
      <c r="C498" s="326"/>
      <c r="D498" s="326"/>
      <c r="E498" s="326"/>
      <c r="F498" s="326"/>
      <c r="G498" s="325"/>
      <c r="H498" s="325"/>
      <c r="I498" s="325"/>
      <c r="J498" s="325"/>
    </row>
    <row r="499" spans="1:10" s="51" customFormat="1" x14ac:dyDescent="0.2">
      <c r="A499" s="58"/>
      <c r="B499" s="58"/>
      <c r="C499" s="326"/>
      <c r="D499" s="326"/>
      <c r="E499" s="326"/>
      <c r="F499" s="326"/>
      <c r="G499" s="325"/>
      <c r="H499" s="325"/>
      <c r="I499" s="325"/>
      <c r="J499" s="325"/>
    </row>
    <row r="500" spans="1:10" s="51" customFormat="1" x14ac:dyDescent="0.2">
      <c r="A500" s="58"/>
      <c r="B500" s="58"/>
      <c r="C500" s="326"/>
      <c r="D500" s="326"/>
      <c r="E500" s="326"/>
      <c r="F500" s="326"/>
      <c r="G500" s="325"/>
      <c r="H500" s="325"/>
      <c r="I500" s="325"/>
      <c r="J500" s="325"/>
    </row>
    <row r="501" spans="1:10" s="51" customFormat="1" x14ac:dyDescent="0.2">
      <c r="A501" s="58"/>
      <c r="B501" s="58"/>
      <c r="C501" s="326"/>
      <c r="D501" s="326"/>
      <c r="E501" s="326"/>
      <c r="F501" s="326"/>
      <c r="G501" s="325"/>
      <c r="H501" s="325"/>
      <c r="I501" s="325"/>
      <c r="J501" s="325"/>
    </row>
    <row r="502" spans="1:10" s="51" customFormat="1" x14ac:dyDescent="0.2">
      <c r="A502" s="58"/>
      <c r="B502" s="58"/>
      <c r="C502" s="326"/>
      <c r="D502" s="326"/>
      <c r="E502" s="326"/>
      <c r="F502" s="326"/>
      <c r="G502" s="325"/>
      <c r="H502" s="325"/>
      <c r="I502" s="325"/>
      <c r="J502" s="325"/>
    </row>
    <row r="503" spans="1:10" s="51" customFormat="1" x14ac:dyDescent="0.2">
      <c r="A503" s="58"/>
      <c r="B503" s="58"/>
      <c r="C503" s="326"/>
      <c r="D503" s="326"/>
      <c r="E503" s="326"/>
      <c r="F503" s="326"/>
      <c r="G503" s="325"/>
      <c r="H503" s="325"/>
      <c r="I503" s="325"/>
      <c r="J503" s="325"/>
    </row>
    <row r="504" spans="1:10" s="51" customFormat="1" x14ac:dyDescent="0.2">
      <c r="A504" s="58"/>
      <c r="B504" s="58"/>
      <c r="C504" s="326"/>
      <c r="D504" s="326"/>
      <c r="E504" s="326"/>
      <c r="F504" s="326"/>
      <c r="G504" s="325"/>
      <c r="H504" s="325"/>
      <c r="I504" s="325"/>
      <c r="J504" s="325"/>
    </row>
    <row r="505" spans="1:10" s="51" customFormat="1" x14ac:dyDescent="0.2">
      <c r="A505" s="58"/>
      <c r="B505" s="58"/>
      <c r="C505" s="326"/>
      <c r="D505" s="326"/>
      <c r="E505" s="326"/>
      <c r="F505" s="326"/>
      <c r="G505" s="325"/>
      <c r="H505" s="325"/>
      <c r="I505" s="325"/>
      <c r="J505" s="325"/>
    </row>
    <row r="506" spans="1:10" s="51" customFormat="1" x14ac:dyDescent="0.2">
      <c r="A506" s="58"/>
      <c r="B506" s="58"/>
      <c r="C506" s="326"/>
      <c r="D506" s="326"/>
      <c r="E506" s="326"/>
      <c r="F506" s="326"/>
      <c r="G506" s="325"/>
      <c r="H506" s="325"/>
      <c r="I506" s="325"/>
      <c r="J506" s="325"/>
    </row>
    <row r="507" spans="1:10" s="51" customFormat="1" x14ac:dyDescent="0.2">
      <c r="A507" s="58"/>
      <c r="B507" s="58"/>
      <c r="C507" s="326"/>
      <c r="D507" s="326"/>
      <c r="E507" s="326"/>
      <c r="F507" s="326"/>
      <c r="G507" s="325"/>
      <c r="H507" s="325"/>
      <c r="I507" s="325"/>
      <c r="J507" s="325"/>
    </row>
    <row r="508" spans="1:10" s="51" customFormat="1" x14ac:dyDescent="0.2">
      <c r="A508" s="58"/>
      <c r="B508" s="58"/>
      <c r="C508" s="326"/>
      <c r="D508" s="326"/>
      <c r="E508" s="326"/>
      <c r="F508" s="326"/>
      <c r="G508" s="325"/>
      <c r="H508" s="325"/>
      <c r="I508" s="325"/>
      <c r="J508" s="325"/>
    </row>
    <row r="509" spans="1:10" s="51" customFormat="1" x14ac:dyDescent="0.2">
      <c r="A509" s="58"/>
      <c r="B509" s="58"/>
      <c r="C509" s="326"/>
      <c r="D509" s="326"/>
      <c r="E509" s="326"/>
      <c r="F509" s="326"/>
      <c r="G509" s="325"/>
      <c r="H509" s="325"/>
      <c r="I509" s="325"/>
      <c r="J509" s="325"/>
    </row>
    <row r="510" spans="1:10" s="51" customFormat="1" x14ac:dyDescent="0.2">
      <c r="A510" s="58"/>
      <c r="B510" s="58"/>
      <c r="C510" s="326"/>
      <c r="D510" s="326"/>
      <c r="E510" s="326"/>
      <c r="F510" s="326"/>
      <c r="G510" s="325"/>
      <c r="H510" s="325"/>
      <c r="I510" s="325"/>
      <c r="J510" s="325"/>
    </row>
    <row r="511" spans="1:10" s="51" customFormat="1" x14ac:dyDescent="0.2">
      <c r="A511" s="58"/>
      <c r="B511" s="58"/>
      <c r="C511" s="326"/>
      <c r="D511" s="326"/>
      <c r="E511" s="326"/>
      <c r="F511" s="326"/>
      <c r="G511" s="325"/>
      <c r="H511" s="325"/>
      <c r="I511" s="325"/>
      <c r="J511" s="325"/>
    </row>
    <row r="512" spans="1:10" s="51" customFormat="1" x14ac:dyDescent="0.2">
      <c r="A512" s="58"/>
      <c r="B512" s="58"/>
      <c r="C512" s="326"/>
      <c r="D512" s="326"/>
      <c r="E512" s="326"/>
      <c r="F512" s="326"/>
      <c r="G512" s="325"/>
      <c r="H512" s="325"/>
      <c r="I512" s="325"/>
      <c r="J512" s="325"/>
    </row>
    <row r="513" spans="1:10" s="51" customFormat="1" x14ac:dyDescent="0.2">
      <c r="A513" s="58"/>
      <c r="B513" s="58"/>
      <c r="C513" s="326"/>
      <c r="D513" s="326"/>
      <c r="E513" s="326"/>
      <c r="F513" s="326"/>
      <c r="G513" s="325"/>
      <c r="H513" s="325"/>
      <c r="I513" s="325"/>
      <c r="J513" s="325"/>
    </row>
    <row r="514" spans="1:10" s="51" customFormat="1" x14ac:dyDescent="0.2">
      <c r="A514" s="58"/>
      <c r="B514" s="58"/>
      <c r="C514" s="326"/>
      <c r="D514" s="326"/>
      <c r="E514" s="326"/>
      <c r="F514" s="326"/>
      <c r="G514" s="325"/>
      <c r="H514" s="325"/>
      <c r="I514" s="325"/>
      <c r="J514" s="325"/>
    </row>
    <row r="515" spans="1:10" s="51" customFormat="1" x14ac:dyDescent="0.2">
      <c r="A515" s="58"/>
      <c r="B515" s="58"/>
      <c r="C515" s="326"/>
      <c r="D515" s="326"/>
      <c r="E515" s="326"/>
      <c r="F515" s="326"/>
      <c r="G515" s="325"/>
      <c r="H515" s="325"/>
      <c r="I515" s="325"/>
      <c r="J515" s="325"/>
    </row>
    <row r="516" spans="1:10" s="51" customFormat="1" x14ac:dyDescent="0.2">
      <c r="A516" s="58"/>
      <c r="B516" s="58"/>
      <c r="C516" s="326"/>
      <c r="D516" s="326"/>
      <c r="E516" s="326"/>
      <c r="F516" s="326"/>
      <c r="G516" s="325"/>
      <c r="H516" s="325"/>
      <c r="I516" s="325"/>
      <c r="J516" s="325"/>
    </row>
    <row r="517" spans="1:10" s="51" customFormat="1" x14ac:dyDescent="0.2">
      <c r="A517" s="58"/>
      <c r="B517" s="58"/>
      <c r="C517" s="326"/>
      <c r="D517" s="326"/>
      <c r="E517" s="326"/>
      <c r="F517" s="326"/>
      <c r="G517" s="325"/>
      <c r="H517" s="325"/>
      <c r="I517" s="325"/>
      <c r="J517" s="325"/>
    </row>
    <row r="518" spans="1:10" s="51" customFormat="1" x14ac:dyDescent="0.2">
      <c r="A518" s="58"/>
      <c r="B518" s="58"/>
      <c r="C518" s="326"/>
      <c r="D518" s="326"/>
      <c r="E518" s="326"/>
      <c r="F518" s="326"/>
      <c r="G518" s="325"/>
      <c r="H518" s="325"/>
      <c r="I518" s="325"/>
      <c r="J518" s="325"/>
    </row>
    <row r="519" spans="1:10" s="51" customFormat="1" x14ac:dyDescent="0.2">
      <c r="A519" s="58"/>
      <c r="B519" s="58"/>
      <c r="C519" s="326"/>
      <c r="D519" s="326"/>
      <c r="E519" s="326"/>
      <c r="F519" s="326"/>
      <c r="G519" s="325"/>
      <c r="H519" s="325"/>
      <c r="I519" s="325"/>
      <c r="J519" s="325"/>
    </row>
    <row r="520" spans="1:10" s="51" customFormat="1" x14ac:dyDescent="0.2">
      <c r="A520" s="58"/>
      <c r="B520" s="58"/>
      <c r="C520" s="326"/>
      <c r="D520" s="326"/>
      <c r="E520" s="326"/>
      <c r="F520" s="326"/>
      <c r="G520" s="325"/>
      <c r="H520" s="325"/>
      <c r="I520" s="325"/>
      <c r="J520" s="325"/>
    </row>
    <row r="521" spans="1:10" s="51" customFormat="1" x14ac:dyDescent="0.2">
      <c r="A521" s="58"/>
      <c r="B521" s="58"/>
      <c r="C521" s="326"/>
      <c r="D521" s="326"/>
      <c r="E521" s="326"/>
      <c r="F521" s="326"/>
      <c r="G521" s="325"/>
      <c r="H521" s="325"/>
      <c r="I521" s="325"/>
      <c r="J521" s="325"/>
    </row>
    <row r="522" spans="1:10" s="51" customFormat="1" x14ac:dyDescent="0.2">
      <c r="A522" s="58"/>
      <c r="B522" s="58"/>
      <c r="C522" s="326"/>
      <c r="D522" s="326"/>
      <c r="E522" s="326"/>
      <c r="F522" s="326"/>
      <c r="G522" s="325"/>
      <c r="H522" s="325"/>
      <c r="I522" s="325"/>
      <c r="J522" s="325"/>
    </row>
    <row r="523" spans="1:10" s="51" customFormat="1" x14ac:dyDescent="0.2">
      <c r="A523" s="58"/>
      <c r="B523" s="58"/>
      <c r="C523" s="326"/>
      <c r="D523" s="326"/>
      <c r="E523" s="326"/>
      <c r="F523" s="326"/>
      <c r="G523" s="325"/>
      <c r="H523" s="325"/>
      <c r="I523" s="325"/>
      <c r="J523" s="325"/>
    </row>
    <row r="524" spans="1:10" s="51" customFormat="1" x14ac:dyDescent="0.2">
      <c r="A524" s="58"/>
      <c r="B524" s="58"/>
      <c r="C524" s="326"/>
      <c r="D524" s="326"/>
      <c r="E524" s="326"/>
      <c r="F524" s="326"/>
      <c r="G524" s="325"/>
      <c r="H524" s="325"/>
      <c r="I524" s="325"/>
      <c r="J524" s="325"/>
    </row>
    <row r="525" spans="1:10" s="51" customFormat="1" x14ac:dyDescent="0.2">
      <c r="A525" s="58"/>
      <c r="B525" s="58"/>
      <c r="C525" s="326"/>
      <c r="D525" s="326"/>
      <c r="E525" s="326"/>
      <c r="F525" s="326"/>
      <c r="G525" s="325"/>
      <c r="H525" s="325"/>
      <c r="I525" s="325"/>
      <c r="J525" s="325"/>
    </row>
    <row r="526" spans="1:10" s="51" customFormat="1" x14ac:dyDescent="0.2">
      <c r="A526" s="58"/>
      <c r="B526" s="58"/>
      <c r="C526" s="326"/>
      <c r="D526" s="326"/>
      <c r="E526" s="326"/>
      <c r="F526" s="326"/>
      <c r="G526" s="325"/>
      <c r="H526" s="325"/>
      <c r="I526" s="325"/>
      <c r="J526" s="325"/>
    </row>
    <row r="527" spans="1:10" s="51" customFormat="1" x14ac:dyDescent="0.2">
      <c r="A527" s="58"/>
      <c r="B527" s="58"/>
      <c r="C527" s="326"/>
      <c r="D527" s="326"/>
      <c r="E527" s="326"/>
      <c r="F527" s="326"/>
      <c r="G527" s="325"/>
      <c r="H527" s="325"/>
      <c r="I527" s="325"/>
      <c r="J527" s="325"/>
    </row>
    <row r="528" spans="1:10" s="51" customFormat="1" x14ac:dyDescent="0.2">
      <c r="A528" s="58"/>
      <c r="B528" s="58"/>
      <c r="C528" s="326"/>
      <c r="D528" s="326"/>
      <c r="E528" s="326"/>
      <c r="F528" s="326"/>
      <c r="G528" s="325"/>
      <c r="H528" s="325"/>
      <c r="I528" s="325"/>
      <c r="J528" s="325"/>
    </row>
    <row r="529" spans="1:10" s="51" customFormat="1" x14ac:dyDescent="0.2">
      <c r="A529" s="58"/>
      <c r="B529" s="58"/>
      <c r="C529" s="326"/>
      <c r="D529" s="326"/>
      <c r="E529" s="326"/>
      <c r="F529" s="326"/>
      <c r="G529" s="325"/>
      <c r="H529" s="325"/>
      <c r="I529" s="325"/>
      <c r="J529" s="325"/>
    </row>
    <row r="530" spans="1:10" s="51" customFormat="1" x14ac:dyDescent="0.2">
      <c r="A530" s="58"/>
      <c r="B530" s="58"/>
      <c r="C530" s="326"/>
      <c r="D530" s="326"/>
      <c r="E530" s="326"/>
      <c r="F530" s="326"/>
      <c r="G530" s="325"/>
      <c r="H530" s="325"/>
      <c r="I530" s="325"/>
      <c r="J530" s="325"/>
    </row>
    <row r="531" spans="1:10" s="51" customFormat="1" x14ac:dyDescent="0.2">
      <c r="A531" s="58"/>
      <c r="B531" s="58"/>
      <c r="C531" s="326"/>
      <c r="D531" s="326"/>
      <c r="E531" s="326"/>
      <c r="F531" s="326"/>
      <c r="G531" s="325"/>
      <c r="H531" s="325"/>
      <c r="I531" s="325"/>
      <c r="J531" s="325"/>
    </row>
    <row r="532" spans="1:10" s="51" customFormat="1" x14ac:dyDescent="0.2">
      <c r="A532" s="58"/>
      <c r="B532" s="58"/>
      <c r="C532" s="326"/>
      <c r="D532" s="326"/>
      <c r="E532" s="326"/>
      <c r="F532" s="326"/>
      <c r="G532" s="325"/>
      <c r="H532" s="325"/>
      <c r="I532" s="325"/>
      <c r="J532" s="325"/>
    </row>
    <row r="533" spans="1:10" s="51" customFormat="1" x14ac:dyDescent="0.2">
      <c r="A533" s="58"/>
      <c r="B533" s="58"/>
      <c r="C533" s="326"/>
      <c r="D533" s="326"/>
      <c r="E533" s="326"/>
      <c r="F533" s="326"/>
      <c r="G533" s="325"/>
      <c r="H533" s="325"/>
      <c r="I533" s="325"/>
      <c r="J533" s="325"/>
    </row>
    <row r="534" spans="1:10" s="51" customFormat="1" x14ac:dyDescent="0.2">
      <c r="A534" s="58"/>
      <c r="B534" s="58"/>
      <c r="C534" s="326"/>
      <c r="D534" s="326"/>
      <c r="E534" s="326"/>
      <c r="F534" s="326"/>
      <c r="G534" s="325"/>
      <c r="H534" s="325"/>
      <c r="I534" s="325"/>
      <c r="J534" s="325"/>
    </row>
    <row r="535" spans="1:10" s="51" customFormat="1" x14ac:dyDescent="0.2">
      <c r="A535" s="58"/>
      <c r="B535" s="58"/>
      <c r="C535" s="326"/>
      <c r="D535" s="326"/>
      <c r="E535" s="326"/>
      <c r="F535" s="326"/>
      <c r="G535" s="325"/>
      <c r="H535" s="325"/>
      <c r="I535" s="325"/>
      <c r="J535" s="325"/>
    </row>
    <row r="536" spans="1:10" s="51" customFormat="1" x14ac:dyDescent="0.2">
      <c r="A536" s="58"/>
      <c r="B536" s="58"/>
      <c r="C536" s="326"/>
      <c r="D536" s="326"/>
      <c r="E536" s="326"/>
      <c r="F536" s="326"/>
      <c r="G536" s="325"/>
      <c r="H536" s="325"/>
      <c r="I536" s="325"/>
      <c r="J536" s="325"/>
    </row>
    <row r="537" spans="1:10" s="51" customFormat="1" x14ac:dyDescent="0.2">
      <c r="A537" s="58"/>
      <c r="B537" s="58"/>
      <c r="C537" s="326"/>
      <c r="D537" s="326"/>
      <c r="E537" s="326"/>
      <c r="F537" s="326"/>
      <c r="G537" s="325"/>
      <c r="H537" s="325"/>
      <c r="I537" s="325"/>
      <c r="J537" s="325"/>
    </row>
    <row r="538" spans="1:10" s="51" customFormat="1" x14ac:dyDescent="0.2">
      <c r="A538" s="58"/>
      <c r="B538" s="58"/>
      <c r="C538" s="326"/>
      <c r="D538" s="326"/>
      <c r="E538" s="326"/>
      <c r="F538" s="326"/>
      <c r="G538" s="325"/>
      <c r="H538" s="325"/>
      <c r="I538" s="325"/>
      <c r="J538" s="325"/>
    </row>
    <row r="539" spans="1:10" s="51" customFormat="1" x14ac:dyDescent="0.2">
      <c r="A539" s="58"/>
      <c r="B539" s="58"/>
      <c r="C539" s="326"/>
      <c r="D539" s="326"/>
      <c r="E539" s="326"/>
      <c r="F539" s="326"/>
      <c r="G539" s="325"/>
      <c r="H539" s="325"/>
      <c r="I539" s="325"/>
      <c r="J539" s="325"/>
    </row>
    <row r="540" spans="1:10" s="51" customFormat="1" x14ac:dyDescent="0.2">
      <c r="A540" s="58"/>
      <c r="B540" s="58"/>
      <c r="C540" s="326"/>
      <c r="D540" s="326"/>
      <c r="E540" s="326"/>
      <c r="F540" s="326"/>
      <c r="G540" s="325"/>
      <c r="H540" s="325"/>
      <c r="I540" s="325"/>
      <c r="J540" s="325"/>
    </row>
    <row r="541" spans="1:10" s="51" customFormat="1" x14ac:dyDescent="0.2">
      <c r="A541" s="58"/>
      <c r="B541" s="58"/>
      <c r="C541" s="326"/>
      <c r="D541" s="326"/>
      <c r="E541" s="326"/>
      <c r="F541" s="326"/>
      <c r="G541" s="325"/>
      <c r="H541" s="325"/>
      <c r="I541" s="325"/>
      <c r="J541" s="325"/>
    </row>
    <row r="542" spans="1:10" s="51" customFormat="1" x14ac:dyDescent="0.2">
      <c r="A542" s="58"/>
      <c r="B542" s="58"/>
      <c r="C542" s="326"/>
      <c r="D542" s="326"/>
      <c r="E542" s="326"/>
      <c r="F542" s="326"/>
      <c r="G542" s="325"/>
      <c r="H542" s="325"/>
      <c r="I542" s="325"/>
      <c r="J542" s="325"/>
    </row>
    <row r="543" spans="1:10" s="51" customFormat="1" x14ac:dyDescent="0.2">
      <c r="A543" s="58"/>
      <c r="B543" s="58"/>
      <c r="C543" s="326"/>
      <c r="D543" s="326"/>
      <c r="E543" s="326"/>
      <c r="F543" s="326"/>
      <c r="G543" s="325"/>
      <c r="H543" s="325"/>
      <c r="I543" s="325"/>
      <c r="J543" s="325"/>
    </row>
    <row r="544" spans="1:10" s="51" customFormat="1" x14ac:dyDescent="0.2">
      <c r="A544" s="58"/>
      <c r="B544" s="58"/>
      <c r="C544" s="326"/>
      <c r="D544" s="326"/>
      <c r="E544" s="326"/>
      <c r="F544" s="326"/>
      <c r="G544" s="325"/>
      <c r="H544" s="325"/>
      <c r="I544" s="325"/>
      <c r="J544" s="325"/>
    </row>
    <row r="545" spans="1:10" s="51" customFormat="1" x14ac:dyDescent="0.2">
      <c r="A545" s="58"/>
      <c r="B545" s="58"/>
      <c r="C545" s="326"/>
      <c r="D545" s="326"/>
      <c r="E545" s="326"/>
      <c r="F545" s="326"/>
      <c r="G545" s="325"/>
      <c r="H545" s="325"/>
      <c r="I545" s="325"/>
      <c r="J545" s="325"/>
    </row>
    <row r="546" spans="1:10" s="51" customFormat="1" x14ac:dyDescent="0.2">
      <c r="A546" s="58"/>
      <c r="B546" s="58"/>
      <c r="C546" s="326"/>
      <c r="D546" s="326"/>
      <c r="E546" s="326"/>
      <c r="F546" s="326"/>
      <c r="G546" s="325"/>
      <c r="H546" s="325"/>
      <c r="I546" s="325"/>
      <c r="J546" s="325"/>
    </row>
    <row r="547" spans="1:10" s="51" customFormat="1" x14ac:dyDescent="0.2">
      <c r="A547" s="58"/>
      <c r="B547" s="58"/>
      <c r="C547" s="326"/>
      <c r="D547" s="326"/>
      <c r="E547" s="326"/>
      <c r="F547" s="326"/>
      <c r="G547" s="325"/>
      <c r="H547" s="325"/>
      <c r="I547" s="325"/>
      <c r="J547" s="325"/>
    </row>
    <row r="548" spans="1:10" s="51" customFormat="1" x14ac:dyDescent="0.2">
      <c r="A548" s="58"/>
      <c r="B548" s="58"/>
      <c r="C548" s="326"/>
      <c r="D548" s="326"/>
      <c r="E548" s="326"/>
      <c r="F548" s="326"/>
      <c r="G548" s="325"/>
      <c r="H548" s="325"/>
      <c r="I548" s="325"/>
      <c r="J548" s="325"/>
    </row>
    <row r="549" spans="1:10" s="51" customFormat="1" x14ac:dyDescent="0.2">
      <c r="A549" s="58"/>
      <c r="B549" s="58"/>
      <c r="C549" s="326"/>
      <c r="D549" s="326"/>
      <c r="E549" s="326"/>
      <c r="F549" s="326"/>
      <c r="G549" s="325"/>
      <c r="H549" s="325"/>
      <c r="I549" s="325"/>
      <c r="J549" s="325"/>
    </row>
    <row r="550" spans="1:10" s="51" customFormat="1" x14ac:dyDescent="0.2">
      <c r="A550" s="58"/>
      <c r="B550" s="58"/>
      <c r="C550" s="326"/>
      <c r="D550" s="326"/>
      <c r="E550" s="326"/>
      <c r="F550" s="326"/>
      <c r="G550" s="325"/>
      <c r="H550" s="325"/>
      <c r="I550" s="325"/>
      <c r="J550" s="325"/>
    </row>
    <row r="551" spans="1:10" s="51" customFormat="1" x14ac:dyDescent="0.2">
      <c r="A551" s="58"/>
      <c r="B551" s="58"/>
      <c r="C551" s="326"/>
      <c r="D551" s="326"/>
      <c r="E551" s="326"/>
      <c r="F551" s="326"/>
      <c r="G551" s="325"/>
      <c r="H551" s="325"/>
      <c r="I551" s="325"/>
      <c r="J551" s="325"/>
    </row>
    <row r="552" spans="1:10" s="51" customFormat="1" x14ac:dyDescent="0.2">
      <c r="A552" s="58"/>
      <c r="B552" s="58"/>
      <c r="C552" s="326"/>
      <c r="D552" s="326"/>
      <c r="E552" s="326"/>
      <c r="F552" s="326"/>
      <c r="G552" s="325"/>
      <c r="H552" s="325"/>
      <c r="I552" s="325"/>
      <c r="J552" s="325"/>
    </row>
    <row r="553" spans="1:10" s="51" customFormat="1" x14ac:dyDescent="0.2">
      <c r="A553" s="58"/>
      <c r="B553" s="58"/>
      <c r="C553" s="326"/>
      <c r="D553" s="326"/>
      <c r="E553" s="326"/>
      <c r="F553" s="326"/>
      <c r="G553" s="325"/>
      <c r="H553" s="325"/>
      <c r="I553" s="325"/>
      <c r="J553" s="325"/>
    </row>
    <row r="554" spans="1:10" s="51" customFormat="1" x14ac:dyDescent="0.2">
      <c r="A554" s="58"/>
      <c r="B554" s="58"/>
      <c r="C554" s="326"/>
      <c r="D554" s="326"/>
      <c r="E554" s="326"/>
      <c r="F554" s="326"/>
      <c r="G554" s="325"/>
      <c r="H554" s="325"/>
      <c r="I554" s="325"/>
      <c r="J554" s="325"/>
    </row>
    <row r="555" spans="1:10" s="51" customFormat="1" x14ac:dyDescent="0.2">
      <c r="A555" s="58"/>
      <c r="B555" s="58"/>
      <c r="C555" s="326"/>
      <c r="D555" s="326"/>
      <c r="E555" s="326"/>
      <c r="F555" s="326"/>
      <c r="G555" s="325"/>
      <c r="H555" s="325"/>
      <c r="I555" s="325"/>
      <c r="J555" s="325"/>
    </row>
    <row r="556" spans="1:10" s="51" customFormat="1" x14ac:dyDescent="0.2">
      <c r="A556" s="58"/>
      <c r="B556" s="58"/>
      <c r="C556" s="326"/>
      <c r="D556" s="326"/>
      <c r="E556" s="326"/>
      <c r="F556" s="326"/>
      <c r="G556" s="325"/>
      <c r="H556" s="325"/>
      <c r="I556" s="325"/>
      <c r="J556" s="325"/>
    </row>
    <row r="557" spans="1:10" s="51" customFormat="1" x14ac:dyDescent="0.2">
      <c r="A557" s="58"/>
      <c r="B557" s="58"/>
      <c r="C557" s="326"/>
      <c r="D557" s="326"/>
      <c r="E557" s="326"/>
      <c r="F557" s="326"/>
      <c r="G557" s="325"/>
      <c r="H557" s="325"/>
      <c r="I557" s="325"/>
      <c r="J557" s="325"/>
    </row>
    <row r="558" spans="1:10" s="51" customFormat="1" x14ac:dyDescent="0.2">
      <c r="A558" s="58"/>
      <c r="B558" s="58"/>
      <c r="C558" s="326"/>
      <c r="D558" s="326"/>
      <c r="E558" s="326"/>
      <c r="F558" s="326"/>
      <c r="G558" s="325"/>
      <c r="H558" s="325"/>
      <c r="I558" s="325"/>
      <c r="J558" s="325"/>
    </row>
    <row r="559" spans="1:10" s="51" customFormat="1" x14ac:dyDescent="0.2">
      <c r="A559" s="58"/>
      <c r="B559" s="58"/>
      <c r="C559" s="326"/>
      <c r="D559" s="326"/>
      <c r="E559" s="326"/>
      <c r="F559" s="326"/>
      <c r="G559" s="325"/>
      <c r="H559" s="325"/>
      <c r="I559" s="325"/>
      <c r="J559" s="325"/>
    </row>
    <row r="560" spans="1:10" s="51" customFormat="1" x14ac:dyDescent="0.2">
      <c r="A560" s="58"/>
      <c r="B560" s="58"/>
      <c r="C560" s="326"/>
      <c r="D560" s="326"/>
      <c r="E560" s="326"/>
      <c r="F560" s="326"/>
      <c r="G560" s="325"/>
      <c r="H560" s="325"/>
      <c r="I560" s="325"/>
      <c r="J560" s="325"/>
    </row>
    <row r="561" spans="1:10" s="51" customFormat="1" x14ac:dyDescent="0.2">
      <c r="A561" s="58"/>
      <c r="B561" s="58"/>
      <c r="C561" s="326"/>
      <c r="D561" s="326"/>
      <c r="E561" s="326"/>
      <c r="F561" s="326"/>
      <c r="G561" s="325"/>
      <c r="H561" s="325"/>
      <c r="I561" s="325"/>
      <c r="J561" s="325"/>
    </row>
    <row r="562" spans="1:10" s="51" customFormat="1" x14ac:dyDescent="0.2">
      <c r="A562" s="58"/>
      <c r="B562" s="58"/>
      <c r="C562" s="326"/>
      <c r="D562" s="326"/>
      <c r="E562" s="326"/>
      <c r="F562" s="326"/>
      <c r="G562" s="325"/>
      <c r="H562" s="325"/>
      <c r="I562" s="325"/>
      <c r="J562" s="325"/>
    </row>
    <row r="563" spans="1:10" s="51" customFormat="1" x14ac:dyDescent="0.2">
      <c r="A563" s="58"/>
      <c r="B563" s="58"/>
      <c r="C563" s="326"/>
      <c r="D563" s="326"/>
      <c r="E563" s="326"/>
      <c r="F563" s="326"/>
      <c r="G563" s="325"/>
      <c r="H563" s="325"/>
      <c r="I563" s="325"/>
      <c r="J563" s="325"/>
    </row>
    <row r="564" spans="1:10" s="51" customFormat="1" x14ac:dyDescent="0.2">
      <c r="A564" s="58"/>
      <c r="B564" s="58"/>
      <c r="C564" s="326"/>
      <c r="D564" s="326"/>
      <c r="E564" s="326"/>
      <c r="F564" s="326"/>
      <c r="G564" s="325"/>
      <c r="H564" s="325"/>
      <c r="I564" s="325"/>
      <c r="J564" s="325"/>
    </row>
    <row r="565" spans="1:10" s="51" customFormat="1" x14ac:dyDescent="0.2">
      <c r="A565" s="58"/>
      <c r="B565" s="58"/>
      <c r="C565" s="326"/>
      <c r="D565" s="326"/>
      <c r="E565" s="326"/>
      <c r="F565" s="326"/>
      <c r="G565" s="325"/>
      <c r="H565" s="325"/>
      <c r="I565" s="325"/>
      <c r="J565" s="325"/>
    </row>
    <row r="566" spans="1:10" s="51" customFormat="1" x14ac:dyDescent="0.2">
      <c r="A566" s="58"/>
      <c r="B566" s="58"/>
      <c r="C566" s="326"/>
      <c r="D566" s="326"/>
      <c r="E566" s="326"/>
      <c r="F566" s="326"/>
      <c r="G566" s="325"/>
      <c r="H566" s="325"/>
      <c r="I566" s="325"/>
      <c r="J566" s="325"/>
    </row>
    <row r="567" spans="1:10" s="51" customFormat="1" x14ac:dyDescent="0.2">
      <c r="A567" s="58"/>
      <c r="B567" s="58"/>
      <c r="C567" s="326"/>
      <c r="D567" s="326"/>
      <c r="E567" s="326"/>
      <c r="F567" s="326"/>
      <c r="G567" s="325"/>
      <c r="H567" s="325"/>
      <c r="I567" s="325"/>
      <c r="J567" s="325"/>
    </row>
    <row r="568" spans="1:10" s="51" customFormat="1" x14ac:dyDescent="0.2">
      <c r="A568" s="58"/>
      <c r="B568" s="58"/>
      <c r="C568" s="326"/>
      <c r="D568" s="326"/>
      <c r="E568" s="326"/>
      <c r="F568" s="326"/>
      <c r="G568" s="325"/>
      <c r="H568" s="325"/>
      <c r="I568" s="325"/>
      <c r="J568" s="325"/>
    </row>
    <row r="569" spans="1:10" s="51" customFormat="1" x14ac:dyDescent="0.2">
      <c r="A569" s="58"/>
      <c r="B569" s="58"/>
      <c r="C569" s="326"/>
      <c r="D569" s="326"/>
      <c r="E569" s="326"/>
      <c r="F569" s="326"/>
      <c r="G569" s="325"/>
      <c r="H569" s="325"/>
      <c r="I569" s="325"/>
      <c r="J569" s="325"/>
    </row>
    <row r="570" spans="1:10" s="51" customFormat="1" x14ac:dyDescent="0.2">
      <c r="A570" s="58"/>
      <c r="B570" s="58"/>
      <c r="C570" s="326"/>
      <c r="D570" s="326"/>
      <c r="E570" s="326"/>
      <c r="F570" s="326"/>
      <c r="G570" s="325"/>
      <c r="H570" s="325"/>
      <c r="I570" s="325"/>
      <c r="J570" s="325"/>
    </row>
    <row r="571" spans="1:10" s="51" customFormat="1" x14ac:dyDescent="0.2">
      <c r="A571" s="58"/>
      <c r="B571" s="58"/>
      <c r="C571" s="326"/>
      <c r="D571" s="326"/>
      <c r="E571" s="326"/>
      <c r="F571" s="326"/>
      <c r="G571" s="325"/>
      <c r="H571" s="325"/>
      <c r="I571" s="325"/>
      <c r="J571" s="325"/>
    </row>
    <row r="572" spans="1:10" s="51" customFormat="1" x14ac:dyDescent="0.2">
      <c r="A572" s="58"/>
      <c r="B572" s="58"/>
      <c r="C572" s="326"/>
      <c r="D572" s="326"/>
      <c r="E572" s="326"/>
      <c r="F572" s="326"/>
      <c r="G572" s="325"/>
      <c r="H572" s="325"/>
      <c r="I572" s="325"/>
      <c r="J572" s="325"/>
    </row>
    <row r="573" spans="1:10" s="51" customFormat="1" x14ac:dyDescent="0.2">
      <c r="A573" s="58"/>
      <c r="B573" s="58"/>
      <c r="C573" s="326"/>
      <c r="D573" s="326"/>
      <c r="E573" s="326"/>
      <c r="F573" s="326"/>
      <c r="G573" s="325"/>
      <c r="H573" s="325"/>
      <c r="I573" s="325"/>
      <c r="J573" s="325"/>
    </row>
    <row r="574" spans="1:10" s="51" customFormat="1" x14ac:dyDescent="0.2">
      <c r="A574" s="58"/>
      <c r="B574" s="58"/>
      <c r="C574" s="326"/>
      <c r="D574" s="326"/>
      <c r="E574" s="326"/>
      <c r="F574" s="326"/>
      <c r="G574" s="325"/>
      <c r="H574" s="325"/>
      <c r="I574" s="325"/>
      <c r="J574" s="325"/>
    </row>
    <row r="575" spans="1:10" s="51" customFormat="1" x14ac:dyDescent="0.2">
      <c r="A575" s="58"/>
      <c r="B575" s="58"/>
      <c r="C575" s="326"/>
      <c r="D575" s="326"/>
      <c r="E575" s="326"/>
      <c r="F575" s="326"/>
      <c r="G575" s="325"/>
      <c r="H575" s="325"/>
      <c r="I575" s="325"/>
      <c r="J575" s="325"/>
    </row>
    <row r="576" spans="1:10" s="51" customFormat="1" x14ac:dyDescent="0.2">
      <c r="A576" s="58"/>
      <c r="B576" s="58"/>
      <c r="C576" s="326"/>
      <c r="D576" s="326"/>
      <c r="E576" s="326"/>
      <c r="F576" s="326"/>
      <c r="G576" s="325"/>
      <c r="H576" s="325"/>
      <c r="I576" s="325"/>
      <c r="J576" s="325"/>
    </row>
    <row r="577" spans="1:10" s="51" customFormat="1" x14ac:dyDescent="0.2">
      <c r="A577" s="58"/>
      <c r="B577" s="58"/>
      <c r="C577" s="326"/>
      <c r="D577" s="326"/>
      <c r="E577" s="326"/>
      <c r="F577" s="326"/>
      <c r="G577" s="325"/>
      <c r="H577" s="325"/>
      <c r="I577" s="325"/>
      <c r="J577" s="325"/>
    </row>
    <row r="578" spans="1:10" s="51" customFormat="1" x14ac:dyDescent="0.2">
      <c r="A578" s="58"/>
      <c r="B578" s="58"/>
      <c r="C578" s="326"/>
      <c r="D578" s="326"/>
      <c r="E578" s="326"/>
      <c r="F578" s="326"/>
      <c r="G578" s="325"/>
      <c r="H578" s="325"/>
      <c r="I578" s="325"/>
      <c r="J578" s="325"/>
    </row>
    <row r="579" spans="1:10" s="51" customFormat="1" x14ac:dyDescent="0.2">
      <c r="A579" s="58"/>
      <c r="B579" s="58"/>
      <c r="C579" s="326"/>
      <c r="D579" s="326"/>
      <c r="E579" s="326"/>
      <c r="F579" s="326"/>
      <c r="G579" s="325"/>
      <c r="H579" s="325"/>
      <c r="I579" s="325"/>
      <c r="J579" s="325"/>
    </row>
    <row r="580" spans="1:10" s="51" customFormat="1" x14ac:dyDescent="0.2">
      <c r="A580" s="58"/>
      <c r="B580" s="58"/>
      <c r="C580" s="326"/>
      <c r="D580" s="326"/>
      <c r="E580" s="326"/>
      <c r="F580" s="326"/>
      <c r="G580" s="325"/>
      <c r="H580" s="325"/>
      <c r="I580" s="325"/>
      <c r="J580" s="325"/>
    </row>
    <row r="581" spans="1:10" s="51" customFormat="1" x14ac:dyDescent="0.2">
      <c r="A581" s="58"/>
      <c r="B581" s="58"/>
      <c r="C581" s="326"/>
      <c r="D581" s="326"/>
      <c r="E581" s="326"/>
      <c r="F581" s="326"/>
      <c r="G581" s="325"/>
      <c r="H581" s="325"/>
      <c r="I581" s="325"/>
      <c r="J581" s="325"/>
    </row>
    <row r="582" spans="1:10" s="51" customFormat="1" x14ac:dyDescent="0.2">
      <c r="A582" s="58"/>
      <c r="B582" s="58"/>
      <c r="C582" s="326"/>
      <c r="D582" s="326"/>
      <c r="E582" s="326"/>
      <c r="F582" s="326"/>
      <c r="G582" s="325"/>
      <c r="H582" s="325"/>
      <c r="I582" s="325"/>
      <c r="J582" s="325"/>
    </row>
    <row r="583" spans="1:10" s="51" customFormat="1" x14ac:dyDescent="0.2">
      <c r="A583" s="58"/>
      <c r="B583" s="58"/>
      <c r="C583" s="326"/>
      <c r="D583" s="326"/>
      <c r="E583" s="326"/>
      <c r="F583" s="326"/>
      <c r="G583" s="325"/>
      <c r="H583" s="325"/>
      <c r="I583" s="325"/>
      <c r="J583" s="325"/>
    </row>
    <row r="584" spans="1:10" s="51" customFormat="1" x14ac:dyDescent="0.2">
      <c r="A584" s="58"/>
      <c r="B584" s="58"/>
      <c r="C584" s="326"/>
      <c r="D584" s="326"/>
      <c r="E584" s="326"/>
      <c r="F584" s="326"/>
      <c r="G584" s="325"/>
      <c r="H584" s="325"/>
      <c r="I584" s="325"/>
      <c r="J584" s="325"/>
    </row>
    <row r="585" spans="1:10" s="51" customFormat="1" x14ac:dyDescent="0.2">
      <c r="A585" s="58"/>
      <c r="B585" s="58"/>
      <c r="C585" s="326"/>
      <c r="D585" s="326"/>
      <c r="E585" s="326"/>
      <c r="F585" s="326"/>
      <c r="G585" s="325"/>
      <c r="H585" s="325"/>
      <c r="I585" s="325"/>
      <c r="J585" s="325"/>
    </row>
    <row r="586" spans="1:10" s="51" customFormat="1" x14ac:dyDescent="0.2">
      <c r="A586" s="58"/>
      <c r="B586" s="58"/>
      <c r="C586" s="326"/>
      <c r="D586" s="326"/>
      <c r="E586" s="326"/>
      <c r="F586" s="326"/>
      <c r="G586" s="325"/>
      <c r="H586" s="325"/>
      <c r="I586" s="325"/>
      <c r="J586" s="325"/>
    </row>
    <row r="587" spans="1:10" s="51" customFormat="1" x14ac:dyDescent="0.2">
      <c r="A587" s="58"/>
      <c r="B587" s="58"/>
      <c r="C587" s="326"/>
      <c r="D587" s="326"/>
      <c r="E587" s="326"/>
      <c r="F587" s="326"/>
      <c r="G587" s="325"/>
      <c r="H587" s="325"/>
      <c r="I587" s="325"/>
      <c r="J587" s="325"/>
    </row>
    <row r="588" spans="1:10" s="51" customFormat="1" x14ac:dyDescent="0.2">
      <c r="A588" s="58"/>
      <c r="B588" s="58"/>
      <c r="C588" s="326"/>
      <c r="D588" s="326"/>
      <c r="E588" s="326"/>
      <c r="F588" s="326"/>
      <c r="G588" s="325"/>
      <c r="H588" s="325"/>
      <c r="I588" s="325"/>
      <c r="J588" s="325"/>
    </row>
    <row r="589" spans="1:10" s="51" customFormat="1" x14ac:dyDescent="0.2">
      <c r="A589" s="58"/>
      <c r="B589" s="58"/>
      <c r="C589" s="326"/>
      <c r="D589" s="326"/>
      <c r="E589" s="326"/>
      <c r="F589" s="326"/>
      <c r="G589" s="325"/>
      <c r="H589" s="325"/>
      <c r="I589" s="325"/>
      <c r="J589" s="325"/>
    </row>
    <row r="590" spans="1:10" s="51" customFormat="1" x14ac:dyDescent="0.2">
      <c r="A590" s="58"/>
      <c r="B590" s="58"/>
      <c r="C590" s="326"/>
      <c r="D590" s="326"/>
      <c r="E590" s="326"/>
      <c r="F590" s="326"/>
      <c r="G590" s="325"/>
      <c r="H590" s="325"/>
      <c r="I590" s="325"/>
      <c r="J590" s="325"/>
    </row>
    <row r="591" spans="1:10" s="51" customFormat="1" x14ac:dyDescent="0.2">
      <c r="A591" s="58"/>
      <c r="B591" s="58"/>
      <c r="C591" s="326"/>
      <c r="D591" s="326"/>
      <c r="E591" s="326"/>
      <c r="F591" s="326"/>
      <c r="G591" s="325"/>
      <c r="H591" s="325"/>
      <c r="I591" s="325"/>
      <c r="J591" s="325"/>
    </row>
    <row r="592" spans="1:10" s="51" customFormat="1" x14ac:dyDescent="0.2">
      <c r="A592" s="58"/>
      <c r="B592" s="58"/>
      <c r="C592" s="326"/>
      <c r="D592" s="326"/>
      <c r="E592" s="326"/>
      <c r="F592" s="326"/>
      <c r="G592" s="325"/>
      <c r="H592" s="325"/>
      <c r="I592" s="325"/>
      <c r="J592" s="325"/>
    </row>
    <row r="593" spans="1:10" s="51" customFormat="1" x14ac:dyDescent="0.2">
      <c r="A593" s="58"/>
      <c r="B593" s="58"/>
      <c r="C593" s="326"/>
      <c r="D593" s="326"/>
      <c r="E593" s="326"/>
      <c r="F593" s="326"/>
      <c r="G593" s="325"/>
      <c r="H593" s="325"/>
      <c r="I593" s="325"/>
      <c r="J593" s="325"/>
    </row>
    <row r="594" spans="1:10" s="51" customFormat="1" x14ac:dyDescent="0.2">
      <c r="A594" s="58"/>
      <c r="B594" s="58"/>
      <c r="C594" s="326"/>
      <c r="D594" s="326"/>
      <c r="E594" s="326"/>
      <c r="F594" s="326"/>
      <c r="G594" s="325"/>
      <c r="H594" s="325"/>
      <c r="I594" s="325"/>
      <c r="J594" s="325"/>
    </row>
    <row r="595" spans="1:10" s="51" customFormat="1" x14ac:dyDescent="0.2">
      <c r="A595" s="58"/>
      <c r="B595" s="58"/>
      <c r="C595" s="326"/>
      <c r="D595" s="326"/>
      <c r="E595" s="326"/>
      <c r="F595" s="326"/>
      <c r="G595" s="325"/>
      <c r="H595" s="325"/>
      <c r="I595" s="325"/>
      <c r="J595" s="325"/>
    </row>
    <row r="596" spans="1:10" s="51" customFormat="1" x14ac:dyDescent="0.2">
      <c r="A596" s="58"/>
      <c r="B596" s="58"/>
      <c r="C596" s="326"/>
      <c r="D596" s="326"/>
      <c r="E596" s="326"/>
      <c r="F596" s="326"/>
      <c r="G596" s="325"/>
      <c r="H596" s="325"/>
      <c r="I596" s="325"/>
      <c r="J596" s="325"/>
    </row>
    <row r="597" spans="1:10" s="51" customFormat="1" x14ac:dyDescent="0.2">
      <c r="A597" s="58"/>
      <c r="B597" s="58"/>
      <c r="C597" s="326"/>
      <c r="D597" s="326"/>
      <c r="E597" s="326"/>
      <c r="F597" s="326"/>
      <c r="G597" s="325"/>
      <c r="H597" s="325"/>
      <c r="I597" s="325"/>
      <c r="J597" s="325"/>
    </row>
    <row r="598" spans="1:10" s="51" customFormat="1" x14ac:dyDescent="0.2">
      <c r="A598" s="58"/>
      <c r="B598" s="58"/>
      <c r="C598" s="326"/>
      <c r="D598" s="326"/>
      <c r="E598" s="326"/>
      <c r="F598" s="326"/>
      <c r="G598" s="325"/>
      <c r="H598" s="325"/>
      <c r="I598" s="325"/>
      <c r="J598" s="325"/>
    </row>
    <row r="599" spans="1:10" s="51" customFormat="1" x14ac:dyDescent="0.2">
      <c r="A599" s="58"/>
      <c r="B599" s="58"/>
      <c r="C599" s="326"/>
      <c r="D599" s="326"/>
      <c r="E599" s="326"/>
      <c r="F599" s="326"/>
      <c r="G599" s="325"/>
      <c r="H599" s="325"/>
      <c r="I599" s="325"/>
      <c r="J599" s="325"/>
    </row>
    <row r="600" spans="1:10" s="51" customFormat="1" x14ac:dyDescent="0.2">
      <c r="A600" s="58"/>
      <c r="B600" s="58"/>
      <c r="C600" s="326"/>
      <c r="D600" s="326"/>
      <c r="E600" s="326"/>
      <c r="F600" s="326"/>
      <c r="G600" s="325"/>
      <c r="H600" s="325"/>
      <c r="I600" s="325"/>
      <c r="J600" s="325"/>
    </row>
    <row r="601" spans="1:10" s="51" customFormat="1" x14ac:dyDescent="0.2">
      <c r="A601" s="58"/>
      <c r="B601" s="58"/>
      <c r="C601" s="326"/>
      <c r="D601" s="326"/>
      <c r="E601" s="326"/>
      <c r="F601" s="326"/>
      <c r="G601" s="325"/>
      <c r="H601" s="325"/>
      <c r="I601" s="325"/>
      <c r="J601" s="325"/>
    </row>
    <row r="602" spans="1:10" s="51" customFormat="1" x14ac:dyDescent="0.2">
      <c r="A602" s="58"/>
      <c r="B602" s="58"/>
      <c r="C602" s="326"/>
      <c r="D602" s="326"/>
      <c r="E602" s="326"/>
      <c r="F602" s="326"/>
      <c r="G602" s="325"/>
      <c r="H602" s="325"/>
      <c r="I602" s="325"/>
      <c r="J602" s="325"/>
    </row>
    <row r="603" spans="1:10" s="51" customFormat="1" x14ac:dyDescent="0.2">
      <c r="A603" s="58"/>
      <c r="B603" s="58"/>
      <c r="C603" s="326"/>
      <c r="D603" s="326"/>
      <c r="E603" s="326"/>
      <c r="F603" s="326"/>
      <c r="G603" s="325"/>
      <c r="H603" s="325"/>
      <c r="I603" s="325"/>
      <c r="J603" s="325"/>
    </row>
    <row r="604" spans="1:10" s="51" customFormat="1" x14ac:dyDescent="0.2">
      <c r="A604" s="58"/>
      <c r="B604" s="58"/>
      <c r="C604" s="326"/>
      <c r="D604" s="326"/>
      <c r="E604" s="326"/>
      <c r="F604" s="326"/>
      <c r="G604" s="325"/>
      <c r="H604" s="325"/>
      <c r="I604" s="325"/>
      <c r="J604" s="325"/>
    </row>
    <row r="605" spans="1:10" s="51" customFormat="1" x14ac:dyDescent="0.2">
      <c r="A605" s="58"/>
      <c r="B605" s="58"/>
      <c r="C605" s="326"/>
      <c r="D605" s="326"/>
      <c r="E605" s="326"/>
      <c r="F605" s="326"/>
      <c r="G605" s="325"/>
      <c r="H605" s="325"/>
      <c r="I605" s="325"/>
      <c r="J605" s="325"/>
    </row>
    <row r="606" spans="1:10" s="51" customFormat="1" x14ac:dyDescent="0.2">
      <c r="A606" s="58"/>
      <c r="B606" s="58"/>
      <c r="C606" s="326"/>
      <c r="D606" s="326"/>
      <c r="E606" s="326"/>
      <c r="F606" s="326"/>
      <c r="G606" s="325"/>
      <c r="H606" s="325"/>
      <c r="I606" s="325"/>
      <c r="J606" s="325"/>
    </row>
    <row r="607" spans="1:10" s="51" customFormat="1" x14ac:dyDescent="0.2">
      <c r="A607" s="58"/>
      <c r="B607" s="58"/>
      <c r="C607" s="326"/>
      <c r="D607" s="326"/>
      <c r="E607" s="326"/>
      <c r="F607" s="326"/>
      <c r="G607" s="325"/>
      <c r="H607" s="325"/>
      <c r="I607" s="325"/>
      <c r="J607" s="325"/>
    </row>
    <row r="608" spans="1:10" s="51" customFormat="1" x14ac:dyDescent="0.2">
      <c r="A608" s="58"/>
      <c r="B608" s="58"/>
      <c r="C608" s="326"/>
      <c r="D608" s="326"/>
      <c r="E608" s="326"/>
      <c r="F608" s="326"/>
      <c r="G608" s="325"/>
      <c r="H608" s="325"/>
      <c r="I608" s="325"/>
      <c r="J608" s="325"/>
    </row>
    <row r="609" spans="1:10" s="51" customFormat="1" x14ac:dyDescent="0.2">
      <c r="A609" s="58"/>
      <c r="B609" s="58"/>
      <c r="C609" s="326"/>
      <c r="D609" s="326"/>
      <c r="E609" s="326"/>
      <c r="F609" s="326"/>
      <c r="G609" s="325"/>
      <c r="H609" s="325"/>
      <c r="I609" s="325"/>
      <c r="J609" s="325"/>
    </row>
    <row r="610" spans="1:10" s="51" customFormat="1" x14ac:dyDescent="0.2">
      <c r="A610" s="58"/>
      <c r="B610" s="58"/>
      <c r="C610" s="326"/>
      <c r="D610" s="326"/>
      <c r="E610" s="326"/>
      <c r="F610" s="326"/>
      <c r="G610" s="325"/>
      <c r="H610" s="325"/>
      <c r="I610" s="325"/>
      <c r="J610" s="325"/>
    </row>
    <row r="611" spans="1:10" s="51" customFormat="1" x14ac:dyDescent="0.2">
      <c r="A611" s="58"/>
      <c r="B611" s="58"/>
      <c r="C611" s="326"/>
      <c r="D611" s="326"/>
      <c r="E611" s="326"/>
      <c r="F611" s="326"/>
      <c r="G611" s="325"/>
      <c r="H611" s="325"/>
      <c r="I611" s="325"/>
      <c r="J611" s="325"/>
    </row>
    <row r="612" spans="1:10" s="51" customFormat="1" x14ac:dyDescent="0.2">
      <c r="A612" s="58"/>
      <c r="B612" s="58"/>
      <c r="C612" s="326"/>
      <c r="D612" s="326"/>
      <c r="E612" s="326"/>
      <c r="F612" s="326"/>
      <c r="G612" s="325"/>
      <c r="H612" s="325"/>
      <c r="I612" s="325"/>
      <c r="J612" s="325"/>
    </row>
    <row r="613" spans="1:10" s="51" customFormat="1" x14ac:dyDescent="0.2">
      <c r="A613" s="58"/>
      <c r="B613" s="58"/>
      <c r="C613" s="326"/>
      <c r="D613" s="326"/>
      <c r="E613" s="326"/>
      <c r="F613" s="326"/>
      <c r="G613" s="325"/>
      <c r="H613" s="325"/>
      <c r="I613" s="325"/>
      <c r="J613" s="325"/>
    </row>
    <row r="614" spans="1:10" s="51" customFormat="1" x14ac:dyDescent="0.2">
      <c r="A614" s="58"/>
      <c r="B614" s="58"/>
      <c r="C614" s="326"/>
      <c r="D614" s="326"/>
      <c r="E614" s="326"/>
      <c r="F614" s="326"/>
      <c r="G614" s="325"/>
      <c r="H614" s="325"/>
      <c r="I614" s="325"/>
      <c r="J614" s="325"/>
    </row>
    <row r="615" spans="1:10" s="51" customFormat="1" x14ac:dyDescent="0.2">
      <c r="A615" s="58"/>
      <c r="B615" s="58"/>
      <c r="C615" s="326"/>
      <c r="D615" s="326"/>
      <c r="E615" s="326"/>
      <c r="F615" s="326"/>
      <c r="G615" s="325"/>
      <c r="H615" s="325"/>
      <c r="I615" s="325"/>
      <c r="J615" s="325"/>
    </row>
    <row r="616" spans="1:10" s="51" customFormat="1" x14ac:dyDescent="0.2">
      <c r="A616" s="58"/>
      <c r="B616" s="58"/>
      <c r="C616" s="326"/>
      <c r="D616" s="326"/>
      <c r="E616" s="326"/>
      <c r="F616" s="326"/>
      <c r="G616" s="325"/>
      <c r="H616" s="325"/>
      <c r="I616" s="325"/>
      <c r="J616" s="325"/>
    </row>
    <row r="617" spans="1:10" s="51" customFormat="1" x14ac:dyDescent="0.2">
      <c r="A617" s="58"/>
      <c r="B617" s="58"/>
      <c r="C617" s="326"/>
      <c r="D617" s="326"/>
      <c r="E617" s="326"/>
      <c r="F617" s="326"/>
      <c r="G617" s="325"/>
      <c r="H617" s="325"/>
      <c r="I617" s="325"/>
      <c r="J617" s="325"/>
    </row>
    <row r="618" spans="1:10" s="51" customFormat="1" x14ac:dyDescent="0.2">
      <c r="A618" s="58"/>
      <c r="B618" s="58"/>
      <c r="C618" s="326"/>
      <c r="D618" s="326"/>
      <c r="E618" s="326"/>
      <c r="F618" s="326"/>
      <c r="G618" s="325"/>
      <c r="H618" s="325"/>
      <c r="I618" s="325"/>
      <c r="J618" s="325"/>
    </row>
    <row r="619" spans="1:10" s="51" customFormat="1" x14ac:dyDescent="0.2">
      <c r="A619" s="58"/>
      <c r="B619" s="58"/>
      <c r="C619" s="326"/>
      <c r="D619" s="326"/>
      <c r="E619" s="326"/>
      <c r="F619" s="326"/>
      <c r="G619" s="325"/>
      <c r="H619" s="325"/>
      <c r="I619" s="325"/>
      <c r="J619" s="325"/>
    </row>
    <row r="620" spans="1:10" s="51" customFormat="1" x14ac:dyDescent="0.2">
      <c r="A620" s="58"/>
      <c r="B620" s="58"/>
      <c r="C620" s="326"/>
      <c r="D620" s="326"/>
      <c r="E620" s="326"/>
      <c r="F620" s="326"/>
      <c r="G620" s="325"/>
      <c r="H620" s="325"/>
      <c r="I620" s="325"/>
      <c r="J620" s="325"/>
    </row>
    <row r="621" spans="1:10" s="51" customFormat="1" x14ac:dyDescent="0.2">
      <c r="A621" s="58"/>
      <c r="B621" s="58"/>
      <c r="C621" s="326"/>
      <c r="D621" s="326"/>
      <c r="E621" s="326"/>
      <c r="F621" s="326"/>
      <c r="G621" s="325"/>
      <c r="H621" s="325"/>
      <c r="I621" s="325"/>
      <c r="J621" s="325"/>
    </row>
    <row r="622" spans="1:10" s="51" customFormat="1" x14ac:dyDescent="0.2">
      <c r="A622" s="58"/>
      <c r="B622" s="58"/>
      <c r="C622" s="326"/>
      <c r="D622" s="326"/>
      <c r="E622" s="326"/>
      <c r="F622" s="326"/>
      <c r="G622" s="325"/>
      <c r="H622" s="325"/>
      <c r="I622" s="325"/>
      <c r="J622" s="325"/>
    </row>
    <row r="623" spans="1:10" s="51" customFormat="1" x14ac:dyDescent="0.2">
      <c r="A623" s="58"/>
      <c r="B623" s="58"/>
      <c r="C623" s="326"/>
      <c r="D623" s="326"/>
      <c r="E623" s="326"/>
      <c r="F623" s="326"/>
      <c r="G623" s="325"/>
      <c r="H623" s="325"/>
      <c r="I623" s="325"/>
      <c r="J623" s="325"/>
    </row>
    <row r="624" spans="1:10" s="51" customFormat="1" x14ac:dyDescent="0.2">
      <c r="A624" s="58"/>
      <c r="B624" s="58"/>
      <c r="C624" s="326"/>
      <c r="D624" s="326"/>
      <c r="E624" s="326"/>
      <c r="F624" s="326"/>
      <c r="G624" s="325"/>
      <c r="H624" s="325"/>
      <c r="I624" s="325"/>
      <c r="J624" s="325"/>
    </row>
    <row r="625" spans="1:10" s="51" customFormat="1" x14ac:dyDescent="0.2">
      <c r="A625" s="58"/>
      <c r="B625" s="58"/>
      <c r="C625" s="326"/>
      <c r="D625" s="326"/>
      <c r="E625" s="326"/>
      <c r="F625" s="326"/>
      <c r="G625" s="325"/>
      <c r="H625" s="325"/>
      <c r="I625" s="325"/>
      <c r="J625" s="325"/>
    </row>
    <row r="626" spans="1:10" s="51" customFormat="1" x14ac:dyDescent="0.2">
      <c r="A626" s="58"/>
      <c r="B626" s="58"/>
      <c r="C626" s="326"/>
      <c r="D626" s="326"/>
      <c r="E626" s="326"/>
      <c r="F626" s="326"/>
      <c r="G626" s="325"/>
      <c r="H626" s="325"/>
      <c r="I626" s="325"/>
      <c r="J626" s="325"/>
    </row>
    <row r="627" spans="1:10" s="51" customFormat="1" x14ac:dyDescent="0.2">
      <c r="A627" s="58"/>
      <c r="B627" s="58"/>
      <c r="C627" s="326"/>
      <c r="D627" s="326"/>
      <c r="E627" s="326"/>
      <c r="F627" s="326"/>
      <c r="G627" s="325"/>
      <c r="H627" s="325"/>
      <c r="I627" s="325"/>
      <c r="J627" s="325"/>
    </row>
    <row r="628" spans="1:10" s="51" customFormat="1" x14ac:dyDescent="0.2">
      <c r="A628" s="58"/>
      <c r="B628" s="58"/>
      <c r="C628" s="326"/>
      <c r="D628" s="326"/>
      <c r="E628" s="326"/>
      <c r="F628" s="326"/>
      <c r="G628" s="325"/>
      <c r="H628" s="325"/>
      <c r="I628" s="325"/>
      <c r="J628" s="325"/>
    </row>
    <row r="629" spans="1:10" s="51" customFormat="1" x14ac:dyDescent="0.2">
      <c r="A629" s="58"/>
      <c r="B629" s="58"/>
      <c r="C629" s="326"/>
      <c r="D629" s="326"/>
      <c r="E629" s="326"/>
      <c r="F629" s="326"/>
      <c r="G629" s="325"/>
      <c r="H629" s="325"/>
      <c r="I629" s="325"/>
      <c r="J629" s="325"/>
    </row>
    <row r="630" spans="1:10" s="51" customFormat="1" x14ac:dyDescent="0.2">
      <c r="A630" s="58"/>
      <c r="B630" s="58"/>
      <c r="C630" s="326"/>
      <c r="D630" s="326"/>
      <c r="E630" s="326"/>
      <c r="F630" s="326"/>
      <c r="G630" s="325"/>
      <c r="H630" s="325"/>
      <c r="I630" s="325"/>
      <c r="J630" s="325"/>
    </row>
    <row r="631" spans="1:10" s="51" customFormat="1" x14ac:dyDescent="0.2">
      <c r="A631" s="58"/>
      <c r="B631" s="58"/>
      <c r="C631" s="326"/>
      <c r="D631" s="326"/>
      <c r="E631" s="326"/>
      <c r="F631" s="326"/>
      <c r="G631" s="325"/>
      <c r="H631" s="325"/>
      <c r="I631" s="325"/>
      <c r="J631" s="325"/>
    </row>
    <row r="632" spans="1:10" s="51" customFormat="1" x14ac:dyDescent="0.2">
      <c r="A632" s="58"/>
      <c r="B632" s="58"/>
      <c r="C632" s="326"/>
      <c r="D632" s="326"/>
      <c r="E632" s="326"/>
      <c r="F632" s="326"/>
      <c r="G632" s="325"/>
      <c r="H632" s="325"/>
      <c r="I632" s="325"/>
      <c r="J632" s="325"/>
    </row>
    <row r="633" spans="1:10" s="51" customFormat="1" x14ac:dyDescent="0.2">
      <c r="A633" s="58"/>
      <c r="B633" s="58"/>
      <c r="C633" s="326"/>
      <c r="D633" s="326"/>
      <c r="E633" s="326"/>
      <c r="F633" s="326"/>
      <c r="G633" s="325"/>
      <c r="H633" s="325"/>
      <c r="I633" s="325"/>
      <c r="J633" s="325"/>
    </row>
    <row r="634" spans="1:10" s="51" customFormat="1" x14ac:dyDescent="0.2">
      <c r="A634" s="58"/>
      <c r="B634" s="58"/>
      <c r="C634" s="326"/>
      <c r="D634" s="326"/>
      <c r="E634" s="326"/>
      <c r="F634" s="326"/>
      <c r="G634" s="325"/>
      <c r="H634" s="325"/>
      <c r="I634" s="325"/>
      <c r="J634" s="325"/>
    </row>
    <row r="635" spans="1:10" s="51" customFormat="1" x14ac:dyDescent="0.2">
      <c r="A635" s="58"/>
      <c r="B635" s="58"/>
      <c r="C635" s="326"/>
      <c r="D635" s="326"/>
      <c r="E635" s="326"/>
      <c r="F635" s="326"/>
      <c r="G635" s="325"/>
      <c r="H635" s="325"/>
      <c r="I635" s="325"/>
      <c r="J635" s="325"/>
    </row>
    <row r="636" spans="1:10" s="51" customFormat="1" x14ac:dyDescent="0.2">
      <c r="A636" s="58"/>
      <c r="B636" s="58"/>
      <c r="C636" s="326"/>
      <c r="D636" s="326"/>
      <c r="E636" s="326"/>
      <c r="F636" s="326"/>
      <c r="G636" s="325"/>
      <c r="H636" s="325"/>
      <c r="I636" s="325"/>
      <c r="J636" s="325"/>
    </row>
    <row r="637" spans="1:10" s="51" customFormat="1" x14ac:dyDescent="0.2">
      <c r="A637" s="58"/>
      <c r="B637" s="58"/>
      <c r="C637" s="326"/>
      <c r="D637" s="326"/>
      <c r="E637" s="326"/>
      <c r="F637" s="326"/>
      <c r="G637" s="325"/>
      <c r="H637" s="325"/>
      <c r="I637" s="325"/>
      <c r="J637" s="325"/>
    </row>
    <row r="638" spans="1:10" s="51" customFormat="1" x14ac:dyDescent="0.2">
      <c r="A638" s="58"/>
      <c r="B638" s="58"/>
      <c r="C638" s="326"/>
      <c r="D638" s="326"/>
      <c r="E638" s="326"/>
      <c r="F638" s="326"/>
      <c r="G638" s="325"/>
      <c r="H638" s="325"/>
      <c r="I638" s="325"/>
      <c r="J638" s="325"/>
    </row>
    <row r="639" spans="1:10" s="51" customFormat="1" x14ac:dyDescent="0.2">
      <c r="A639" s="58"/>
      <c r="B639" s="58"/>
      <c r="C639" s="326"/>
      <c r="D639" s="326"/>
      <c r="E639" s="326"/>
      <c r="F639" s="326"/>
      <c r="G639" s="325"/>
      <c r="H639" s="325"/>
      <c r="I639" s="325"/>
      <c r="J639" s="325"/>
    </row>
    <row r="640" spans="1:10" s="51" customFormat="1" x14ac:dyDescent="0.2">
      <c r="A640" s="58"/>
      <c r="B640" s="58"/>
      <c r="C640" s="326"/>
      <c r="D640" s="326"/>
      <c r="E640" s="326"/>
      <c r="F640" s="326"/>
      <c r="G640" s="325"/>
      <c r="H640" s="325"/>
      <c r="I640" s="325"/>
      <c r="J640" s="325"/>
    </row>
    <row r="641" spans="1:10" s="51" customFormat="1" x14ac:dyDescent="0.2">
      <c r="A641" s="58"/>
      <c r="B641" s="58"/>
      <c r="C641" s="326"/>
      <c r="D641" s="326"/>
      <c r="E641" s="326"/>
      <c r="F641" s="326"/>
      <c r="G641" s="325"/>
      <c r="H641" s="325"/>
      <c r="I641" s="325"/>
      <c r="J641" s="325"/>
    </row>
    <row r="642" spans="1:10" s="51" customFormat="1" x14ac:dyDescent="0.2">
      <c r="A642" s="58"/>
      <c r="B642" s="58"/>
      <c r="C642" s="326"/>
      <c r="D642" s="326"/>
      <c r="E642" s="326"/>
      <c r="F642" s="326"/>
      <c r="G642" s="325"/>
      <c r="H642" s="325"/>
      <c r="I642" s="325"/>
      <c r="J642" s="325"/>
    </row>
    <row r="643" spans="1:10" s="51" customFormat="1" x14ac:dyDescent="0.2">
      <c r="A643" s="58"/>
      <c r="B643" s="58"/>
      <c r="C643" s="326"/>
      <c r="D643" s="326"/>
      <c r="E643" s="326"/>
      <c r="F643" s="326"/>
      <c r="G643" s="325"/>
      <c r="H643" s="325"/>
      <c r="I643" s="325"/>
      <c r="J643" s="325"/>
    </row>
    <row r="644" spans="1:10" s="51" customFormat="1" x14ac:dyDescent="0.2">
      <c r="A644" s="58"/>
      <c r="B644" s="58"/>
      <c r="C644" s="326"/>
      <c r="D644" s="326"/>
      <c r="E644" s="326"/>
      <c r="F644" s="326"/>
      <c r="G644" s="325"/>
      <c r="H644" s="325"/>
      <c r="I644" s="325"/>
      <c r="J644" s="325"/>
    </row>
    <row r="645" spans="1:10" s="51" customFormat="1" x14ac:dyDescent="0.2">
      <c r="A645" s="58"/>
      <c r="B645" s="58"/>
      <c r="C645" s="326"/>
      <c r="D645" s="326"/>
      <c r="E645" s="326"/>
      <c r="F645" s="326"/>
      <c r="G645" s="325"/>
      <c r="H645" s="325"/>
      <c r="I645" s="325"/>
      <c r="J645" s="325"/>
    </row>
    <row r="646" spans="1:10" s="51" customFormat="1" x14ac:dyDescent="0.2">
      <c r="A646" s="58"/>
      <c r="B646" s="58"/>
      <c r="C646" s="326"/>
      <c r="D646" s="326"/>
      <c r="E646" s="326"/>
      <c r="F646" s="326"/>
      <c r="G646" s="325"/>
      <c r="H646" s="325"/>
      <c r="I646" s="325"/>
      <c r="J646" s="325"/>
    </row>
    <row r="647" spans="1:10" s="51" customFormat="1" x14ac:dyDescent="0.2">
      <c r="A647" s="58"/>
      <c r="B647" s="58"/>
      <c r="C647" s="326"/>
      <c r="D647" s="326"/>
      <c r="E647" s="326"/>
      <c r="F647" s="326"/>
      <c r="G647" s="325"/>
      <c r="H647" s="325"/>
      <c r="I647" s="325"/>
      <c r="J647" s="325"/>
    </row>
    <row r="648" spans="1:10" s="51" customFormat="1" x14ac:dyDescent="0.2">
      <c r="A648" s="58"/>
      <c r="B648" s="58"/>
      <c r="C648" s="326"/>
      <c r="D648" s="326"/>
      <c r="E648" s="326"/>
      <c r="F648" s="326"/>
      <c r="G648" s="325"/>
      <c r="H648" s="325"/>
      <c r="I648" s="325"/>
      <c r="J648" s="325"/>
    </row>
    <row r="649" spans="1:10" s="51" customFormat="1" x14ac:dyDescent="0.2">
      <c r="A649" s="58"/>
      <c r="B649" s="58"/>
      <c r="C649" s="326"/>
      <c r="D649" s="326"/>
      <c r="E649" s="326"/>
      <c r="F649" s="326"/>
      <c r="G649" s="325"/>
      <c r="H649" s="325"/>
      <c r="I649" s="325"/>
      <c r="J649" s="325"/>
    </row>
    <row r="650" spans="1:10" s="51" customFormat="1" x14ac:dyDescent="0.2">
      <c r="A650" s="58"/>
      <c r="B650" s="58"/>
      <c r="C650" s="326"/>
      <c r="D650" s="326"/>
      <c r="E650" s="326"/>
      <c r="F650" s="326"/>
      <c r="G650" s="325"/>
      <c r="H650" s="325"/>
      <c r="I650" s="325"/>
      <c r="J650" s="325"/>
    </row>
    <row r="651" spans="1:10" s="51" customFormat="1" x14ac:dyDescent="0.2">
      <c r="A651" s="58"/>
      <c r="B651" s="58"/>
      <c r="C651" s="326"/>
      <c r="D651" s="326"/>
      <c r="E651" s="326"/>
      <c r="F651" s="326"/>
      <c r="G651" s="325"/>
      <c r="H651" s="325"/>
      <c r="I651" s="325"/>
      <c r="J651" s="325"/>
    </row>
    <row r="652" spans="1:10" s="51" customFormat="1" x14ac:dyDescent="0.2">
      <c r="A652" s="58"/>
      <c r="B652" s="58"/>
      <c r="C652" s="326"/>
      <c r="D652" s="326"/>
      <c r="E652" s="326"/>
      <c r="F652" s="326"/>
      <c r="G652" s="325"/>
      <c r="H652" s="325"/>
      <c r="I652" s="325"/>
      <c r="J652" s="325"/>
    </row>
    <row r="653" spans="1:10" s="51" customFormat="1" x14ac:dyDescent="0.2">
      <c r="A653" s="58"/>
      <c r="B653" s="58"/>
      <c r="C653" s="326"/>
      <c r="D653" s="326"/>
      <c r="E653" s="326"/>
      <c r="F653" s="326"/>
      <c r="G653" s="325"/>
      <c r="H653" s="325"/>
      <c r="I653" s="325"/>
      <c r="J653" s="325"/>
    </row>
    <row r="654" spans="1:10" s="51" customFormat="1" x14ac:dyDescent="0.2">
      <c r="A654" s="58"/>
      <c r="B654" s="58"/>
      <c r="C654" s="326"/>
      <c r="D654" s="326"/>
      <c r="E654" s="326"/>
      <c r="F654" s="326"/>
      <c r="G654" s="325"/>
      <c r="H654" s="325"/>
      <c r="I654" s="325"/>
      <c r="J654" s="325"/>
    </row>
    <row r="655" spans="1:10" s="51" customFormat="1" x14ac:dyDescent="0.2">
      <c r="A655" s="58"/>
      <c r="B655" s="58"/>
      <c r="C655" s="326"/>
      <c r="D655" s="326"/>
      <c r="E655" s="326"/>
      <c r="F655" s="326"/>
      <c r="G655" s="325"/>
      <c r="H655" s="325"/>
      <c r="I655" s="325"/>
      <c r="J655" s="325"/>
    </row>
    <row r="656" spans="1:10" s="51" customFormat="1" x14ac:dyDescent="0.2">
      <c r="A656" s="58"/>
      <c r="B656" s="58"/>
      <c r="C656" s="326"/>
      <c r="D656" s="326"/>
      <c r="E656" s="326"/>
      <c r="F656" s="326"/>
      <c r="G656" s="325"/>
      <c r="H656" s="325"/>
      <c r="I656" s="325"/>
      <c r="J656" s="325"/>
    </row>
    <row r="657" spans="1:10" s="51" customFormat="1" x14ac:dyDescent="0.2">
      <c r="A657" s="58"/>
      <c r="B657" s="58"/>
      <c r="C657" s="326"/>
      <c r="D657" s="326"/>
      <c r="E657" s="326"/>
      <c r="F657" s="326"/>
      <c r="G657" s="325"/>
      <c r="H657" s="325"/>
      <c r="I657" s="325"/>
      <c r="J657" s="325"/>
    </row>
    <row r="658" spans="1:10" s="51" customFormat="1" x14ac:dyDescent="0.2">
      <c r="A658" s="58"/>
      <c r="B658" s="58"/>
      <c r="C658" s="326"/>
      <c r="D658" s="326"/>
      <c r="E658" s="326"/>
      <c r="F658" s="326"/>
      <c r="G658" s="325"/>
      <c r="H658" s="325"/>
      <c r="I658" s="325"/>
      <c r="J658" s="325"/>
    </row>
    <row r="659" spans="1:10" s="51" customFormat="1" x14ac:dyDescent="0.2">
      <c r="A659" s="58"/>
      <c r="B659" s="58"/>
      <c r="C659" s="326"/>
      <c r="D659" s="326"/>
      <c r="E659" s="326"/>
      <c r="F659" s="326"/>
      <c r="G659" s="325"/>
      <c r="H659" s="325"/>
      <c r="I659" s="325"/>
      <c r="J659" s="325"/>
    </row>
    <row r="660" spans="1:10" s="51" customFormat="1" x14ac:dyDescent="0.2">
      <c r="A660" s="58"/>
      <c r="B660" s="58"/>
      <c r="C660" s="326"/>
      <c r="D660" s="326"/>
      <c r="E660" s="326"/>
      <c r="F660" s="326"/>
      <c r="G660" s="325"/>
      <c r="H660" s="325"/>
      <c r="I660" s="325"/>
      <c r="J660" s="325"/>
    </row>
    <row r="661" spans="1:10" s="51" customFormat="1" x14ac:dyDescent="0.2">
      <c r="A661" s="58"/>
      <c r="B661" s="58"/>
      <c r="C661" s="326"/>
      <c r="D661" s="326"/>
      <c r="E661" s="326"/>
      <c r="F661" s="326"/>
      <c r="G661" s="325"/>
      <c r="H661" s="325"/>
      <c r="I661" s="325"/>
      <c r="J661" s="325"/>
    </row>
    <row r="662" spans="1:10" s="51" customFormat="1" x14ac:dyDescent="0.2">
      <c r="A662" s="58"/>
      <c r="B662" s="58"/>
      <c r="C662" s="326"/>
      <c r="D662" s="326"/>
      <c r="E662" s="326"/>
      <c r="F662" s="326"/>
      <c r="G662" s="325"/>
      <c r="H662" s="325"/>
      <c r="I662" s="325"/>
      <c r="J662" s="325"/>
    </row>
    <row r="663" spans="1:10" s="51" customFormat="1" x14ac:dyDescent="0.2">
      <c r="A663" s="58"/>
      <c r="B663" s="58"/>
      <c r="C663" s="326"/>
      <c r="D663" s="326"/>
      <c r="E663" s="326"/>
      <c r="F663" s="326"/>
      <c r="G663" s="325"/>
      <c r="H663" s="325"/>
      <c r="I663" s="325"/>
      <c r="J663" s="325"/>
    </row>
    <row r="664" spans="1:10" s="51" customFormat="1" x14ac:dyDescent="0.2">
      <c r="A664" s="58"/>
      <c r="B664" s="58"/>
      <c r="C664" s="326"/>
      <c r="D664" s="326"/>
      <c r="E664" s="326"/>
      <c r="F664" s="326"/>
      <c r="G664" s="325"/>
      <c r="H664" s="325"/>
      <c r="I664" s="325"/>
      <c r="J664" s="325"/>
    </row>
    <row r="665" spans="1:10" s="51" customFormat="1" x14ac:dyDescent="0.2">
      <c r="A665" s="58"/>
      <c r="B665" s="58"/>
      <c r="C665" s="326"/>
      <c r="D665" s="326"/>
      <c r="E665" s="326"/>
      <c r="F665" s="326"/>
      <c r="G665" s="325"/>
      <c r="H665" s="325"/>
      <c r="I665" s="325"/>
      <c r="J665" s="325"/>
    </row>
    <row r="666" spans="1:10" s="51" customFormat="1" x14ac:dyDescent="0.2">
      <c r="A666" s="58"/>
      <c r="B666" s="58"/>
      <c r="C666" s="326"/>
      <c r="D666" s="326"/>
      <c r="E666" s="326"/>
      <c r="F666" s="326"/>
      <c r="G666" s="325"/>
      <c r="H666" s="325"/>
      <c r="I666" s="325"/>
      <c r="J666" s="325"/>
    </row>
    <row r="667" spans="1:10" s="51" customFormat="1" x14ac:dyDescent="0.2">
      <c r="A667" s="58"/>
      <c r="B667" s="58"/>
      <c r="C667" s="326"/>
      <c r="D667" s="326"/>
      <c r="E667" s="326"/>
      <c r="F667" s="326"/>
      <c r="G667" s="325"/>
      <c r="H667" s="325"/>
      <c r="I667" s="325"/>
      <c r="J667" s="325"/>
    </row>
    <row r="668" spans="1:10" s="51" customFormat="1" x14ac:dyDescent="0.2">
      <c r="A668" s="58"/>
      <c r="B668" s="58"/>
      <c r="C668" s="326"/>
      <c r="D668" s="326"/>
      <c r="E668" s="326"/>
      <c r="F668" s="326"/>
      <c r="G668" s="325"/>
      <c r="H668" s="325"/>
      <c r="I668" s="325"/>
      <c r="J668" s="325"/>
    </row>
    <row r="669" spans="1:10" s="51" customFormat="1" x14ac:dyDescent="0.2">
      <c r="A669" s="58"/>
      <c r="B669" s="58"/>
      <c r="C669" s="326"/>
      <c r="D669" s="326"/>
      <c r="E669" s="326"/>
      <c r="F669" s="326"/>
      <c r="G669" s="325"/>
      <c r="H669" s="325"/>
      <c r="I669" s="325"/>
      <c r="J669" s="325"/>
    </row>
    <row r="670" spans="1:10" s="51" customFormat="1" x14ac:dyDescent="0.2">
      <c r="A670" s="58"/>
      <c r="B670" s="58"/>
      <c r="C670" s="326"/>
      <c r="D670" s="326"/>
      <c r="E670" s="326"/>
      <c r="F670" s="326"/>
      <c r="G670" s="325"/>
      <c r="H670" s="325"/>
      <c r="I670" s="325"/>
      <c r="J670" s="325"/>
    </row>
    <row r="671" spans="1:10" s="51" customFormat="1" x14ac:dyDescent="0.2">
      <c r="A671" s="58"/>
      <c r="B671" s="58"/>
      <c r="C671" s="326"/>
      <c r="D671" s="326"/>
      <c r="E671" s="326"/>
      <c r="F671" s="326"/>
      <c r="G671" s="325"/>
      <c r="H671" s="325"/>
      <c r="I671" s="325"/>
      <c r="J671" s="325"/>
    </row>
    <row r="672" spans="1:10" s="51" customFormat="1" x14ac:dyDescent="0.2">
      <c r="A672" s="58"/>
      <c r="B672" s="58"/>
      <c r="C672" s="326"/>
      <c r="D672" s="326"/>
      <c r="E672" s="326"/>
      <c r="F672" s="326"/>
      <c r="G672" s="325"/>
      <c r="H672" s="325"/>
      <c r="I672" s="325"/>
      <c r="J672" s="325"/>
    </row>
    <row r="673" spans="1:10" s="51" customFormat="1" x14ac:dyDescent="0.2">
      <c r="A673" s="58"/>
      <c r="B673" s="58"/>
      <c r="C673" s="326"/>
      <c r="D673" s="326"/>
      <c r="E673" s="326"/>
      <c r="F673" s="326"/>
      <c r="G673" s="325"/>
      <c r="H673" s="325"/>
      <c r="I673" s="325"/>
      <c r="J673" s="325"/>
    </row>
    <row r="674" spans="1:10" s="51" customFormat="1" x14ac:dyDescent="0.2">
      <c r="A674" s="58"/>
      <c r="B674" s="58"/>
      <c r="C674" s="326"/>
      <c r="D674" s="326"/>
      <c r="E674" s="326"/>
      <c r="F674" s="326"/>
      <c r="G674" s="325"/>
      <c r="H674" s="325"/>
      <c r="I674" s="325"/>
      <c r="J674" s="325"/>
    </row>
    <row r="675" spans="1:10" s="51" customFormat="1" x14ac:dyDescent="0.2">
      <c r="A675" s="58"/>
      <c r="B675" s="58"/>
      <c r="C675" s="326"/>
      <c r="D675" s="326"/>
      <c r="E675" s="326"/>
      <c r="F675" s="326"/>
      <c r="G675" s="325"/>
      <c r="H675" s="325"/>
      <c r="I675" s="325"/>
      <c r="J675" s="325"/>
    </row>
    <row r="676" spans="1:10" s="51" customFormat="1" x14ac:dyDescent="0.2">
      <c r="A676" s="58"/>
      <c r="B676" s="58"/>
      <c r="C676" s="326"/>
      <c r="D676" s="326"/>
      <c r="E676" s="326"/>
      <c r="F676" s="326"/>
      <c r="G676" s="325"/>
      <c r="H676" s="325"/>
      <c r="I676" s="325"/>
      <c r="J676" s="325"/>
    </row>
    <row r="677" spans="1:10" s="51" customFormat="1" x14ac:dyDescent="0.2">
      <c r="A677" s="58"/>
      <c r="B677" s="58"/>
      <c r="C677" s="326"/>
      <c r="D677" s="326"/>
      <c r="E677" s="326"/>
      <c r="F677" s="326"/>
      <c r="G677" s="325"/>
      <c r="H677" s="325"/>
      <c r="I677" s="325"/>
      <c r="J677" s="325"/>
    </row>
    <row r="678" spans="1:10" s="51" customFormat="1" x14ac:dyDescent="0.2">
      <c r="A678" s="58"/>
      <c r="B678" s="58"/>
      <c r="C678" s="326"/>
      <c r="D678" s="326"/>
      <c r="E678" s="326"/>
      <c r="F678" s="326"/>
      <c r="G678" s="325"/>
      <c r="H678" s="325"/>
      <c r="I678" s="325"/>
      <c r="J678" s="325"/>
    </row>
    <row r="679" spans="1:10" s="51" customFormat="1" x14ac:dyDescent="0.2">
      <c r="A679" s="58"/>
      <c r="B679" s="58"/>
      <c r="C679" s="326"/>
      <c r="D679" s="326"/>
      <c r="E679" s="326"/>
      <c r="F679" s="326"/>
      <c r="G679" s="325"/>
      <c r="H679" s="325"/>
      <c r="I679" s="325"/>
      <c r="J679" s="325"/>
    </row>
    <row r="680" spans="1:10" s="51" customFormat="1" x14ac:dyDescent="0.2">
      <c r="A680" s="58"/>
      <c r="B680" s="58"/>
      <c r="C680" s="326"/>
      <c r="D680" s="326"/>
      <c r="E680" s="326"/>
      <c r="F680" s="326"/>
      <c r="G680" s="325"/>
      <c r="H680" s="325"/>
      <c r="I680" s="325"/>
      <c r="J680" s="325"/>
    </row>
    <row r="681" spans="1:10" s="51" customFormat="1" x14ac:dyDescent="0.2">
      <c r="A681" s="58"/>
      <c r="B681" s="58"/>
      <c r="C681" s="326"/>
      <c r="D681" s="326"/>
      <c r="E681" s="326"/>
      <c r="F681" s="326"/>
      <c r="G681" s="325"/>
      <c r="H681" s="325"/>
      <c r="I681" s="325"/>
      <c r="J681" s="325"/>
    </row>
    <row r="682" spans="1:10" s="51" customFormat="1" x14ac:dyDescent="0.2">
      <c r="A682" s="58"/>
      <c r="B682" s="58"/>
      <c r="C682" s="326"/>
      <c r="D682" s="326"/>
      <c r="E682" s="326"/>
      <c r="F682" s="326"/>
      <c r="G682" s="325"/>
      <c r="H682" s="325"/>
      <c r="I682" s="325"/>
      <c r="J682" s="325"/>
    </row>
    <row r="683" spans="1:10" s="51" customFormat="1" x14ac:dyDescent="0.2">
      <c r="A683" s="58"/>
      <c r="B683" s="58"/>
      <c r="C683" s="326"/>
      <c r="D683" s="326"/>
      <c r="E683" s="326"/>
      <c r="F683" s="326"/>
      <c r="G683" s="325"/>
      <c r="H683" s="325"/>
      <c r="I683" s="325"/>
      <c r="J683" s="325"/>
    </row>
    <row r="684" spans="1:10" s="51" customFormat="1" x14ac:dyDescent="0.2">
      <c r="A684" s="58"/>
      <c r="B684" s="58"/>
      <c r="C684" s="326"/>
      <c r="D684" s="326"/>
      <c r="E684" s="326"/>
      <c r="F684" s="326"/>
      <c r="G684" s="325"/>
      <c r="H684" s="325"/>
      <c r="I684" s="325"/>
      <c r="J684" s="325"/>
    </row>
    <row r="685" spans="1:10" s="51" customFormat="1" x14ac:dyDescent="0.2">
      <c r="A685" s="58"/>
      <c r="B685" s="58"/>
      <c r="C685" s="326"/>
      <c r="D685" s="326"/>
      <c r="E685" s="326"/>
      <c r="F685" s="326"/>
      <c r="G685" s="325"/>
      <c r="H685" s="325"/>
      <c r="I685" s="325"/>
      <c r="J685" s="325"/>
    </row>
    <row r="686" spans="1:10" s="51" customFormat="1" x14ac:dyDescent="0.2">
      <c r="A686" s="58"/>
      <c r="B686" s="58"/>
      <c r="C686" s="326"/>
      <c r="D686" s="326"/>
      <c r="E686" s="326"/>
      <c r="F686" s="326"/>
      <c r="G686" s="325"/>
      <c r="H686" s="325"/>
      <c r="I686" s="325"/>
      <c r="J686" s="325"/>
    </row>
    <row r="687" spans="1:10" s="51" customFormat="1" x14ac:dyDescent="0.2">
      <c r="A687" s="58"/>
      <c r="B687" s="58"/>
      <c r="C687" s="326"/>
      <c r="D687" s="326"/>
      <c r="E687" s="326"/>
      <c r="F687" s="326"/>
      <c r="G687" s="325"/>
      <c r="H687" s="325"/>
      <c r="I687" s="325"/>
      <c r="J687" s="325"/>
    </row>
    <row r="688" spans="1:10" s="51" customFormat="1" x14ac:dyDescent="0.2">
      <c r="A688" s="58"/>
      <c r="B688" s="58"/>
      <c r="C688" s="326"/>
      <c r="D688" s="326"/>
      <c r="E688" s="326"/>
      <c r="F688" s="326"/>
      <c r="G688" s="325"/>
      <c r="H688" s="325"/>
      <c r="I688" s="325"/>
      <c r="J688" s="325"/>
    </row>
    <row r="689" spans="1:10" s="51" customFormat="1" x14ac:dyDescent="0.2">
      <c r="A689" s="58"/>
      <c r="B689" s="58"/>
      <c r="C689" s="326"/>
      <c r="D689" s="326"/>
      <c r="E689" s="326"/>
      <c r="F689" s="326"/>
      <c r="G689" s="325"/>
      <c r="H689" s="325"/>
      <c r="I689" s="325"/>
      <c r="J689" s="325"/>
    </row>
    <row r="690" spans="1:10" s="51" customFormat="1" x14ac:dyDescent="0.2">
      <c r="A690" s="58"/>
      <c r="B690" s="58"/>
      <c r="C690" s="326"/>
      <c r="D690" s="326"/>
      <c r="E690" s="326"/>
      <c r="F690" s="326"/>
      <c r="G690" s="325"/>
      <c r="H690" s="325"/>
      <c r="I690" s="325"/>
      <c r="J690" s="325"/>
    </row>
    <row r="691" spans="1:10" s="51" customFormat="1" x14ac:dyDescent="0.2">
      <c r="A691" s="58"/>
      <c r="B691" s="58"/>
      <c r="C691" s="326"/>
      <c r="D691" s="326"/>
      <c r="E691" s="326"/>
      <c r="F691" s="326"/>
      <c r="G691" s="325"/>
      <c r="H691" s="325"/>
      <c r="I691" s="325"/>
      <c r="J691" s="325"/>
    </row>
    <row r="692" spans="1:10" s="51" customFormat="1" x14ac:dyDescent="0.2">
      <c r="A692" s="58"/>
      <c r="B692" s="58"/>
      <c r="C692" s="326"/>
      <c r="D692" s="326"/>
      <c r="E692" s="326"/>
      <c r="F692" s="326"/>
      <c r="G692" s="325"/>
      <c r="H692" s="325"/>
      <c r="I692" s="325"/>
      <c r="J692" s="325"/>
    </row>
    <row r="693" spans="1:10" s="51" customFormat="1" x14ac:dyDescent="0.2">
      <c r="A693" s="58"/>
      <c r="B693" s="58"/>
      <c r="C693" s="326"/>
      <c r="D693" s="326"/>
      <c r="E693" s="326"/>
      <c r="F693" s="326"/>
      <c r="G693" s="325"/>
      <c r="H693" s="325"/>
      <c r="I693" s="325"/>
      <c r="J693" s="325"/>
    </row>
    <row r="694" spans="1:10" s="51" customFormat="1" x14ac:dyDescent="0.2">
      <c r="A694" s="58"/>
      <c r="B694" s="58"/>
      <c r="C694" s="326"/>
      <c r="D694" s="326"/>
      <c r="E694" s="326"/>
      <c r="F694" s="326"/>
      <c r="G694" s="325"/>
      <c r="H694" s="325"/>
      <c r="I694" s="325"/>
      <c r="J694" s="325"/>
    </row>
    <row r="695" spans="1:10" s="51" customFormat="1" x14ac:dyDescent="0.2">
      <c r="A695" s="58"/>
      <c r="B695" s="58"/>
      <c r="C695" s="326"/>
      <c r="D695" s="326"/>
      <c r="E695" s="326"/>
      <c r="F695" s="326"/>
      <c r="G695" s="325"/>
      <c r="H695" s="325"/>
      <c r="I695" s="325"/>
      <c r="J695" s="325"/>
    </row>
    <row r="696" spans="1:10" s="51" customFormat="1" x14ac:dyDescent="0.2">
      <c r="A696" s="58"/>
      <c r="B696" s="58"/>
      <c r="C696" s="326"/>
      <c r="D696" s="326"/>
      <c r="E696" s="326"/>
      <c r="F696" s="326"/>
      <c r="G696" s="325"/>
      <c r="H696" s="325"/>
      <c r="I696" s="325"/>
      <c r="J696" s="325"/>
    </row>
    <row r="697" spans="1:10" s="51" customFormat="1" x14ac:dyDescent="0.2">
      <c r="A697" s="58"/>
      <c r="B697" s="58"/>
      <c r="C697" s="326"/>
      <c r="D697" s="326"/>
      <c r="E697" s="326"/>
      <c r="F697" s="326"/>
      <c r="G697" s="325"/>
      <c r="H697" s="325"/>
      <c r="I697" s="325"/>
      <c r="J697" s="325"/>
    </row>
    <row r="698" spans="1:10" s="51" customFormat="1" x14ac:dyDescent="0.2">
      <c r="A698" s="58"/>
      <c r="B698" s="58"/>
      <c r="C698" s="326"/>
      <c r="D698" s="326"/>
      <c r="E698" s="326"/>
      <c r="F698" s="326"/>
      <c r="G698" s="325"/>
      <c r="H698" s="325"/>
      <c r="I698" s="325"/>
      <c r="J698" s="325"/>
    </row>
    <row r="699" spans="1:10" s="51" customFormat="1" x14ac:dyDescent="0.2">
      <c r="A699" s="58"/>
      <c r="B699" s="58"/>
      <c r="C699" s="326"/>
      <c r="D699" s="326"/>
      <c r="E699" s="326"/>
      <c r="F699" s="326"/>
      <c r="G699" s="325"/>
      <c r="H699" s="325"/>
      <c r="I699" s="325"/>
      <c r="J699" s="325"/>
    </row>
    <row r="700" spans="1:10" s="51" customFormat="1" x14ac:dyDescent="0.2">
      <c r="A700" s="58"/>
      <c r="B700" s="58"/>
      <c r="C700" s="326"/>
      <c r="D700" s="326"/>
      <c r="E700" s="326"/>
      <c r="F700" s="326"/>
      <c r="G700" s="325"/>
      <c r="H700" s="325"/>
      <c r="I700" s="325"/>
      <c r="J700" s="325"/>
    </row>
    <row r="701" spans="1:10" s="51" customFormat="1" x14ac:dyDescent="0.2">
      <c r="A701" s="58"/>
      <c r="B701" s="58"/>
      <c r="C701" s="326"/>
      <c r="D701" s="326"/>
      <c r="E701" s="326"/>
      <c r="F701" s="326"/>
      <c r="G701" s="325"/>
      <c r="H701" s="325"/>
      <c r="I701" s="325"/>
      <c r="J701" s="325"/>
    </row>
    <row r="702" spans="1:10" s="51" customFormat="1" x14ac:dyDescent="0.2">
      <c r="A702" s="58"/>
      <c r="B702" s="58"/>
      <c r="C702" s="326"/>
      <c r="D702" s="326"/>
      <c r="E702" s="326"/>
      <c r="F702" s="326"/>
      <c r="G702" s="325"/>
      <c r="H702" s="325"/>
      <c r="I702" s="325"/>
      <c r="J702" s="325"/>
    </row>
    <row r="703" spans="1:10" s="51" customFormat="1" x14ac:dyDescent="0.2">
      <c r="A703" s="58"/>
      <c r="B703" s="58"/>
      <c r="C703" s="326"/>
      <c r="D703" s="326"/>
      <c r="E703" s="326"/>
      <c r="F703" s="326"/>
      <c r="G703" s="325"/>
      <c r="H703" s="325"/>
      <c r="I703" s="325"/>
      <c r="J703" s="325"/>
    </row>
    <row r="704" spans="1:10" s="51" customFormat="1" x14ac:dyDescent="0.2">
      <c r="A704" s="58"/>
      <c r="B704" s="58"/>
      <c r="C704" s="326"/>
      <c r="D704" s="326"/>
      <c r="E704" s="326"/>
      <c r="F704" s="326"/>
      <c r="G704" s="325"/>
      <c r="H704" s="325"/>
      <c r="I704" s="325"/>
      <c r="J704" s="325"/>
    </row>
    <row r="705" spans="1:10" s="51" customFormat="1" x14ac:dyDescent="0.2">
      <c r="A705" s="58"/>
      <c r="B705" s="58"/>
      <c r="C705" s="326"/>
      <c r="D705" s="326"/>
      <c r="E705" s="326"/>
      <c r="F705" s="326"/>
      <c r="G705" s="325"/>
      <c r="H705" s="325"/>
      <c r="I705" s="325"/>
      <c r="J705" s="325"/>
    </row>
    <row r="706" spans="1:10" s="51" customFormat="1" x14ac:dyDescent="0.2">
      <c r="A706" s="58"/>
      <c r="B706" s="58"/>
      <c r="C706" s="326"/>
      <c r="D706" s="326"/>
      <c r="E706" s="326"/>
      <c r="F706" s="326"/>
      <c r="G706" s="325"/>
      <c r="H706" s="325"/>
      <c r="I706" s="325"/>
      <c r="J706" s="325"/>
    </row>
    <row r="707" spans="1:10" s="51" customFormat="1" x14ac:dyDescent="0.2">
      <c r="A707" s="58"/>
      <c r="B707" s="58"/>
      <c r="C707" s="326"/>
      <c r="D707" s="326"/>
      <c r="E707" s="326"/>
      <c r="F707" s="326"/>
      <c r="G707" s="325"/>
      <c r="H707" s="325"/>
      <c r="I707" s="325"/>
      <c r="J707" s="325"/>
    </row>
    <row r="708" spans="1:10" s="51" customFormat="1" x14ac:dyDescent="0.2">
      <c r="A708" s="58"/>
      <c r="B708" s="58"/>
      <c r="C708" s="326"/>
      <c r="D708" s="326"/>
      <c r="E708" s="326"/>
      <c r="F708" s="326"/>
      <c r="G708" s="325"/>
      <c r="H708" s="325"/>
      <c r="I708" s="325"/>
      <c r="J708" s="325"/>
    </row>
    <row r="709" spans="1:10" s="51" customFormat="1" x14ac:dyDescent="0.2">
      <c r="A709" s="58"/>
      <c r="B709" s="58"/>
      <c r="C709" s="326"/>
      <c r="D709" s="326"/>
      <c r="E709" s="326"/>
      <c r="F709" s="326"/>
      <c r="G709" s="325"/>
      <c r="H709" s="325"/>
      <c r="I709" s="325"/>
      <c r="J709" s="325"/>
    </row>
    <row r="710" spans="1:10" s="51" customFormat="1" x14ac:dyDescent="0.2">
      <c r="A710" s="58"/>
      <c r="B710" s="58"/>
      <c r="C710" s="326"/>
      <c r="D710" s="326"/>
      <c r="E710" s="326"/>
      <c r="F710" s="326"/>
      <c r="G710" s="325"/>
      <c r="H710" s="325"/>
      <c r="I710" s="325"/>
      <c r="J710" s="325"/>
    </row>
    <row r="711" spans="1:10" s="51" customFormat="1" x14ac:dyDescent="0.2">
      <c r="A711" s="58"/>
      <c r="B711" s="58"/>
      <c r="C711" s="326"/>
      <c r="D711" s="326"/>
      <c r="E711" s="326"/>
      <c r="F711" s="326"/>
      <c r="G711" s="325"/>
      <c r="H711" s="325"/>
      <c r="I711" s="325"/>
      <c r="J711" s="325"/>
    </row>
    <row r="712" spans="1:10" s="51" customFormat="1" x14ac:dyDescent="0.2">
      <c r="A712" s="58"/>
      <c r="B712" s="58"/>
      <c r="C712" s="326"/>
      <c r="D712" s="326"/>
      <c r="E712" s="326"/>
      <c r="F712" s="326"/>
      <c r="G712" s="325"/>
      <c r="H712" s="325"/>
      <c r="I712" s="325"/>
      <c r="J712" s="325"/>
    </row>
    <row r="713" spans="1:10" s="51" customFormat="1" x14ac:dyDescent="0.2">
      <c r="A713" s="58"/>
      <c r="B713" s="58"/>
      <c r="C713" s="326"/>
      <c r="D713" s="326"/>
      <c r="E713" s="326"/>
      <c r="F713" s="326"/>
      <c r="G713" s="325"/>
      <c r="H713" s="325"/>
      <c r="I713" s="325"/>
      <c r="J713" s="325"/>
    </row>
    <row r="714" spans="1:10" s="51" customFormat="1" x14ac:dyDescent="0.2">
      <c r="A714" s="58"/>
      <c r="B714" s="58"/>
      <c r="C714" s="326"/>
      <c r="D714" s="326"/>
      <c r="E714" s="326"/>
      <c r="F714" s="326"/>
      <c r="G714" s="325"/>
      <c r="H714" s="325"/>
      <c r="I714" s="325"/>
      <c r="J714" s="325"/>
    </row>
    <row r="715" spans="1:10" s="51" customFormat="1" x14ac:dyDescent="0.2">
      <c r="A715" s="58"/>
      <c r="B715" s="58"/>
      <c r="C715" s="326"/>
      <c r="D715" s="326"/>
      <c r="E715" s="326"/>
      <c r="F715" s="326"/>
      <c r="G715" s="325"/>
      <c r="H715" s="325"/>
      <c r="I715" s="325"/>
      <c r="J715" s="325"/>
    </row>
    <row r="716" spans="1:10" s="51" customFormat="1" x14ac:dyDescent="0.2">
      <c r="A716" s="58"/>
      <c r="B716" s="58"/>
      <c r="C716" s="326"/>
      <c r="D716" s="326"/>
      <c r="E716" s="326"/>
      <c r="F716" s="326"/>
      <c r="G716" s="325"/>
      <c r="H716" s="325"/>
      <c r="I716" s="325"/>
      <c r="J716" s="325"/>
    </row>
    <row r="717" spans="1:10" s="51" customFormat="1" x14ac:dyDescent="0.2">
      <c r="A717" s="58"/>
      <c r="B717" s="58"/>
      <c r="C717" s="326"/>
      <c r="D717" s="326"/>
      <c r="E717" s="326"/>
      <c r="F717" s="326"/>
      <c r="G717" s="325"/>
      <c r="H717" s="325"/>
      <c r="I717" s="325"/>
      <c r="J717" s="325"/>
    </row>
    <row r="718" spans="1:10" s="51" customFormat="1" x14ac:dyDescent="0.2">
      <c r="A718" s="58"/>
      <c r="B718" s="58"/>
      <c r="C718" s="326"/>
      <c r="D718" s="326"/>
      <c r="E718" s="326"/>
      <c r="F718" s="326"/>
      <c r="G718" s="325"/>
      <c r="H718" s="325"/>
      <c r="I718" s="325"/>
      <c r="J718" s="325"/>
    </row>
    <row r="719" spans="1:10" s="51" customFormat="1" x14ac:dyDescent="0.2">
      <c r="A719" s="58"/>
      <c r="B719" s="58"/>
      <c r="C719" s="326"/>
      <c r="D719" s="326"/>
      <c r="E719" s="326"/>
      <c r="F719" s="326"/>
      <c r="G719" s="325"/>
      <c r="H719" s="325"/>
      <c r="I719" s="325"/>
      <c r="J719" s="325"/>
    </row>
    <row r="720" spans="1:10" s="51" customFormat="1" x14ac:dyDescent="0.2">
      <c r="A720" s="58"/>
      <c r="B720" s="58"/>
      <c r="C720" s="326"/>
      <c r="D720" s="326"/>
      <c r="E720" s="326"/>
      <c r="F720" s="326"/>
      <c r="G720" s="325"/>
      <c r="H720" s="325"/>
      <c r="I720" s="325"/>
      <c r="J720" s="325"/>
    </row>
    <row r="721" spans="1:10" s="51" customFormat="1" x14ac:dyDescent="0.2">
      <c r="A721" s="58"/>
      <c r="B721" s="58"/>
      <c r="C721" s="326"/>
      <c r="D721" s="326"/>
      <c r="E721" s="326"/>
      <c r="F721" s="326"/>
      <c r="G721" s="325"/>
      <c r="H721" s="325"/>
      <c r="I721" s="325"/>
      <c r="J721" s="325"/>
    </row>
    <row r="722" spans="1:10" s="51" customFormat="1" x14ac:dyDescent="0.2">
      <c r="A722" s="58"/>
      <c r="B722" s="58"/>
      <c r="C722" s="326"/>
      <c r="D722" s="326"/>
      <c r="E722" s="326"/>
      <c r="F722" s="326"/>
      <c r="G722" s="325"/>
      <c r="H722" s="325"/>
      <c r="I722" s="325"/>
      <c r="J722" s="325"/>
    </row>
    <row r="723" spans="1:10" s="51" customFormat="1" x14ac:dyDescent="0.2">
      <c r="A723" s="58"/>
      <c r="B723" s="58"/>
      <c r="C723" s="326"/>
      <c r="D723" s="326"/>
      <c r="E723" s="326"/>
      <c r="F723" s="326"/>
      <c r="G723" s="325"/>
      <c r="H723" s="325"/>
      <c r="I723" s="325"/>
      <c r="J723" s="325"/>
    </row>
    <row r="724" spans="1:10" s="51" customFormat="1" x14ac:dyDescent="0.2">
      <c r="A724" s="58"/>
      <c r="B724" s="58"/>
      <c r="C724" s="326"/>
      <c r="D724" s="326"/>
      <c r="E724" s="326"/>
      <c r="F724" s="326"/>
      <c r="G724" s="325"/>
      <c r="H724" s="325"/>
      <c r="I724" s="325"/>
      <c r="J724" s="325"/>
    </row>
    <row r="725" spans="1:10" s="51" customFormat="1" x14ac:dyDescent="0.2">
      <c r="A725" s="58"/>
      <c r="B725" s="58"/>
      <c r="C725" s="326"/>
      <c r="D725" s="326"/>
      <c r="E725" s="326"/>
      <c r="F725" s="326"/>
      <c r="G725" s="325"/>
      <c r="H725" s="325"/>
      <c r="I725" s="325"/>
      <c r="J725" s="325"/>
    </row>
    <row r="726" spans="1:10" s="51" customFormat="1" x14ac:dyDescent="0.2">
      <c r="A726" s="58"/>
      <c r="B726" s="58"/>
      <c r="C726" s="326"/>
      <c r="D726" s="326"/>
      <c r="E726" s="326"/>
      <c r="F726" s="326"/>
      <c r="G726" s="325"/>
      <c r="H726" s="325"/>
      <c r="I726" s="325"/>
      <c r="J726" s="325"/>
    </row>
    <row r="727" spans="1:10" s="51" customFormat="1" x14ac:dyDescent="0.2">
      <c r="A727" s="58"/>
      <c r="B727" s="58"/>
      <c r="C727" s="326"/>
      <c r="D727" s="326"/>
      <c r="E727" s="326"/>
      <c r="F727" s="326"/>
      <c r="G727" s="325"/>
      <c r="H727" s="325"/>
      <c r="I727" s="325"/>
      <c r="J727" s="325"/>
    </row>
    <row r="728" spans="1:10" s="51" customFormat="1" x14ac:dyDescent="0.2">
      <c r="A728" s="58"/>
      <c r="B728" s="58"/>
      <c r="C728" s="326"/>
      <c r="D728" s="326"/>
      <c r="E728" s="326"/>
      <c r="F728" s="326"/>
      <c r="G728" s="325"/>
      <c r="H728" s="325"/>
      <c r="I728" s="325"/>
      <c r="J728" s="325"/>
    </row>
    <row r="729" spans="1:10" s="51" customFormat="1" x14ac:dyDescent="0.2">
      <c r="A729" s="58"/>
      <c r="B729" s="58"/>
      <c r="C729" s="326"/>
      <c r="D729" s="326"/>
      <c r="E729" s="326"/>
      <c r="F729" s="326"/>
      <c r="G729" s="325"/>
      <c r="H729" s="325"/>
      <c r="I729" s="325"/>
      <c r="J729" s="325"/>
    </row>
    <row r="730" spans="1:10" s="51" customFormat="1" x14ac:dyDescent="0.2">
      <c r="A730" s="58"/>
      <c r="B730" s="58"/>
      <c r="C730" s="326"/>
      <c r="D730" s="326"/>
      <c r="E730" s="326"/>
      <c r="F730" s="326"/>
      <c r="G730" s="325"/>
      <c r="H730" s="325"/>
      <c r="I730" s="325"/>
      <c r="J730" s="325"/>
    </row>
    <row r="731" spans="1:10" s="51" customFormat="1" x14ac:dyDescent="0.2">
      <c r="A731" s="58"/>
      <c r="B731" s="58"/>
      <c r="C731" s="326"/>
      <c r="D731" s="326"/>
      <c r="E731" s="326"/>
      <c r="F731" s="326"/>
      <c r="G731" s="325"/>
      <c r="H731" s="325"/>
      <c r="I731" s="325"/>
      <c r="J731" s="325"/>
    </row>
    <row r="732" spans="1:10" s="51" customFormat="1" x14ac:dyDescent="0.2">
      <c r="A732" s="58"/>
      <c r="B732" s="58"/>
      <c r="C732" s="326"/>
      <c r="D732" s="326"/>
      <c r="E732" s="326"/>
      <c r="F732" s="326"/>
      <c r="G732" s="325"/>
      <c r="H732" s="325"/>
      <c r="I732" s="325"/>
      <c r="J732" s="325"/>
    </row>
    <row r="733" spans="1:10" s="51" customFormat="1" x14ac:dyDescent="0.2">
      <c r="A733" s="58"/>
      <c r="B733" s="58"/>
      <c r="C733" s="326"/>
      <c r="D733" s="326"/>
      <c r="E733" s="326"/>
      <c r="F733" s="326"/>
      <c r="G733" s="325"/>
      <c r="H733" s="325"/>
      <c r="I733" s="325"/>
      <c r="J733" s="325"/>
    </row>
    <row r="734" spans="1:10" s="51" customFormat="1" x14ac:dyDescent="0.2">
      <c r="A734" s="58"/>
      <c r="B734" s="58"/>
      <c r="C734" s="326"/>
      <c r="D734" s="326"/>
      <c r="E734" s="326"/>
      <c r="F734" s="326"/>
      <c r="G734" s="325"/>
      <c r="H734" s="325"/>
      <c r="I734" s="325"/>
      <c r="J734" s="325"/>
    </row>
    <row r="735" spans="1:10" s="51" customFormat="1" x14ac:dyDescent="0.2">
      <c r="A735" s="58"/>
      <c r="B735" s="58"/>
      <c r="C735" s="326"/>
      <c r="D735" s="326"/>
      <c r="E735" s="326"/>
      <c r="F735" s="326"/>
      <c r="G735" s="325"/>
      <c r="H735" s="325"/>
      <c r="I735" s="325"/>
      <c r="J735" s="325"/>
    </row>
    <row r="736" spans="1:10" s="51" customFormat="1" x14ac:dyDescent="0.2">
      <c r="A736" s="58"/>
      <c r="B736" s="58"/>
      <c r="C736" s="326"/>
      <c r="D736" s="326"/>
      <c r="E736" s="326"/>
      <c r="F736" s="326"/>
      <c r="G736" s="325"/>
      <c r="H736" s="325"/>
      <c r="I736" s="325"/>
      <c r="J736" s="325"/>
    </row>
    <row r="737" spans="1:10" s="51" customFormat="1" x14ac:dyDescent="0.2">
      <c r="A737" s="58"/>
      <c r="B737" s="58"/>
      <c r="C737" s="326"/>
      <c r="D737" s="326"/>
      <c r="E737" s="326"/>
      <c r="F737" s="326"/>
      <c r="G737" s="325"/>
      <c r="H737" s="325"/>
      <c r="I737" s="325"/>
      <c r="J737" s="325"/>
    </row>
    <row r="738" spans="1:10" s="51" customFormat="1" x14ac:dyDescent="0.2">
      <c r="A738" s="58"/>
      <c r="B738" s="58"/>
      <c r="C738" s="326"/>
      <c r="D738" s="326"/>
      <c r="E738" s="326"/>
      <c r="F738" s="326"/>
      <c r="G738" s="325"/>
      <c r="H738" s="325"/>
      <c r="I738" s="325"/>
      <c r="J738" s="325"/>
    </row>
    <row r="739" spans="1:10" s="51" customFormat="1" x14ac:dyDescent="0.2">
      <c r="A739" s="58"/>
      <c r="B739" s="58"/>
      <c r="C739" s="326"/>
      <c r="D739" s="326"/>
      <c r="E739" s="326"/>
      <c r="F739" s="326"/>
      <c r="G739" s="325"/>
      <c r="H739" s="325"/>
      <c r="I739" s="325"/>
      <c r="J739" s="325"/>
    </row>
    <row r="740" spans="1:10" s="51" customFormat="1" x14ac:dyDescent="0.2">
      <c r="A740" s="58"/>
      <c r="B740" s="58"/>
      <c r="C740" s="326"/>
      <c r="D740" s="326"/>
      <c r="E740" s="326"/>
      <c r="F740" s="326"/>
      <c r="G740" s="325"/>
      <c r="H740" s="325"/>
      <c r="I740" s="325"/>
      <c r="J740" s="325"/>
    </row>
    <row r="741" spans="1:10" s="51" customFormat="1" x14ac:dyDescent="0.2">
      <c r="A741" s="58"/>
      <c r="B741" s="58"/>
      <c r="C741" s="326"/>
      <c r="D741" s="326"/>
      <c r="E741" s="326"/>
      <c r="F741" s="326"/>
      <c r="G741" s="325"/>
      <c r="H741" s="325"/>
      <c r="I741" s="325"/>
      <c r="J741" s="325"/>
    </row>
    <row r="742" spans="1:10" s="51" customFormat="1" x14ac:dyDescent="0.2">
      <c r="A742" s="58"/>
      <c r="B742" s="58"/>
      <c r="C742" s="326"/>
      <c r="D742" s="326"/>
      <c r="E742" s="326"/>
      <c r="F742" s="326"/>
      <c r="G742" s="325"/>
      <c r="H742" s="325"/>
      <c r="I742" s="325"/>
      <c r="J742" s="325"/>
    </row>
    <row r="743" spans="1:10" s="51" customFormat="1" x14ac:dyDescent="0.2">
      <c r="A743" s="58"/>
      <c r="B743" s="58"/>
      <c r="C743" s="326"/>
      <c r="D743" s="326"/>
      <c r="E743" s="326"/>
      <c r="F743" s="326"/>
      <c r="G743" s="325"/>
      <c r="H743" s="325"/>
      <c r="I743" s="325"/>
      <c r="J743" s="325"/>
    </row>
    <row r="744" spans="1:10" s="51" customFormat="1" x14ac:dyDescent="0.2">
      <c r="A744" s="58"/>
      <c r="B744" s="58"/>
      <c r="C744" s="326"/>
      <c r="D744" s="326"/>
      <c r="E744" s="326"/>
      <c r="F744" s="326"/>
      <c r="G744" s="325"/>
      <c r="H744" s="325"/>
      <c r="I744" s="325"/>
      <c r="J744" s="325"/>
    </row>
    <row r="745" spans="1:10" s="51" customFormat="1" x14ac:dyDescent="0.2">
      <c r="A745" s="58"/>
      <c r="B745" s="58"/>
      <c r="C745" s="326"/>
      <c r="D745" s="326"/>
      <c r="E745" s="326"/>
      <c r="F745" s="326"/>
      <c r="G745" s="325"/>
      <c r="H745" s="325"/>
      <c r="I745" s="325"/>
      <c r="J745" s="325"/>
    </row>
    <row r="746" spans="1:10" s="51" customFormat="1" x14ac:dyDescent="0.2">
      <c r="A746" s="58"/>
      <c r="B746" s="58"/>
      <c r="C746" s="326"/>
      <c r="D746" s="326"/>
      <c r="E746" s="326"/>
      <c r="F746" s="326"/>
      <c r="G746" s="325"/>
      <c r="H746" s="325"/>
      <c r="I746" s="325"/>
      <c r="J746" s="325"/>
    </row>
    <row r="747" spans="1:10" s="51" customFormat="1" x14ac:dyDescent="0.2">
      <c r="A747" s="58"/>
      <c r="B747" s="58"/>
      <c r="C747" s="326"/>
      <c r="D747" s="326"/>
      <c r="E747" s="326"/>
      <c r="F747" s="326"/>
      <c r="G747" s="325"/>
      <c r="H747" s="325"/>
      <c r="I747" s="325"/>
      <c r="J747" s="325"/>
    </row>
    <row r="748" spans="1:10" s="51" customFormat="1" x14ac:dyDescent="0.2">
      <c r="A748" s="58"/>
      <c r="B748" s="58"/>
      <c r="C748" s="326"/>
      <c r="D748" s="326"/>
      <c r="E748" s="326"/>
      <c r="F748" s="326"/>
      <c r="G748" s="325"/>
      <c r="H748" s="325"/>
      <c r="I748" s="325"/>
      <c r="J748" s="325"/>
    </row>
    <row r="749" spans="1:10" s="51" customFormat="1" x14ac:dyDescent="0.2">
      <c r="A749" s="58"/>
      <c r="B749" s="58"/>
      <c r="C749" s="326"/>
      <c r="D749" s="326"/>
      <c r="E749" s="326"/>
      <c r="F749" s="326"/>
      <c r="G749" s="325"/>
      <c r="H749" s="325"/>
      <c r="I749" s="325"/>
      <c r="J749" s="325"/>
    </row>
    <row r="750" spans="1:10" s="51" customFormat="1" x14ac:dyDescent="0.2">
      <c r="A750" s="58"/>
      <c r="B750" s="58"/>
      <c r="C750" s="326"/>
      <c r="D750" s="326"/>
      <c r="E750" s="326"/>
      <c r="F750" s="326"/>
      <c r="G750" s="325"/>
      <c r="H750" s="325"/>
      <c r="I750" s="325"/>
      <c r="J750" s="325"/>
    </row>
    <row r="751" spans="1:10" s="51" customFormat="1" x14ac:dyDescent="0.2">
      <c r="A751" s="58"/>
      <c r="B751" s="58"/>
      <c r="C751" s="326"/>
      <c r="D751" s="326"/>
      <c r="E751" s="326"/>
      <c r="F751" s="326"/>
      <c r="G751" s="325"/>
      <c r="H751" s="325"/>
      <c r="I751" s="325"/>
      <c r="J751" s="325"/>
    </row>
    <row r="752" spans="1:10" s="51" customFormat="1" x14ac:dyDescent="0.2">
      <c r="A752" s="58"/>
      <c r="B752" s="58"/>
      <c r="C752" s="326"/>
      <c r="D752" s="326"/>
      <c r="E752" s="326"/>
      <c r="F752" s="326"/>
      <c r="G752" s="325"/>
      <c r="H752" s="325"/>
      <c r="I752" s="325"/>
      <c r="J752" s="325"/>
    </row>
    <row r="753" spans="1:10" s="51" customFormat="1" x14ac:dyDescent="0.2">
      <c r="A753" s="58"/>
      <c r="B753" s="58"/>
      <c r="C753" s="326"/>
      <c r="D753" s="326"/>
      <c r="E753" s="326"/>
      <c r="F753" s="326"/>
      <c r="G753" s="325"/>
      <c r="H753" s="325"/>
      <c r="I753" s="325"/>
      <c r="J753" s="325"/>
    </row>
    <row r="754" spans="1:10" s="51" customFormat="1" x14ac:dyDescent="0.2">
      <c r="A754" s="58"/>
      <c r="B754" s="58"/>
      <c r="C754" s="326"/>
      <c r="D754" s="326"/>
      <c r="E754" s="326"/>
      <c r="F754" s="326"/>
      <c r="G754" s="325"/>
      <c r="H754" s="325"/>
      <c r="I754" s="325"/>
      <c r="J754" s="325"/>
    </row>
    <row r="755" spans="1:10" s="51" customFormat="1" x14ac:dyDescent="0.2">
      <c r="A755" s="58"/>
      <c r="B755" s="58"/>
      <c r="C755" s="326"/>
      <c r="D755" s="326"/>
      <c r="E755" s="326"/>
      <c r="F755" s="326"/>
      <c r="G755" s="325"/>
      <c r="H755" s="325"/>
      <c r="I755" s="325"/>
      <c r="J755" s="325"/>
    </row>
    <row r="756" spans="1:10" s="51" customFormat="1" x14ac:dyDescent="0.2">
      <c r="A756" s="58"/>
      <c r="B756" s="58"/>
      <c r="C756" s="326"/>
      <c r="D756" s="326"/>
      <c r="E756" s="326"/>
      <c r="F756" s="326"/>
      <c r="G756" s="325"/>
      <c r="H756" s="325"/>
      <c r="I756" s="325"/>
      <c r="J756" s="325"/>
    </row>
    <row r="757" spans="1:10" s="51" customFormat="1" x14ac:dyDescent="0.2">
      <c r="A757" s="58"/>
      <c r="B757" s="58"/>
      <c r="C757" s="326"/>
      <c r="D757" s="326"/>
      <c r="E757" s="326"/>
      <c r="F757" s="326"/>
      <c r="G757" s="325"/>
      <c r="H757" s="325"/>
      <c r="I757" s="325"/>
      <c r="J757" s="325"/>
    </row>
    <row r="758" spans="1:10" s="51" customFormat="1" x14ac:dyDescent="0.2">
      <c r="A758" s="58"/>
      <c r="B758" s="58"/>
      <c r="C758" s="326"/>
      <c r="D758" s="326"/>
      <c r="E758" s="326"/>
      <c r="F758" s="326"/>
      <c r="G758" s="325"/>
      <c r="H758" s="325"/>
      <c r="I758" s="325"/>
      <c r="J758" s="325"/>
    </row>
    <row r="759" spans="1:10" s="51" customFormat="1" x14ac:dyDescent="0.2">
      <c r="A759" s="58"/>
      <c r="B759" s="58"/>
      <c r="C759" s="326"/>
      <c r="D759" s="326"/>
      <c r="E759" s="326"/>
      <c r="F759" s="326"/>
      <c r="G759" s="325"/>
      <c r="H759" s="325"/>
      <c r="I759" s="325"/>
      <c r="J759" s="325"/>
    </row>
    <row r="760" spans="1:10" s="51" customFormat="1" x14ac:dyDescent="0.2">
      <c r="A760" s="58"/>
      <c r="B760" s="58"/>
      <c r="C760" s="326"/>
      <c r="D760" s="326"/>
      <c r="E760" s="326"/>
      <c r="F760" s="326"/>
      <c r="G760" s="325"/>
      <c r="H760" s="325"/>
      <c r="I760" s="325"/>
      <c r="J760" s="325"/>
    </row>
    <row r="761" spans="1:10" s="51" customFormat="1" x14ac:dyDescent="0.2">
      <c r="A761" s="58"/>
      <c r="B761" s="58"/>
      <c r="C761" s="326"/>
      <c r="D761" s="326"/>
      <c r="E761" s="326"/>
      <c r="F761" s="326"/>
      <c r="G761" s="325"/>
      <c r="H761" s="325"/>
      <c r="I761" s="325"/>
      <c r="J761" s="325"/>
    </row>
    <row r="762" spans="1:10" s="51" customFormat="1" x14ac:dyDescent="0.2">
      <c r="A762" s="58"/>
      <c r="B762" s="58"/>
      <c r="C762" s="326"/>
      <c r="D762" s="326"/>
      <c r="E762" s="326"/>
      <c r="F762" s="326"/>
      <c r="G762" s="325"/>
      <c r="H762" s="325"/>
      <c r="I762" s="325"/>
      <c r="J762" s="325"/>
    </row>
    <row r="763" spans="1:10" s="51" customFormat="1" x14ac:dyDescent="0.2">
      <c r="A763" s="58"/>
      <c r="B763" s="58"/>
      <c r="C763" s="326"/>
      <c r="D763" s="326"/>
      <c r="E763" s="326"/>
      <c r="F763" s="326"/>
      <c r="G763" s="325"/>
      <c r="H763" s="325"/>
      <c r="I763" s="325"/>
      <c r="J763" s="325"/>
    </row>
    <row r="764" spans="1:10" s="51" customFormat="1" x14ac:dyDescent="0.2">
      <c r="A764" s="58"/>
      <c r="B764" s="58"/>
      <c r="C764" s="326"/>
      <c r="D764" s="326"/>
      <c r="E764" s="326"/>
      <c r="F764" s="326"/>
      <c r="G764" s="325"/>
      <c r="H764" s="325"/>
      <c r="I764" s="325"/>
      <c r="J764" s="325"/>
    </row>
    <row r="765" spans="1:10" s="51" customFormat="1" x14ac:dyDescent="0.2">
      <c r="A765" s="58"/>
      <c r="B765" s="58"/>
      <c r="C765" s="326"/>
      <c r="D765" s="326"/>
      <c r="E765" s="326"/>
      <c r="F765" s="326"/>
      <c r="G765" s="325"/>
      <c r="H765" s="325"/>
      <c r="I765" s="325"/>
      <c r="J765" s="325"/>
    </row>
    <row r="766" spans="1:10" s="51" customFormat="1" x14ac:dyDescent="0.2">
      <c r="A766" s="58"/>
      <c r="B766" s="58"/>
      <c r="C766" s="326"/>
      <c r="D766" s="326"/>
      <c r="E766" s="326"/>
      <c r="F766" s="326"/>
      <c r="G766" s="325"/>
      <c r="H766" s="325"/>
      <c r="I766" s="325"/>
      <c r="J766" s="325"/>
    </row>
    <row r="767" spans="1:10" s="51" customFormat="1" x14ac:dyDescent="0.2">
      <c r="A767" s="58"/>
      <c r="B767" s="58"/>
      <c r="C767" s="326"/>
      <c r="D767" s="326"/>
      <c r="E767" s="326"/>
      <c r="F767" s="326"/>
      <c r="G767" s="325"/>
      <c r="H767" s="325"/>
      <c r="I767" s="325"/>
      <c r="J767" s="325"/>
    </row>
    <row r="768" spans="1:10" s="51" customFormat="1" x14ac:dyDescent="0.2">
      <c r="A768" s="58"/>
      <c r="B768" s="58"/>
      <c r="C768" s="326"/>
      <c r="D768" s="326"/>
      <c r="E768" s="326"/>
      <c r="F768" s="326"/>
      <c r="G768" s="325"/>
      <c r="H768" s="325"/>
      <c r="I768" s="325"/>
      <c r="J768" s="325"/>
    </row>
    <row r="769" spans="1:10" s="51" customFormat="1" x14ac:dyDescent="0.2">
      <c r="A769" s="58"/>
      <c r="B769" s="58"/>
      <c r="C769" s="326"/>
      <c r="D769" s="326"/>
      <c r="E769" s="326"/>
      <c r="F769" s="326"/>
      <c r="G769" s="325"/>
      <c r="H769" s="325"/>
      <c r="I769" s="325"/>
      <c r="J769" s="325"/>
    </row>
    <row r="770" spans="1:10" s="51" customFormat="1" x14ac:dyDescent="0.2">
      <c r="A770" s="58"/>
      <c r="B770" s="58"/>
      <c r="C770" s="326"/>
      <c r="D770" s="326"/>
      <c r="E770" s="326"/>
      <c r="F770" s="326"/>
      <c r="G770" s="325"/>
      <c r="H770" s="325"/>
      <c r="I770" s="325"/>
      <c r="J770" s="325"/>
    </row>
    <row r="771" spans="1:10" s="51" customFormat="1" x14ac:dyDescent="0.2">
      <c r="A771" s="58"/>
      <c r="B771" s="58"/>
      <c r="C771" s="326"/>
      <c r="D771" s="326"/>
      <c r="E771" s="326"/>
      <c r="F771" s="326"/>
      <c r="G771" s="325"/>
      <c r="H771" s="325"/>
      <c r="I771" s="325"/>
      <c r="J771" s="325"/>
    </row>
    <row r="772" spans="1:10" s="51" customFormat="1" x14ac:dyDescent="0.2">
      <c r="A772" s="58"/>
      <c r="B772" s="58"/>
      <c r="C772" s="326"/>
      <c r="D772" s="326"/>
      <c r="E772" s="326"/>
      <c r="F772" s="326"/>
      <c r="G772" s="325"/>
      <c r="H772" s="325"/>
      <c r="I772" s="325"/>
      <c r="J772" s="325"/>
    </row>
    <row r="773" spans="1:10" s="51" customFormat="1" x14ac:dyDescent="0.2">
      <c r="A773" s="58"/>
      <c r="B773" s="58"/>
      <c r="C773" s="326"/>
      <c r="D773" s="326"/>
      <c r="E773" s="326"/>
      <c r="F773" s="326"/>
      <c r="G773" s="325"/>
      <c r="H773" s="325"/>
      <c r="I773" s="325"/>
      <c r="J773" s="325"/>
    </row>
    <row r="774" spans="1:10" s="51" customFormat="1" x14ac:dyDescent="0.2">
      <c r="A774" s="58"/>
      <c r="B774" s="58"/>
      <c r="C774" s="326"/>
      <c r="D774" s="326"/>
      <c r="E774" s="326"/>
      <c r="F774" s="326"/>
      <c r="G774" s="325"/>
      <c r="H774" s="325"/>
      <c r="I774" s="325"/>
      <c r="J774" s="325"/>
    </row>
    <row r="775" spans="1:10" s="51" customFormat="1" x14ac:dyDescent="0.2">
      <c r="A775" s="58"/>
      <c r="B775" s="58"/>
      <c r="C775" s="326"/>
      <c r="D775" s="326"/>
      <c r="E775" s="326"/>
      <c r="F775" s="326"/>
      <c r="G775" s="325"/>
      <c r="H775" s="325"/>
      <c r="I775" s="325"/>
      <c r="J775" s="325"/>
    </row>
    <row r="776" spans="1:10" s="51" customFormat="1" x14ac:dyDescent="0.2">
      <c r="A776" s="58"/>
      <c r="B776" s="58"/>
      <c r="C776" s="326"/>
      <c r="D776" s="326"/>
      <c r="E776" s="326"/>
      <c r="F776" s="326"/>
      <c r="G776" s="325"/>
      <c r="H776" s="325"/>
      <c r="I776" s="325"/>
      <c r="J776" s="325"/>
    </row>
    <row r="777" spans="1:10" s="51" customFormat="1" x14ac:dyDescent="0.2">
      <c r="A777" s="58"/>
      <c r="B777" s="58"/>
      <c r="C777" s="326"/>
      <c r="D777" s="326"/>
      <c r="E777" s="326"/>
      <c r="F777" s="326"/>
      <c r="G777" s="325"/>
      <c r="H777" s="325"/>
      <c r="I777" s="325"/>
      <c r="J777" s="325"/>
    </row>
    <row r="778" spans="1:10" s="51" customFormat="1" x14ac:dyDescent="0.2">
      <c r="A778" s="58"/>
      <c r="B778" s="58"/>
      <c r="C778" s="326"/>
      <c r="D778" s="326"/>
      <c r="E778" s="326"/>
      <c r="F778" s="326"/>
      <c r="G778" s="325"/>
      <c r="H778" s="325"/>
      <c r="I778" s="325"/>
      <c r="J778" s="325"/>
    </row>
    <row r="779" spans="1:10" s="51" customFormat="1" x14ac:dyDescent="0.2">
      <c r="A779" s="58"/>
      <c r="B779" s="58"/>
      <c r="C779" s="326"/>
      <c r="D779" s="326"/>
      <c r="E779" s="326"/>
      <c r="F779" s="326"/>
      <c r="G779" s="325"/>
      <c r="H779" s="325"/>
      <c r="I779" s="325"/>
      <c r="J779" s="325"/>
    </row>
    <row r="780" spans="1:10" s="51" customFormat="1" x14ac:dyDescent="0.2">
      <c r="A780" s="58"/>
      <c r="B780" s="58"/>
      <c r="C780" s="326"/>
      <c r="D780" s="326"/>
      <c r="E780" s="326"/>
      <c r="F780" s="326"/>
      <c r="G780" s="325"/>
      <c r="H780" s="325"/>
      <c r="I780" s="325"/>
      <c r="J780" s="325"/>
    </row>
    <row r="781" spans="1:10" s="51" customFormat="1" x14ac:dyDescent="0.2">
      <c r="A781" s="58"/>
      <c r="B781" s="58"/>
      <c r="C781" s="326"/>
      <c r="D781" s="326"/>
      <c r="E781" s="326"/>
      <c r="F781" s="326"/>
      <c r="G781" s="325"/>
      <c r="H781" s="325"/>
      <c r="I781" s="325"/>
      <c r="J781" s="325"/>
    </row>
    <row r="782" spans="1:10" s="51" customFormat="1" x14ac:dyDescent="0.2">
      <c r="A782" s="58"/>
      <c r="B782" s="58"/>
      <c r="C782" s="326"/>
      <c r="D782" s="326"/>
      <c r="E782" s="326"/>
      <c r="F782" s="326"/>
      <c r="G782" s="325"/>
      <c r="H782" s="325"/>
      <c r="I782" s="325"/>
      <c r="J782" s="325"/>
    </row>
    <row r="783" spans="1:10" s="51" customFormat="1" x14ac:dyDescent="0.2">
      <c r="A783" s="58"/>
      <c r="B783" s="58"/>
      <c r="C783" s="326"/>
      <c r="D783" s="326"/>
      <c r="E783" s="326"/>
      <c r="F783" s="326"/>
      <c r="G783" s="325"/>
      <c r="H783" s="325"/>
      <c r="I783" s="325"/>
      <c r="J783" s="325"/>
    </row>
    <row r="784" spans="1:10" s="51" customFormat="1" x14ac:dyDescent="0.2">
      <c r="A784" s="58"/>
      <c r="B784" s="58"/>
      <c r="C784" s="326"/>
      <c r="D784" s="326"/>
      <c r="E784" s="326"/>
      <c r="F784" s="326"/>
      <c r="G784" s="325"/>
      <c r="H784" s="325"/>
      <c r="I784" s="325"/>
      <c r="J784" s="325"/>
    </row>
    <row r="785" spans="1:10" s="51" customFormat="1" x14ac:dyDescent="0.2">
      <c r="A785" s="58"/>
      <c r="B785" s="58"/>
      <c r="C785" s="326"/>
      <c r="D785" s="326"/>
      <c r="E785" s="326"/>
      <c r="F785" s="326"/>
      <c r="G785" s="325"/>
      <c r="H785" s="325"/>
      <c r="I785" s="325"/>
      <c r="J785" s="325"/>
    </row>
    <row r="786" spans="1:10" s="51" customFormat="1" x14ac:dyDescent="0.2">
      <c r="A786" s="58"/>
      <c r="B786" s="58"/>
      <c r="C786" s="326"/>
      <c r="D786" s="326"/>
      <c r="E786" s="326"/>
      <c r="F786" s="326"/>
      <c r="G786" s="325"/>
      <c r="H786" s="325"/>
      <c r="I786" s="325"/>
      <c r="J786" s="325"/>
    </row>
    <row r="787" spans="1:10" s="51" customFormat="1" x14ac:dyDescent="0.2">
      <c r="A787" s="58"/>
      <c r="B787" s="58"/>
      <c r="C787" s="326"/>
      <c r="D787" s="326"/>
      <c r="E787" s="326"/>
      <c r="F787" s="326"/>
      <c r="G787" s="325"/>
      <c r="H787" s="325"/>
      <c r="I787" s="325"/>
      <c r="J787" s="325"/>
    </row>
    <row r="788" spans="1:10" s="51" customFormat="1" x14ac:dyDescent="0.2">
      <c r="A788" s="58"/>
      <c r="B788" s="58"/>
      <c r="C788" s="326"/>
      <c r="D788" s="326"/>
      <c r="E788" s="326"/>
      <c r="F788" s="326"/>
      <c r="G788" s="325"/>
      <c r="H788" s="325"/>
      <c r="I788" s="325"/>
      <c r="J788" s="325"/>
    </row>
    <row r="789" spans="1:10" s="51" customFormat="1" x14ac:dyDescent="0.2">
      <c r="A789" s="58"/>
      <c r="B789" s="58"/>
      <c r="C789" s="326"/>
      <c r="D789" s="326"/>
      <c r="E789" s="326"/>
      <c r="F789" s="326"/>
      <c r="G789" s="325"/>
      <c r="H789" s="325"/>
      <c r="I789" s="325"/>
      <c r="J789" s="325"/>
    </row>
    <row r="790" spans="1:10" s="51" customFormat="1" x14ac:dyDescent="0.2">
      <c r="A790" s="58"/>
      <c r="B790" s="58"/>
      <c r="C790" s="326"/>
      <c r="D790" s="326"/>
      <c r="E790" s="326"/>
      <c r="F790" s="326"/>
      <c r="G790" s="325"/>
      <c r="H790" s="325"/>
      <c r="I790" s="325"/>
      <c r="J790" s="325"/>
    </row>
    <row r="791" spans="1:10" s="51" customFormat="1" x14ac:dyDescent="0.2">
      <c r="A791" s="58"/>
      <c r="B791" s="58"/>
      <c r="C791" s="326"/>
      <c r="D791" s="326"/>
      <c r="E791" s="326"/>
      <c r="F791" s="326"/>
      <c r="G791" s="325"/>
      <c r="H791" s="325"/>
      <c r="I791" s="325"/>
      <c r="J791" s="325"/>
    </row>
    <row r="792" spans="1:10" s="51" customFormat="1" x14ac:dyDescent="0.2">
      <c r="A792" s="58"/>
      <c r="B792" s="58"/>
      <c r="C792" s="326"/>
      <c r="D792" s="326"/>
      <c r="E792" s="326"/>
      <c r="F792" s="326"/>
      <c r="G792" s="325"/>
      <c r="H792" s="325"/>
      <c r="I792" s="325"/>
      <c r="J792" s="325"/>
    </row>
    <row r="793" spans="1:10" s="51" customFormat="1" x14ac:dyDescent="0.2">
      <c r="A793" s="58"/>
      <c r="B793" s="58"/>
      <c r="C793" s="326"/>
      <c r="D793" s="326"/>
      <c r="E793" s="326"/>
      <c r="F793" s="326"/>
      <c r="G793" s="325"/>
      <c r="H793" s="325"/>
      <c r="I793" s="325"/>
      <c r="J793" s="325"/>
    </row>
    <row r="794" spans="1:10" s="51" customFormat="1" x14ac:dyDescent="0.2">
      <c r="A794" s="58"/>
      <c r="B794" s="58"/>
      <c r="C794" s="326"/>
      <c r="D794" s="326"/>
      <c r="E794" s="326"/>
      <c r="F794" s="326"/>
      <c r="G794" s="325"/>
      <c r="H794" s="325"/>
      <c r="I794" s="325"/>
      <c r="J794" s="325"/>
    </row>
    <row r="795" spans="1:10" s="51" customFormat="1" x14ac:dyDescent="0.2">
      <c r="A795" s="58"/>
      <c r="B795" s="58"/>
      <c r="C795" s="326"/>
      <c r="D795" s="326"/>
      <c r="E795" s="326"/>
      <c r="F795" s="326"/>
      <c r="G795" s="325"/>
      <c r="H795" s="325"/>
      <c r="I795" s="325"/>
      <c r="J795" s="325"/>
    </row>
    <row r="796" spans="1:10" s="51" customFormat="1" x14ac:dyDescent="0.2">
      <c r="A796" s="58"/>
      <c r="B796" s="58"/>
      <c r="C796" s="326"/>
      <c r="D796" s="326"/>
      <c r="E796" s="326"/>
      <c r="F796" s="326"/>
      <c r="G796" s="325"/>
      <c r="H796" s="325"/>
      <c r="I796" s="325"/>
      <c r="J796" s="325"/>
    </row>
    <row r="797" spans="1:10" s="51" customFormat="1" x14ac:dyDescent="0.2">
      <c r="A797" s="58"/>
      <c r="B797" s="58"/>
      <c r="C797" s="326"/>
      <c r="D797" s="326"/>
      <c r="E797" s="326"/>
      <c r="F797" s="326"/>
      <c r="G797" s="325"/>
      <c r="H797" s="325"/>
      <c r="I797" s="325"/>
      <c r="J797" s="325"/>
    </row>
    <row r="798" spans="1:10" s="51" customFormat="1" x14ac:dyDescent="0.2">
      <c r="A798" s="58"/>
      <c r="B798" s="58"/>
      <c r="C798" s="326"/>
      <c r="D798" s="326"/>
      <c r="E798" s="326"/>
      <c r="F798" s="326"/>
      <c r="G798" s="325"/>
      <c r="H798" s="325"/>
      <c r="I798" s="325"/>
      <c r="J798" s="325"/>
    </row>
    <row r="799" spans="1:10" s="51" customFormat="1" x14ac:dyDescent="0.2">
      <c r="A799" s="58"/>
      <c r="B799" s="58"/>
      <c r="C799" s="326"/>
      <c r="D799" s="326"/>
      <c r="E799" s="326"/>
      <c r="F799" s="326"/>
      <c r="G799" s="325"/>
      <c r="H799" s="325"/>
      <c r="I799" s="325"/>
      <c r="J799" s="325"/>
    </row>
    <row r="800" spans="1:10" s="51" customFormat="1" x14ac:dyDescent="0.2">
      <c r="A800" s="58"/>
      <c r="B800" s="58"/>
      <c r="C800" s="326"/>
      <c r="D800" s="326"/>
      <c r="E800" s="326"/>
      <c r="F800" s="326"/>
      <c r="G800" s="325"/>
      <c r="H800" s="325"/>
      <c r="I800" s="325"/>
      <c r="J800" s="325"/>
    </row>
    <row r="801" spans="1:10" s="51" customFormat="1" x14ac:dyDescent="0.2">
      <c r="A801" s="58"/>
      <c r="B801" s="58"/>
      <c r="C801" s="326"/>
      <c r="D801" s="326"/>
      <c r="E801" s="326"/>
      <c r="F801" s="326"/>
      <c r="G801" s="325"/>
      <c r="H801" s="325"/>
      <c r="I801" s="325"/>
      <c r="J801" s="325"/>
    </row>
    <row r="802" spans="1:10" s="51" customFormat="1" x14ac:dyDescent="0.2">
      <c r="A802" s="58"/>
      <c r="B802" s="58"/>
      <c r="C802" s="326"/>
      <c r="D802" s="326"/>
      <c r="E802" s="326"/>
      <c r="F802" s="326"/>
      <c r="G802" s="325"/>
      <c r="H802" s="325"/>
      <c r="I802" s="325"/>
      <c r="J802" s="325"/>
    </row>
    <row r="803" spans="1:10" s="51" customFormat="1" x14ac:dyDescent="0.2">
      <c r="A803" s="58"/>
      <c r="B803" s="58"/>
      <c r="C803" s="326"/>
      <c r="D803" s="326"/>
      <c r="E803" s="326"/>
      <c r="F803" s="326"/>
      <c r="G803" s="325"/>
      <c r="H803" s="325"/>
      <c r="I803" s="325"/>
      <c r="J803" s="325"/>
    </row>
    <row r="804" spans="1:10" s="51" customFormat="1" x14ac:dyDescent="0.2">
      <c r="A804" s="58"/>
      <c r="B804" s="58"/>
      <c r="C804" s="326"/>
      <c r="D804" s="326"/>
      <c r="E804" s="326"/>
      <c r="F804" s="326"/>
      <c r="G804" s="325"/>
      <c r="H804" s="325"/>
      <c r="I804" s="325"/>
      <c r="J804" s="325"/>
    </row>
    <row r="805" spans="1:10" s="51" customFormat="1" x14ac:dyDescent="0.2">
      <c r="A805" s="58"/>
      <c r="B805" s="58"/>
      <c r="C805" s="326"/>
      <c r="D805" s="326"/>
      <c r="E805" s="326"/>
      <c r="F805" s="326"/>
      <c r="G805" s="325"/>
      <c r="H805" s="325"/>
      <c r="I805" s="325"/>
      <c r="J805" s="325"/>
    </row>
    <row r="806" spans="1:10" s="51" customFormat="1" x14ac:dyDescent="0.2">
      <c r="A806" s="58"/>
      <c r="B806" s="58"/>
      <c r="C806" s="326"/>
      <c r="D806" s="326"/>
      <c r="E806" s="326"/>
      <c r="F806" s="326"/>
      <c r="G806" s="325"/>
      <c r="H806" s="325"/>
      <c r="I806" s="325"/>
      <c r="J806" s="325"/>
    </row>
    <row r="807" spans="1:10" s="51" customFormat="1" x14ac:dyDescent="0.2">
      <c r="A807" s="58"/>
      <c r="B807" s="58"/>
      <c r="C807" s="326"/>
      <c r="D807" s="326"/>
      <c r="E807" s="326"/>
      <c r="F807" s="326"/>
      <c r="G807" s="325"/>
      <c r="H807" s="325"/>
      <c r="I807" s="325"/>
      <c r="J807" s="325"/>
    </row>
    <row r="808" spans="1:10" s="51" customFormat="1" x14ac:dyDescent="0.2">
      <c r="A808" s="58"/>
      <c r="B808" s="58"/>
      <c r="C808" s="326"/>
      <c r="D808" s="326"/>
      <c r="E808" s="326"/>
      <c r="F808" s="326"/>
      <c r="G808" s="325"/>
      <c r="H808" s="325"/>
      <c r="I808" s="325"/>
      <c r="J808" s="325"/>
    </row>
    <row r="809" spans="1:10" s="51" customFormat="1" x14ac:dyDescent="0.2">
      <c r="A809" s="58"/>
      <c r="B809" s="58"/>
      <c r="C809" s="326"/>
      <c r="D809" s="326"/>
      <c r="E809" s="326"/>
      <c r="F809" s="326"/>
      <c r="G809" s="325"/>
      <c r="H809" s="325"/>
      <c r="I809" s="325"/>
      <c r="J809" s="325"/>
    </row>
    <row r="810" spans="1:10" s="51" customFormat="1" x14ac:dyDescent="0.2">
      <c r="A810" s="58"/>
      <c r="B810" s="58"/>
      <c r="C810" s="326"/>
      <c r="D810" s="326"/>
      <c r="E810" s="326"/>
      <c r="F810" s="326"/>
      <c r="G810" s="325"/>
      <c r="H810" s="325"/>
      <c r="I810" s="325"/>
      <c r="J810" s="325"/>
    </row>
    <row r="811" spans="1:10" s="51" customFormat="1" x14ac:dyDescent="0.2">
      <c r="A811" s="58"/>
      <c r="B811" s="58"/>
      <c r="C811" s="326"/>
      <c r="D811" s="326"/>
      <c r="E811" s="326"/>
      <c r="F811" s="326"/>
      <c r="G811" s="325"/>
      <c r="H811" s="325"/>
      <c r="I811" s="325"/>
      <c r="J811" s="325"/>
    </row>
    <row r="812" spans="1:10" s="51" customFormat="1" x14ac:dyDescent="0.2">
      <c r="A812" s="58"/>
      <c r="B812" s="58"/>
      <c r="C812" s="326"/>
      <c r="D812" s="326"/>
      <c r="E812" s="326"/>
      <c r="F812" s="326"/>
      <c r="G812" s="325"/>
      <c r="H812" s="325"/>
      <c r="I812" s="325"/>
      <c r="J812" s="325"/>
    </row>
    <row r="813" spans="1:10" s="51" customFormat="1" x14ac:dyDescent="0.2">
      <c r="A813" s="58"/>
      <c r="B813" s="58"/>
      <c r="C813" s="326"/>
      <c r="D813" s="326"/>
      <c r="E813" s="326"/>
      <c r="F813" s="326"/>
      <c r="G813" s="325"/>
      <c r="H813" s="325"/>
      <c r="I813" s="325"/>
      <c r="J813" s="325"/>
    </row>
    <row r="814" spans="1:10" s="51" customFormat="1" x14ac:dyDescent="0.2">
      <c r="A814" s="58"/>
      <c r="B814" s="58"/>
      <c r="C814" s="326"/>
      <c r="D814" s="326"/>
      <c r="E814" s="326"/>
      <c r="F814" s="326"/>
      <c r="G814" s="325"/>
      <c r="H814" s="325"/>
      <c r="I814" s="325"/>
      <c r="J814" s="325"/>
    </row>
    <row r="815" spans="1:10" s="51" customFormat="1" x14ac:dyDescent="0.2">
      <c r="A815" s="58"/>
      <c r="B815" s="58"/>
      <c r="C815" s="326"/>
      <c r="D815" s="326"/>
      <c r="E815" s="326"/>
      <c r="F815" s="326"/>
      <c r="G815" s="325"/>
      <c r="H815" s="325"/>
      <c r="I815" s="325"/>
      <c r="J815" s="325"/>
    </row>
    <row r="816" spans="1:10" s="51" customFormat="1" x14ac:dyDescent="0.2">
      <c r="A816" s="58"/>
      <c r="B816" s="58"/>
      <c r="C816" s="326"/>
      <c r="D816" s="326"/>
      <c r="E816" s="326"/>
      <c r="F816" s="326"/>
      <c r="G816" s="325"/>
      <c r="H816" s="325"/>
      <c r="I816" s="325"/>
      <c r="J816" s="325"/>
    </row>
    <row r="817" spans="1:10" s="51" customFormat="1" x14ac:dyDescent="0.2">
      <c r="A817" s="58"/>
      <c r="B817" s="58"/>
      <c r="C817" s="326"/>
      <c r="D817" s="326"/>
      <c r="E817" s="326"/>
      <c r="F817" s="326"/>
      <c r="G817" s="325"/>
      <c r="H817" s="325"/>
      <c r="I817" s="325"/>
      <c r="J817" s="325"/>
    </row>
    <row r="818" spans="1:10" s="51" customFormat="1" x14ac:dyDescent="0.2">
      <c r="A818" s="58"/>
      <c r="B818" s="58"/>
      <c r="C818" s="326"/>
      <c r="D818" s="326"/>
      <c r="E818" s="326"/>
      <c r="F818" s="326"/>
      <c r="G818" s="325"/>
      <c r="H818" s="325"/>
      <c r="I818" s="325"/>
      <c r="J818" s="325"/>
    </row>
    <row r="819" spans="1:10" s="51" customFormat="1" x14ac:dyDescent="0.2">
      <c r="A819" s="58"/>
      <c r="B819" s="58"/>
      <c r="C819" s="326"/>
      <c r="D819" s="326"/>
      <c r="E819" s="326"/>
      <c r="F819" s="326"/>
      <c r="G819" s="325"/>
      <c r="H819" s="325"/>
      <c r="I819" s="325"/>
      <c r="J819" s="325"/>
    </row>
    <row r="820" spans="1:10" s="51" customFormat="1" x14ac:dyDescent="0.2">
      <c r="A820" s="58"/>
      <c r="B820" s="58"/>
      <c r="C820" s="326"/>
      <c r="D820" s="326"/>
      <c r="E820" s="326"/>
      <c r="F820" s="326"/>
      <c r="G820" s="325"/>
      <c r="H820" s="325"/>
      <c r="I820" s="325"/>
      <c r="J820" s="325"/>
    </row>
    <row r="821" spans="1:10" s="51" customFormat="1" x14ac:dyDescent="0.2">
      <c r="A821" s="58"/>
      <c r="B821" s="58"/>
      <c r="C821" s="326"/>
      <c r="D821" s="326"/>
      <c r="E821" s="326"/>
      <c r="F821" s="326"/>
      <c r="G821" s="325"/>
      <c r="H821" s="325"/>
      <c r="I821" s="325"/>
      <c r="J821" s="325"/>
    </row>
    <row r="822" spans="1:10" s="51" customFormat="1" x14ac:dyDescent="0.2">
      <c r="A822" s="58"/>
      <c r="B822" s="58"/>
      <c r="C822" s="326"/>
      <c r="D822" s="326"/>
      <c r="E822" s="326"/>
      <c r="F822" s="326"/>
      <c r="G822" s="325"/>
      <c r="H822" s="325"/>
      <c r="I822" s="325"/>
      <c r="J822" s="325"/>
    </row>
    <row r="823" spans="1:10" s="51" customFormat="1" x14ac:dyDescent="0.2">
      <c r="A823" s="58"/>
      <c r="B823" s="58"/>
      <c r="C823" s="326"/>
      <c r="D823" s="326"/>
      <c r="E823" s="326"/>
      <c r="F823" s="326"/>
      <c r="G823" s="325"/>
      <c r="H823" s="325"/>
      <c r="I823" s="325"/>
      <c r="J823" s="325"/>
    </row>
    <row r="824" spans="1:10" s="51" customFormat="1" x14ac:dyDescent="0.2">
      <c r="A824" s="58"/>
      <c r="B824" s="58"/>
      <c r="C824" s="326"/>
      <c r="D824" s="326"/>
      <c r="E824" s="326"/>
      <c r="F824" s="326"/>
      <c r="G824" s="325"/>
      <c r="H824" s="325"/>
      <c r="I824" s="325"/>
      <c r="J824" s="325"/>
    </row>
    <row r="825" spans="1:10" s="51" customFormat="1" x14ac:dyDescent="0.2">
      <c r="A825" s="58"/>
      <c r="B825" s="58"/>
      <c r="C825" s="326"/>
      <c r="D825" s="326"/>
      <c r="E825" s="326"/>
      <c r="F825" s="326"/>
      <c r="G825" s="325"/>
      <c r="H825" s="325"/>
      <c r="I825" s="325"/>
      <c r="J825" s="325"/>
    </row>
    <row r="826" spans="1:10" s="51" customFormat="1" x14ac:dyDescent="0.2">
      <c r="A826" s="58"/>
      <c r="B826" s="58"/>
      <c r="C826" s="326"/>
      <c r="D826" s="326"/>
      <c r="E826" s="326"/>
      <c r="F826" s="326"/>
      <c r="G826" s="325"/>
      <c r="H826" s="325"/>
      <c r="I826" s="325"/>
      <c r="J826" s="325"/>
    </row>
    <row r="827" spans="1:10" s="51" customFormat="1" x14ac:dyDescent="0.2">
      <c r="A827" s="58"/>
      <c r="B827" s="58"/>
      <c r="C827" s="326"/>
      <c r="D827" s="326"/>
      <c r="E827" s="326"/>
      <c r="F827" s="326"/>
      <c r="G827" s="325"/>
      <c r="H827" s="325"/>
      <c r="I827" s="325"/>
      <c r="J827" s="325"/>
    </row>
    <row r="828" spans="1:10" s="51" customFormat="1" x14ac:dyDescent="0.2">
      <c r="A828" s="58"/>
      <c r="B828" s="58"/>
      <c r="C828" s="326"/>
      <c r="D828" s="326"/>
      <c r="E828" s="326"/>
      <c r="F828" s="326"/>
      <c r="G828" s="325"/>
      <c r="H828" s="325"/>
      <c r="I828" s="325"/>
      <c r="J828" s="325"/>
    </row>
    <row r="829" spans="1:10" s="51" customFormat="1" x14ac:dyDescent="0.2">
      <c r="A829" s="58"/>
      <c r="B829" s="58"/>
      <c r="C829" s="326"/>
      <c r="D829" s="326"/>
      <c r="E829" s="326"/>
      <c r="F829" s="326"/>
      <c r="G829" s="325"/>
      <c r="H829" s="325"/>
      <c r="I829" s="325"/>
      <c r="J829" s="325"/>
    </row>
    <row r="830" spans="1:10" s="51" customFormat="1" x14ac:dyDescent="0.2">
      <c r="A830" s="58"/>
      <c r="B830" s="58"/>
      <c r="C830" s="326"/>
      <c r="D830" s="326"/>
      <c r="E830" s="326"/>
      <c r="F830" s="326"/>
      <c r="G830" s="325"/>
      <c r="H830" s="325"/>
      <c r="I830" s="325"/>
      <c r="J830" s="325"/>
    </row>
    <row r="831" spans="1:10" s="51" customFormat="1" x14ac:dyDescent="0.2">
      <c r="A831" s="58"/>
      <c r="B831" s="58"/>
      <c r="C831" s="326"/>
      <c r="D831" s="326"/>
      <c r="E831" s="326"/>
      <c r="F831" s="326"/>
      <c r="G831" s="325"/>
      <c r="H831" s="325"/>
      <c r="I831" s="325"/>
      <c r="J831" s="325"/>
    </row>
    <row r="832" spans="1:10" s="51" customFormat="1" x14ac:dyDescent="0.2">
      <c r="A832" s="58"/>
      <c r="B832" s="58"/>
      <c r="C832" s="326"/>
      <c r="D832" s="326"/>
      <c r="E832" s="326"/>
      <c r="F832" s="326"/>
      <c r="G832" s="325"/>
      <c r="H832" s="325"/>
      <c r="I832" s="325"/>
      <c r="J832" s="325"/>
    </row>
    <row r="833" spans="1:10" s="51" customFormat="1" x14ac:dyDescent="0.2">
      <c r="A833" s="58"/>
      <c r="B833" s="58"/>
      <c r="C833" s="326"/>
      <c r="D833" s="326"/>
      <c r="E833" s="326"/>
      <c r="F833" s="326"/>
      <c r="G833" s="325"/>
      <c r="H833" s="325"/>
      <c r="I833" s="325"/>
      <c r="J833" s="325"/>
    </row>
    <row r="834" spans="1:10" s="51" customFormat="1" x14ac:dyDescent="0.2">
      <c r="A834" s="58"/>
      <c r="B834" s="58"/>
      <c r="C834" s="326"/>
      <c r="D834" s="326"/>
      <c r="E834" s="326"/>
      <c r="F834" s="326"/>
      <c r="G834" s="325"/>
      <c r="H834" s="325"/>
      <c r="I834" s="325"/>
      <c r="J834" s="325"/>
    </row>
    <row r="835" spans="1:10" s="51" customFormat="1" x14ac:dyDescent="0.2">
      <c r="A835" s="58"/>
      <c r="B835" s="58"/>
      <c r="C835" s="326"/>
      <c r="D835" s="326"/>
      <c r="E835" s="326"/>
      <c r="F835" s="326"/>
      <c r="G835" s="325"/>
      <c r="H835" s="325"/>
      <c r="I835" s="325"/>
      <c r="J835" s="325"/>
    </row>
    <row r="836" spans="1:10" s="51" customFormat="1" x14ac:dyDescent="0.2">
      <c r="A836" s="58"/>
      <c r="B836" s="58"/>
      <c r="C836" s="326"/>
      <c r="D836" s="326"/>
      <c r="E836" s="326"/>
      <c r="F836" s="326"/>
      <c r="G836" s="325"/>
      <c r="H836" s="325"/>
      <c r="I836" s="325"/>
      <c r="J836" s="325"/>
    </row>
    <row r="837" spans="1:10" s="51" customFormat="1" x14ac:dyDescent="0.2">
      <c r="A837" s="58"/>
      <c r="B837" s="58"/>
      <c r="C837" s="326"/>
      <c r="D837" s="326"/>
      <c r="E837" s="326"/>
      <c r="F837" s="326"/>
      <c r="G837" s="325"/>
      <c r="H837" s="325"/>
      <c r="I837" s="325"/>
      <c r="J837" s="325"/>
    </row>
    <row r="838" spans="1:10" s="51" customFormat="1" x14ac:dyDescent="0.2">
      <c r="A838" s="58"/>
      <c r="B838" s="58"/>
      <c r="C838" s="326"/>
      <c r="D838" s="326"/>
      <c r="E838" s="326"/>
      <c r="F838" s="326"/>
      <c r="G838" s="325"/>
      <c r="H838" s="325"/>
      <c r="I838" s="325"/>
      <c r="J838" s="325"/>
    </row>
    <row r="839" spans="1:10" s="51" customFormat="1" x14ac:dyDescent="0.2">
      <c r="A839" s="58"/>
      <c r="B839" s="58"/>
      <c r="C839" s="326"/>
      <c r="D839" s="326"/>
      <c r="E839" s="326"/>
      <c r="F839" s="326"/>
      <c r="G839" s="325"/>
      <c r="H839" s="325"/>
      <c r="I839" s="325"/>
      <c r="J839" s="325"/>
    </row>
    <row r="840" spans="1:10" s="51" customFormat="1" x14ac:dyDescent="0.2">
      <c r="A840" s="58"/>
      <c r="B840" s="58"/>
      <c r="C840" s="326"/>
      <c r="D840" s="326"/>
      <c r="E840" s="326"/>
      <c r="F840" s="326"/>
      <c r="G840" s="325"/>
      <c r="H840" s="325"/>
      <c r="I840" s="325"/>
      <c r="J840" s="325"/>
    </row>
    <row r="841" spans="1:10" s="51" customFormat="1" x14ac:dyDescent="0.2">
      <c r="A841" s="58"/>
      <c r="B841" s="58"/>
      <c r="C841" s="326"/>
      <c r="D841" s="326"/>
      <c r="E841" s="326"/>
      <c r="F841" s="326"/>
      <c r="G841" s="325"/>
      <c r="H841" s="325"/>
      <c r="I841" s="325"/>
      <c r="J841" s="325"/>
    </row>
    <row r="842" spans="1:10" s="51" customFormat="1" x14ac:dyDescent="0.2">
      <c r="A842" s="58"/>
      <c r="B842" s="58"/>
      <c r="C842" s="326"/>
      <c r="D842" s="326"/>
      <c r="E842" s="326"/>
      <c r="F842" s="326"/>
      <c r="G842" s="325"/>
      <c r="H842" s="325"/>
      <c r="I842" s="325"/>
      <c r="J842" s="325"/>
    </row>
    <row r="843" spans="1:10" s="51" customFormat="1" x14ac:dyDescent="0.2">
      <c r="A843" s="58"/>
      <c r="B843" s="58"/>
      <c r="C843" s="326"/>
      <c r="D843" s="326"/>
      <c r="E843" s="326"/>
      <c r="F843" s="326"/>
      <c r="G843" s="325"/>
      <c r="H843" s="325"/>
      <c r="I843" s="325"/>
      <c r="J843" s="325"/>
    </row>
    <row r="844" spans="1:10" s="51" customFormat="1" x14ac:dyDescent="0.2">
      <c r="A844" s="58"/>
      <c r="B844" s="58"/>
      <c r="C844" s="326"/>
      <c r="D844" s="326"/>
      <c r="E844" s="326"/>
      <c r="F844" s="326"/>
      <c r="G844" s="325"/>
      <c r="H844" s="325"/>
      <c r="I844" s="325"/>
      <c r="J844" s="325"/>
    </row>
    <row r="845" spans="1:10" s="51" customFormat="1" x14ac:dyDescent="0.2">
      <c r="A845" s="58"/>
      <c r="B845" s="58"/>
      <c r="C845" s="326"/>
      <c r="D845" s="326"/>
      <c r="E845" s="326"/>
      <c r="F845" s="326"/>
      <c r="G845" s="325"/>
      <c r="H845" s="325"/>
      <c r="I845" s="325"/>
      <c r="J845" s="325"/>
    </row>
    <row r="846" spans="1:10" s="51" customFormat="1" x14ac:dyDescent="0.2">
      <c r="A846" s="58"/>
      <c r="B846" s="58"/>
      <c r="C846" s="326"/>
      <c r="D846" s="326"/>
      <c r="E846" s="326"/>
      <c r="F846" s="326"/>
      <c r="G846" s="325"/>
      <c r="H846" s="325"/>
      <c r="I846" s="325"/>
      <c r="J846" s="325"/>
    </row>
    <row r="847" spans="1:10" s="51" customFormat="1" x14ac:dyDescent="0.2">
      <c r="A847" s="58"/>
      <c r="B847" s="58"/>
      <c r="C847" s="326"/>
      <c r="D847" s="326"/>
      <c r="E847" s="326"/>
      <c r="F847" s="326"/>
      <c r="G847" s="325"/>
      <c r="H847" s="325"/>
      <c r="I847" s="325"/>
      <c r="J847" s="325"/>
    </row>
    <row r="848" spans="1:10" s="51" customFormat="1" x14ac:dyDescent="0.2">
      <c r="A848" s="58"/>
      <c r="B848" s="58"/>
      <c r="C848" s="326"/>
      <c r="D848" s="326"/>
      <c r="E848" s="326"/>
      <c r="F848" s="326"/>
      <c r="G848" s="325"/>
      <c r="H848" s="325"/>
      <c r="I848" s="325"/>
      <c r="J848" s="325"/>
    </row>
    <row r="849" spans="1:10" s="51" customFormat="1" x14ac:dyDescent="0.2">
      <c r="A849" s="58"/>
      <c r="B849" s="58"/>
      <c r="C849" s="326"/>
      <c r="D849" s="326"/>
      <c r="E849" s="326"/>
      <c r="F849" s="326"/>
      <c r="G849" s="325"/>
      <c r="H849" s="325"/>
      <c r="I849" s="325"/>
      <c r="J849" s="325"/>
    </row>
    <row r="850" spans="1:10" s="51" customFormat="1" x14ac:dyDescent="0.2">
      <c r="A850" s="58"/>
      <c r="B850" s="58"/>
      <c r="C850" s="326"/>
      <c r="D850" s="326"/>
      <c r="E850" s="326"/>
      <c r="F850" s="326"/>
      <c r="G850" s="325"/>
      <c r="H850" s="325"/>
      <c r="I850" s="325"/>
      <c r="J850" s="325"/>
    </row>
    <row r="851" spans="1:10" s="51" customFormat="1" x14ac:dyDescent="0.2">
      <c r="A851" s="58"/>
      <c r="B851" s="58"/>
      <c r="C851" s="326"/>
      <c r="D851" s="326"/>
      <c r="E851" s="326"/>
      <c r="F851" s="326"/>
      <c r="G851" s="325"/>
      <c r="H851" s="325"/>
      <c r="I851" s="325"/>
      <c r="J851" s="325"/>
    </row>
    <row r="852" spans="1:10" s="51" customFormat="1" x14ac:dyDescent="0.2">
      <c r="A852" s="58"/>
      <c r="B852" s="58"/>
      <c r="C852" s="326"/>
      <c r="D852" s="326"/>
      <c r="E852" s="326"/>
      <c r="F852" s="326"/>
      <c r="G852" s="325"/>
      <c r="H852" s="325"/>
      <c r="I852" s="325"/>
      <c r="J852" s="325"/>
    </row>
    <row r="853" spans="1:10" s="51" customFormat="1" x14ac:dyDescent="0.2">
      <c r="A853" s="58"/>
      <c r="B853" s="58"/>
      <c r="C853" s="326"/>
      <c r="D853" s="326"/>
      <c r="E853" s="326"/>
      <c r="F853" s="326"/>
      <c r="G853" s="325"/>
      <c r="H853" s="325"/>
      <c r="I853" s="325"/>
      <c r="J853" s="325"/>
    </row>
    <row r="854" spans="1:10" s="51" customFormat="1" x14ac:dyDescent="0.2">
      <c r="A854" s="58"/>
      <c r="B854" s="58"/>
      <c r="C854" s="326"/>
      <c r="D854" s="326"/>
      <c r="E854" s="326"/>
      <c r="F854" s="326"/>
      <c r="G854" s="325"/>
      <c r="H854" s="325"/>
      <c r="I854" s="325"/>
      <c r="J854" s="325"/>
    </row>
    <row r="855" spans="1:10" s="51" customFormat="1" x14ac:dyDescent="0.2">
      <c r="A855" s="58"/>
      <c r="B855" s="58"/>
      <c r="C855" s="326"/>
      <c r="D855" s="326"/>
      <c r="E855" s="326"/>
      <c r="F855" s="326"/>
      <c r="G855" s="325"/>
      <c r="H855" s="325"/>
      <c r="I855" s="325"/>
      <c r="J855" s="325"/>
    </row>
    <row r="856" spans="1:10" s="51" customFormat="1" x14ac:dyDescent="0.2">
      <c r="A856" s="58"/>
      <c r="B856" s="58"/>
      <c r="C856" s="326"/>
      <c r="D856" s="326"/>
      <c r="E856" s="58"/>
      <c r="F856" s="326"/>
      <c r="G856" s="325"/>
      <c r="H856" s="325"/>
      <c r="I856" s="325"/>
      <c r="J856" s="325"/>
    </row>
    <row r="857" spans="1:10" s="51" customFormat="1" x14ac:dyDescent="0.2">
      <c r="A857" s="58"/>
      <c r="B857" s="58"/>
      <c r="C857" s="326"/>
      <c r="D857" s="326"/>
      <c r="E857" s="58"/>
      <c r="F857" s="326"/>
      <c r="G857" s="325"/>
      <c r="H857" s="325"/>
      <c r="I857" s="325"/>
      <c r="J857" s="325"/>
    </row>
    <row r="858" spans="1:10" s="51" customFormat="1" x14ac:dyDescent="0.2">
      <c r="A858" s="58"/>
      <c r="B858" s="58"/>
      <c r="C858" s="326"/>
      <c r="D858" s="326"/>
      <c r="E858" s="58"/>
      <c r="F858" s="326"/>
      <c r="G858" s="325"/>
      <c r="H858" s="325"/>
      <c r="I858" s="325"/>
      <c r="J858" s="325"/>
    </row>
    <row r="859" spans="1:10" s="51" customFormat="1" x14ac:dyDescent="0.2">
      <c r="A859" s="58"/>
      <c r="B859" s="58"/>
      <c r="C859" s="326"/>
      <c r="D859" s="326"/>
      <c r="E859" s="58"/>
      <c r="F859" s="326"/>
      <c r="G859" s="325"/>
      <c r="H859" s="325"/>
      <c r="I859" s="325"/>
      <c r="J859" s="325"/>
    </row>
    <row r="860" spans="1:10" s="51" customFormat="1" x14ac:dyDescent="0.2">
      <c r="A860" s="58"/>
      <c r="B860" s="58"/>
      <c r="C860" s="326"/>
      <c r="D860" s="326"/>
      <c r="E860" s="58"/>
      <c r="F860" s="326"/>
      <c r="G860" s="325"/>
      <c r="H860" s="325"/>
      <c r="I860" s="325"/>
      <c r="J860" s="325"/>
    </row>
    <row r="861" spans="1:10" s="51" customFormat="1" x14ac:dyDescent="0.2">
      <c r="A861" s="58"/>
      <c r="B861" s="58"/>
      <c r="C861" s="326"/>
      <c r="D861" s="326"/>
      <c r="E861" s="58"/>
      <c r="F861" s="326"/>
      <c r="G861" s="325"/>
      <c r="H861" s="325"/>
      <c r="I861" s="325"/>
      <c r="J861" s="325"/>
    </row>
    <row r="862" spans="1:10" s="51" customFormat="1" x14ac:dyDescent="0.2">
      <c r="A862" s="58"/>
      <c r="B862" s="58"/>
      <c r="C862" s="326"/>
      <c r="D862" s="326"/>
      <c r="E862" s="58"/>
      <c r="F862" s="326"/>
      <c r="G862" s="325"/>
      <c r="H862" s="325"/>
      <c r="I862" s="325"/>
      <c r="J862" s="325"/>
    </row>
    <row r="863" spans="1:10" s="51" customFormat="1" x14ac:dyDescent="0.2">
      <c r="A863" s="58"/>
      <c r="B863" s="58"/>
      <c r="C863" s="326"/>
      <c r="D863" s="326"/>
      <c r="E863" s="58"/>
      <c r="F863" s="326"/>
      <c r="G863" s="325"/>
      <c r="H863" s="325"/>
      <c r="I863" s="325"/>
      <c r="J863" s="325"/>
    </row>
    <row r="864" spans="1:10" s="51" customFormat="1" x14ac:dyDescent="0.2">
      <c r="A864" s="58"/>
      <c r="B864" s="58"/>
      <c r="C864" s="326"/>
      <c r="D864" s="326"/>
      <c r="E864" s="58"/>
      <c r="F864" s="326"/>
      <c r="G864" s="325"/>
      <c r="H864" s="325"/>
      <c r="I864" s="325"/>
      <c r="J864" s="325"/>
    </row>
    <row r="865" spans="1:10" s="51" customFormat="1" x14ac:dyDescent="0.2">
      <c r="A865" s="58"/>
      <c r="B865" s="58"/>
      <c r="C865" s="326"/>
      <c r="D865" s="326"/>
      <c r="E865" s="58"/>
      <c r="F865" s="326"/>
      <c r="G865" s="325"/>
      <c r="H865" s="325"/>
      <c r="I865" s="325"/>
      <c r="J865" s="325"/>
    </row>
    <row r="866" spans="1:10" s="51" customFormat="1" x14ac:dyDescent="0.2">
      <c r="A866" s="58"/>
      <c r="B866" s="58"/>
      <c r="C866" s="326"/>
      <c r="D866" s="326"/>
      <c r="E866" s="58"/>
      <c r="F866" s="326"/>
      <c r="G866" s="325"/>
      <c r="H866" s="325"/>
      <c r="I866" s="325"/>
      <c r="J866" s="325"/>
    </row>
    <row r="867" spans="1:10" s="51" customFormat="1" x14ac:dyDescent="0.2">
      <c r="A867" s="58"/>
      <c r="B867" s="58"/>
      <c r="C867" s="326"/>
      <c r="D867" s="326"/>
      <c r="E867" s="58"/>
      <c r="F867" s="326"/>
      <c r="G867" s="325"/>
      <c r="H867" s="325"/>
      <c r="I867" s="325"/>
      <c r="J867" s="325"/>
    </row>
    <row r="868" spans="1:10" s="51" customFormat="1" x14ac:dyDescent="0.2">
      <c r="A868" s="58"/>
      <c r="B868" s="58"/>
      <c r="C868" s="326"/>
      <c r="D868" s="326"/>
      <c r="E868" s="58"/>
      <c r="F868" s="326"/>
      <c r="G868" s="325"/>
      <c r="H868" s="325"/>
      <c r="I868" s="325"/>
      <c r="J868" s="325"/>
    </row>
    <row r="869" spans="1:10" s="51" customFormat="1" x14ac:dyDescent="0.2">
      <c r="A869" s="58"/>
      <c r="B869" s="58"/>
      <c r="C869" s="326"/>
      <c r="D869" s="326"/>
      <c r="E869" s="58"/>
      <c r="F869" s="326"/>
      <c r="G869" s="325"/>
      <c r="H869" s="325"/>
      <c r="I869" s="325"/>
      <c r="J869" s="325"/>
    </row>
    <row r="870" spans="1:10" s="51" customFormat="1" x14ac:dyDescent="0.2">
      <c r="A870" s="58"/>
      <c r="B870" s="58"/>
      <c r="C870" s="326"/>
      <c r="D870" s="326"/>
      <c r="E870" s="58"/>
      <c r="F870" s="326"/>
      <c r="G870" s="325"/>
      <c r="H870" s="325"/>
      <c r="I870" s="325"/>
      <c r="J870" s="325"/>
    </row>
    <row r="871" spans="1:10" s="51" customFormat="1" x14ac:dyDescent="0.2">
      <c r="A871" s="58"/>
      <c r="B871" s="58"/>
      <c r="C871" s="326"/>
      <c r="D871" s="326"/>
      <c r="E871" s="58"/>
      <c r="F871" s="326"/>
      <c r="G871" s="325"/>
      <c r="H871" s="325"/>
      <c r="I871" s="325"/>
      <c r="J871" s="325"/>
    </row>
    <row r="872" spans="1:10" s="51" customFormat="1" x14ac:dyDescent="0.2">
      <c r="A872" s="58"/>
      <c r="B872" s="58"/>
      <c r="C872" s="326"/>
      <c r="D872" s="326"/>
      <c r="E872" s="58"/>
      <c r="F872" s="326"/>
      <c r="G872" s="325"/>
      <c r="H872" s="325"/>
      <c r="I872" s="325"/>
      <c r="J872" s="325"/>
    </row>
    <row r="873" spans="1:10" s="51" customFormat="1" x14ac:dyDescent="0.2">
      <c r="A873" s="58"/>
      <c r="B873" s="58"/>
      <c r="C873" s="326"/>
      <c r="D873" s="326"/>
      <c r="E873" s="58"/>
      <c r="F873" s="326"/>
      <c r="G873" s="325"/>
      <c r="H873" s="325"/>
      <c r="I873" s="325"/>
      <c r="J873" s="325"/>
    </row>
    <row r="874" spans="1:10" s="51" customFormat="1" x14ac:dyDescent="0.2">
      <c r="A874" s="58"/>
      <c r="B874" s="58"/>
      <c r="C874" s="326"/>
      <c r="D874" s="326"/>
      <c r="E874" s="58"/>
      <c r="F874" s="326"/>
      <c r="G874" s="325"/>
      <c r="H874" s="325"/>
      <c r="I874" s="325"/>
      <c r="J874" s="325"/>
    </row>
    <row r="875" spans="1:10" s="51" customFormat="1" x14ac:dyDescent="0.2">
      <c r="A875" s="58"/>
      <c r="B875" s="58"/>
      <c r="C875" s="326"/>
      <c r="D875" s="326"/>
      <c r="E875" s="58"/>
      <c r="F875" s="326"/>
      <c r="G875" s="325"/>
      <c r="H875" s="325"/>
      <c r="I875" s="325"/>
      <c r="J875" s="325"/>
    </row>
    <row r="876" spans="1:10" s="51" customFormat="1" x14ac:dyDescent="0.2">
      <c r="A876" s="58"/>
      <c r="B876" s="58"/>
      <c r="C876" s="326"/>
      <c r="D876" s="326"/>
      <c r="E876" s="58"/>
      <c r="F876" s="326"/>
      <c r="G876" s="325"/>
      <c r="H876" s="325"/>
      <c r="I876" s="325"/>
      <c r="J876" s="325"/>
    </row>
    <row r="877" spans="1:10" s="51" customFormat="1" x14ac:dyDescent="0.2">
      <c r="A877" s="58"/>
      <c r="B877" s="58"/>
      <c r="C877" s="326"/>
      <c r="D877" s="326"/>
      <c r="E877" s="58"/>
      <c r="F877" s="326"/>
      <c r="G877" s="325"/>
      <c r="H877" s="325"/>
      <c r="I877" s="325"/>
      <c r="J877" s="325"/>
    </row>
    <row r="878" spans="1:10" s="51" customFormat="1" x14ac:dyDescent="0.2">
      <c r="A878" s="58"/>
      <c r="B878" s="58"/>
      <c r="C878" s="326"/>
      <c r="D878" s="326"/>
      <c r="E878" s="58"/>
      <c r="F878" s="326"/>
      <c r="G878" s="325"/>
      <c r="H878" s="325"/>
      <c r="I878" s="325"/>
      <c r="J878" s="325"/>
    </row>
    <row r="879" spans="1:10" s="51" customFormat="1" x14ac:dyDescent="0.2">
      <c r="A879" s="58"/>
      <c r="B879" s="58"/>
      <c r="C879" s="326"/>
      <c r="D879" s="326"/>
      <c r="E879" s="58"/>
      <c r="F879" s="326"/>
      <c r="G879" s="325"/>
      <c r="H879" s="325"/>
      <c r="I879" s="325"/>
      <c r="J879" s="325"/>
    </row>
    <row r="880" spans="1:10" s="51" customFormat="1" x14ac:dyDescent="0.2">
      <c r="A880" s="58"/>
      <c r="B880" s="58"/>
      <c r="C880" s="326"/>
      <c r="D880" s="326"/>
      <c r="E880" s="58"/>
      <c r="F880" s="326"/>
      <c r="G880" s="325"/>
      <c r="H880" s="325"/>
      <c r="I880" s="325"/>
      <c r="J880" s="325"/>
    </row>
    <row r="881" spans="1:10" s="51" customFormat="1" x14ac:dyDescent="0.2">
      <c r="A881" s="58"/>
      <c r="B881" s="58"/>
      <c r="C881" s="326"/>
      <c r="D881" s="326"/>
      <c r="E881" s="58"/>
      <c r="F881" s="326"/>
      <c r="G881" s="325"/>
      <c r="H881" s="325"/>
      <c r="I881" s="325"/>
      <c r="J881" s="325"/>
    </row>
    <row r="882" spans="1:10" s="51" customFormat="1" x14ac:dyDescent="0.2">
      <c r="A882" s="58"/>
      <c r="B882" s="58"/>
      <c r="C882" s="326"/>
      <c r="D882" s="326"/>
      <c r="E882" s="58"/>
      <c r="F882" s="326"/>
      <c r="G882" s="325"/>
      <c r="H882" s="325"/>
      <c r="I882" s="325"/>
      <c r="J882" s="325"/>
    </row>
    <row r="883" spans="1:10" s="51" customFormat="1" x14ac:dyDescent="0.2">
      <c r="A883" s="58"/>
      <c r="B883" s="58"/>
      <c r="C883" s="326"/>
      <c r="D883" s="326"/>
      <c r="E883" s="58"/>
      <c r="F883" s="326"/>
      <c r="G883" s="325"/>
      <c r="H883" s="325"/>
      <c r="I883" s="325"/>
      <c r="J883" s="325"/>
    </row>
    <row r="884" spans="1:10" s="51" customFormat="1" x14ac:dyDescent="0.2">
      <c r="A884" s="58"/>
      <c r="B884" s="58"/>
      <c r="C884" s="326"/>
      <c r="D884" s="326"/>
      <c r="E884" s="58"/>
      <c r="F884" s="326"/>
      <c r="G884" s="325"/>
      <c r="H884" s="325"/>
      <c r="I884" s="325"/>
      <c r="J884" s="325"/>
    </row>
    <row r="885" spans="1:10" s="51" customFormat="1" x14ac:dyDescent="0.2">
      <c r="A885" s="58"/>
      <c r="B885" s="58"/>
      <c r="C885" s="326"/>
      <c r="D885" s="326"/>
      <c r="E885" s="58"/>
      <c r="F885" s="326"/>
      <c r="G885" s="325"/>
      <c r="H885" s="325"/>
      <c r="I885" s="325"/>
      <c r="J885" s="325"/>
    </row>
    <row r="886" spans="1:10" s="51" customFormat="1" x14ac:dyDescent="0.2">
      <c r="A886" s="58"/>
      <c r="B886" s="58"/>
      <c r="C886" s="326"/>
      <c r="D886" s="326"/>
      <c r="E886" s="58"/>
      <c r="F886" s="326"/>
      <c r="G886" s="325"/>
      <c r="H886" s="325"/>
      <c r="I886" s="325"/>
      <c r="J886" s="325"/>
    </row>
    <row r="887" spans="1:10" s="51" customFormat="1" x14ac:dyDescent="0.2">
      <c r="A887" s="58"/>
      <c r="B887" s="58"/>
      <c r="C887" s="326"/>
      <c r="D887" s="326"/>
      <c r="E887" s="58"/>
      <c r="F887" s="326"/>
      <c r="G887" s="325"/>
      <c r="H887" s="325"/>
      <c r="I887" s="325"/>
      <c r="J887" s="325"/>
    </row>
    <row r="888" spans="1:10" s="51" customFormat="1" x14ac:dyDescent="0.2">
      <c r="A888" s="58"/>
      <c r="B888" s="58"/>
      <c r="C888" s="326"/>
      <c r="D888" s="326"/>
      <c r="E888" s="58"/>
      <c r="F888" s="326"/>
      <c r="G888" s="325"/>
      <c r="H888" s="325"/>
      <c r="I888" s="325"/>
      <c r="J888" s="325"/>
    </row>
    <row r="889" spans="1:10" s="51" customFormat="1" x14ac:dyDescent="0.2">
      <c r="A889" s="58"/>
      <c r="B889" s="58"/>
      <c r="C889" s="326"/>
      <c r="D889" s="326"/>
      <c r="E889" s="58"/>
      <c r="F889" s="326"/>
      <c r="G889" s="325"/>
      <c r="H889" s="325"/>
      <c r="I889" s="325"/>
      <c r="J889" s="325"/>
    </row>
    <row r="890" spans="1:10" s="51" customFormat="1" x14ac:dyDescent="0.2">
      <c r="A890" s="58"/>
      <c r="B890" s="58"/>
      <c r="C890" s="326"/>
      <c r="D890" s="326"/>
      <c r="E890" s="58"/>
      <c r="F890" s="326"/>
      <c r="G890" s="325"/>
      <c r="H890" s="325"/>
      <c r="I890" s="325"/>
      <c r="J890" s="325"/>
    </row>
    <row r="891" spans="1:10" s="51" customFormat="1" x14ac:dyDescent="0.2">
      <c r="A891" s="58"/>
      <c r="B891" s="58"/>
      <c r="C891" s="326"/>
      <c r="D891" s="326"/>
      <c r="E891" s="58"/>
      <c r="F891" s="326"/>
      <c r="G891" s="325"/>
      <c r="H891" s="325"/>
      <c r="I891" s="325"/>
      <c r="J891" s="325"/>
    </row>
    <row r="892" spans="1:10" s="51" customFormat="1" x14ac:dyDescent="0.2">
      <c r="A892" s="58"/>
      <c r="B892" s="58"/>
      <c r="C892" s="326"/>
      <c r="D892" s="326"/>
      <c r="E892" s="58"/>
      <c r="F892" s="326"/>
      <c r="G892" s="325"/>
      <c r="H892" s="325"/>
      <c r="I892" s="325"/>
      <c r="J892" s="325"/>
    </row>
    <row r="893" spans="1:10" s="51" customFormat="1" x14ac:dyDescent="0.2">
      <c r="A893" s="58"/>
      <c r="B893" s="58"/>
      <c r="C893" s="326"/>
      <c r="D893" s="326"/>
      <c r="E893" s="58"/>
      <c r="F893" s="326"/>
      <c r="G893" s="325"/>
      <c r="H893" s="325"/>
      <c r="I893" s="325"/>
      <c r="J893" s="325"/>
    </row>
    <row r="894" spans="1:10" s="51" customFormat="1" x14ac:dyDescent="0.2">
      <c r="A894" s="58"/>
      <c r="B894" s="58"/>
      <c r="C894" s="326"/>
      <c r="D894" s="326"/>
      <c r="E894" s="58"/>
      <c r="F894" s="326"/>
      <c r="G894" s="325"/>
      <c r="H894" s="325"/>
      <c r="I894" s="325"/>
      <c r="J894" s="325"/>
    </row>
    <row r="895" spans="1:10" s="51" customFormat="1" x14ac:dyDescent="0.2">
      <c r="A895" s="58"/>
      <c r="B895" s="58"/>
      <c r="C895" s="326"/>
      <c r="D895" s="326"/>
      <c r="E895" s="58"/>
      <c r="F895" s="326"/>
      <c r="G895" s="325"/>
      <c r="H895" s="325"/>
      <c r="I895" s="325"/>
      <c r="J895" s="325"/>
    </row>
    <row r="896" spans="1:10" s="51" customFormat="1" x14ac:dyDescent="0.2">
      <c r="A896" s="58"/>
      <c r="B896" s="58"/>
      <c r="C896" s="326"/>
      <c r="D896" s="326"/>
      <c r="E896" s="58"/>
      <c r="F896" s="326"/>
      <c r="G896" s="325"/>
      <c r="H896" s="325"/>
      <c r="I896" s="325"/>
      <c r="J896" s="325"/>
    </row>
    <row r="897" spans="1:10" s="51" customFormat="1" x14ac:dyDescent="0.2">
      <c r="A897" s="58"/>
      <c r="B897" s="58"/>
      <c r="C897" s="326"/>
      <c r="D897" s="326"/>
      <c r="E897" s="58"/>
      <c r="F897" s="326"/>
      <c r="G897" s="325"/>
      <c r="H897" s="325"/>
      <c r="I897" s="325"/>
      <c r="J897" s="325"/>
    </row>
    <row r="898" spans="1:10" s="51" customFormat="1" x14ac:dyDescent="0.2">
      <c r="A898" s="58"/>
      <c r="B898" s="58"/>
      <c r="C898" s="326"/>
      <c r="D898" s="326"/>
      <c r="E898" s="58"/>
      <c r="F898" s="326"/>
      <c r="G898" s="325"/>
      <c r="H898" s="325"/>
      <c r="I898" s="325"/>
      <c r="J898" s="325"/>
    </row>
    <row r="899" spans="1:10" s="51" customFormat="1" x14ac:dyDescent="0.2">
      <c r="A899" s="58"/>
      <c r="B899" s="58"/>
      <c r="C899" s="326"/>
      <c r="D899" s="326"/>
      <c r="E899" s="58"/>
      <c r="F899" s="326"/>
      <c r="G899" s="325"/>
      <c r="H899" s="325"/>
      <c r="I899" s="325"/>
      <c r="J899" s="325"/>
    </row>
    <row r="900" spans="1:10" s="51" customFormat="1" x14ac:dyDescent="0.2">
      <c r="A900" s="58"/>
      <c r="B900" s="58"/>
      <c r="C900" s="326"/>
      <c r="D900" s="326"/>
      <c r="E900" s="58"/>
      <c r="F900" s="326"/>
      <c r="G900" s="325"/>
      <c r="H900" s="325"/>
      <c r="I900" s="325"/>
      <c r="J900" s="325"/>
    </row>
    <row r="901" spans="1:10" s="51" customFormat="1" x14ac:dyDescent="0.2">
      <c r="A901" s="58"/>
      <c r="B901" s="58"/>
      <c r="C901" s="326"/>
      <c r="D901" s="326"/>
      <c r="E901" s="58"/>
      <c r="F901" s="326"/>
      <c r="G901" s="325"/>
      <c r="H901" s="325"/>
      <c r="I901" s="325"/>
      <c r="J901" s="325"/>
    </row>
    <row r="902" spans="1:10" s="51" customFormat="1" x14ac:dyDescent="0.2">
      <c r="A902" s="58"/>
      <c r="B902" s="58"/>
      <c r="C902" s="326"/>
      <c r="D902" s="326"/>
      <c r="E902" s="58"/>
      <c r="F902" s="326"/>
      <c r="G902" s="325"/>
      <c r="H902" s="325"/>
      <c r="I902" s="325"/>
      <c r="J902" s="325"/>
    </row>
    <row r="903" spans="1:10" s="51" customFormat="1" x14ac:dyDescent="0.2">
      <c r="A903" s="58"/>
      <c r="B903" s="58"/>
      <c r="C903" s="326"/>
      <c r="D903" s="326"/>
      <c r="E903" s="58"/>
      <c r="F903" s="326"/>
      <c r="G903" s="325"/>
      <c r="H903" s="325"/>
      <c r="I903" s="325"/>
      <c r="J903" s="325"/>
    </row>
    <row r="904" spans="1:10" s="51" customFormat="1" x14ac:dyDescent="0.2">
      <c r="A904" s="58"/>
      <c r="B904" s="58"/>
      <c r="C904" s="326"/>
      <c r="D904" s="326"/>
      <c r="E904" s="58"/>
      <c r="F904" s="326"/>
      <c r="G904" s="325"/>
      <c r="H904" s="325"/>
      <c r="I904" s="325"/>
      <c r="J904" s="325"/>
    </row>
    <row r="905" spans="1:10" s="51" customFormat="1" x14ac:dyDescent="0.2">
      <c r="A905" s="58"/>
      <c r="B905" s="58"/>
      <c r="C905" s="326"/>
      <c r="D905" s="326"/>
      <c r="E905" s="58"/>
      <c r="F905" s="326"/>
      <c r="G905" s="325"/>
      <c r="H905" s="325"/>
      <c r="I905" s="325"/>
      <c r="J905" s="325"/>
    </row>
    <row r="906" spans="1:10" s="51" customFormat="1" x14ac:dyDescent="0.2">
      <c r="A906" s="58"/>
      <c r="B906" s="58"/>
      <c r="C906" s="326"/>
      <c r="D906" s="326"/>
      <c r="E906" s="58"/>
      <c r="F906" s="326"/>
      <c r="G906" s="325"/>
      <c r="H906" s="325"/>
      <c r="I906" s="325"/>
      <c r="J906" s="325"/>
    </row>
    <row r="907" spans="1:10" s="51" customFormat="1" x14ac:dyDescent="0.2">
      <c r="A907" s="58"/>
      <c r="B907" s="58"/>
      <c r="C907" s="326"/>
      <c r="D907" s="326"/>
      <c r="E907" s="58"/>
      <c r="F907" s="326"/>
      <c r="G907" s="325"/>
      <c r="H907" s="325"/>
      <c r="I907" s="325"/>
      <c r="J907" s="325"/>
    </row>
    <row r="908" spans="1:10" s="51" customFormat="1" x14ac:dyDescent="0.2">
      <c r="A908" s="58"/>
      <c r="B908" s="58"/>
      <c r="C908" s="326"/>
      <c r="D908" s="326"/>
      <c r="E908" s="58"/>
      <c r="F908" s="326"/>
      <c r="G908" s="325"/>
      <c r="H908" s="325"/>
      <c r="I908" s="325"/>
      <c r="J908" s="325"/>
    </row>
    <row r="909" spans="1:10" s="51" customFormat="1" x14ac:dyDescent="0.2">
      <c r="A909" s="58"/>
      <c r="B909" s="58"/>
      <c r="C909" s="326"/>
      <c r="D909" s="326"/>
      <c r="E909" s="58"/>
      <c r="F909" s="326"/>
      <c r="G909" s="325"/>
      <c r="H909" s="325"/>
      <c r="I909" s="325"/>
      <c r="J909" s="325"/>
    </row>
    <row r="910" spans="1:10" s="51" customFormat="1" x14ac:dyDescent="0.2">
      <c r="A910" s="58"/>
      <c r="B910" s="58"/>
      <c r="C910" s="326"/>
      <c r="D910" s="326"/>
      <c r="E910" s="58"/>
      <c r="F910" s="326"/>
      <c r="G910" s="325"/>
      <c r="H910" s="325"/>
      <c r="I910" s="325"/>
      <c r="J910" s="325"/>
    </row>
    <row r="911" spans="1:10" s="51" customFormat="1" x14ac:dyDescent="0.2">
      <c r="A911" s="58"/>
      <c r="B911" s="58"/>
      <c r="C911" s="326"/>
      <c r="D911" s="326"/>
      <c r="E911" s="58"/>
      <c r="F911" s="326"/>
      <c r="G911" s="325"/>
      <c r="H911" s="325"/>
      <c r="I911" s="325"/>
      <c r="J911" s="325"/>
    </row>
    <row r="912" spans="1:10" s="51" customFormat="1" x14ac:dyDescent="0.2">
      <c r="A912" s="58"/>
      <c r="B912" s="58"/>
      <c r="C912" s="326"/>
      <c r="D912" s="326"/>
      <c r="E912" s="58"/>
      <c r="F912" s="326"/>
      <c r="G912" s="325"/>
      <c r="H912" s="325"/>
      <c r="I912" s="325"/>
      <c r="J912" s="325"/>
    </row>
    <row r="913" spans="1:10" s="51" customFormat="1" x14ac:dyDescent="0.2">
      <c r="A913" s="58"/>
      <c r="B913" s="58"/>
      <c r="C913" s="326"/>
      <c r="D913" s="326"/>
      <c r="E913" s="58"/>
      <c r="F913" s="326"/>
      <c r="G913" s="325"/>
      <c r="H913" s="325"/>
      <c r="I913" s="325"/>
      <c r="J913" s="325"/>
    </row>
    <row r="914" spans="1:10" s="51" customFormat="1" x14ac:dyDescent="0.2">
      <c r="A914" s="58"/>
      <c r="B914" s="58"/>
      <c r="C914" s="326"/>
      <c r="D914" s="326"/>
      <c r="E914" s="58"/>
      <c r="F914" s="326"/>
      <c r="G914" s="325"/>
      <c r="H914" s="325"/>
      <c r="I914" s="325"/>
      <c r="J914" s="325"/>
    </row>
    <row r="915" spans="1:10" s="51" customFormat="1" x14ac:dyDescent="0.2">
      <c r="A915" s="58"/>
      <c r="B915" s="58"/>
      <c r="C915" s="326"/>
      <c r="D915" s="326"/>
      <c r="E915" s="58"/>
      <c r="F915" s="326"/>
      <c r="G915" s="325"/>
      <c r="H915" s="325"/>
      <c r="I915" s="325"/>
      <c r="J915" s="325"/>
    </row>
    <row r="916" spans="1:10" s="51" customFormat="1" x14ac:dyDescent="0.2">
      <c r="A916" s="58"/>
      <c r="B916" s="58"/>
      <c r="C916" s="326"/>
      <c r="D916" s="326"/>
      <c r="E916" s="58"/>
      <c r="F916" s="326"/>
      <c r="G916" s="325"/>
      <c r="H916" s="325"/>
      <c r="I916" s="325"/>
      <c r="J916" s="325"/>
    </row>
    <row r="917" spans="1:10" s="51" customFormat="1" x14ac:dyDescent="0.2">
      <c r="A917" s="58"/>
      <c r="B917" s="58"/>
      <c r="C917" s="326"/>
      <c r="D917" s="326"/>
      <c r="E917" s="58"/>
      <c r="F917" s="326"/>
      <c r="G917" s="325"/>
      <c r="H917" s="325"/>
      <c r="I917" s="325"/>
      <c r="J917" s="325"/>
    </row>
    <row r="918" spans="1:10" s="51" customFormat="1" x14ac:dyDescent="0.2">
      <c r="A918" s="58"/>
      <c r="B918" s="58"/>
      <c r="C918" s="326"/>
      <c r="D918" s="326"/>
      <c r="E918" s="58"/>
      <c r="F918" s="326"/>
      <c r="G918" s="325"/>
      <c r="H918" s="325"/>
      <c r="I918" s="325"/>
      <c r="J918" s="325"/>
    </row>
    <row r="919" spans="1:10" s="51" customFormat="1" x14ac:dyDescent="0.2">
      <c r="A919" s="58"/>
      <c r="B919" s="58"/>
      <c r="C919" s="326"/>
      <c r="D919" s="326"/>
      <c r="E919" s="58"/>
      <c r="F919" s="326"/>
      <c r="G919" s="325"/>
      <c r="H919" s="325"/>
      <c r="I919" s="325"/>
      <c r="J919" s="325"/>
    </row>
    <row r="920" spans="1:10" s="51" customFormat="1" x14ac:dyDescent="0.2">
      <c r="A920" s="58"/>
      <c r="B920" s="58"/>
      <c r="C920" s="326"/>
      <c r="D920" s="326"/>
      <c r="E920" s="58"/>
      <c r="F920" s="326"/>
      <c r="G920" s="325"/>
      <c r="H920" s="325"/>
      <c r="I920" s="325"/>
      <c r="J920" s="325"/>
    </row>
    <row r="921" spans="1:10" s="51" customFormat="1" x14ac:dyDescent="0.2">
      <c r="A921" s="58"/>
      <c r="B921" s="58"/>
      <c r="C921" s="326"/>
      <c r="D921" s="326"/>
      <c r="E921" s="58"/>
      <c r="F921" s="326"/>
      <c r="G921" s="325"/>
      <c r="H921" s="325"/>
      <c r="I921" s="325"/>
      <c r="J921" s="325"/>
    </row>
    <row r="922" spans="1:10" s="51" customFormat="1" x14ac:dyDescent="0.2">
      <c r="A922" s="58"/>
      <c r="B922" s="58"/>
      <c r="C922" s="326"/>
      <c r="D922" s="326"/>
      <c r="E922" s="58"/>
      <c r="F922" s="326"/>
      <c r="G922" s="325"/>
      <c r="H922" s="325"/>
      <c r="I922" s="325"/>
      <c r="J922" s="325"/>
    </row>
    <row r="923" spans="1:10" s="51" customFormat="1" x14ac:dyDescent="0.2">
      <c r="A923" s="58"/>
      <c r="B923" s="58"/>
      <c r="C923" s="326"/>
      <c r="D923" s="326"/>
      <c r="E923" s="58"/>
      <c r="F923" s="326"/>
      <c r="G923" s="325"/>
      <c r="H923" s="325"/>
      <c r="I923" s="325"/>
      <c r="J923" s="325"/>
    </row>
    <row r="924" spans="1:10" s="51" customFormat="1" x14ac:dyDescent="0.2">
      <c r="A924" s="58"/>
      <c r="B924" s="58"/>
      <c r="C924" s="326"/>
      <c r="D924" s="326"/>
      <c r="E924" s="58"/>
      <c r="F924" s="326"/>
      <c r="G924" s="325"/>
      <c r="H924" s="325"/>
      <c r="I924" s="325"/>
      <c r="J924" s="325"/>
    </row>
    <row r="925" spans="1:10" s="51" customFormat="1" x14ac:dyDescent="0.2">
      <c r="A925" s="58"/>
      <c r="B925" s="58"/>
      <c r="C925" s="326"/>
      <c r="D925" s="326"/>
      <c r="E925" s="58"/>
      <c r="F925" s="326"/>
      <c r="G925" s="325"/>
      <c r="H925" s="325"/>
      <c r="I925" s="325"/>
      <c r="J925" s="325"/>
    </row>
    <row r="926" spans="1:10" s="51" customFormat="1" x14ac:dyDescent="0.2">
      <c r="A926" s="58"/>
      <c r="B926" s="58"/>
      <c r="C926" s="326"/>
      <c r="D926" s="326"/>
      <c r="E926" s="58"/>
      <c r="F926" s="326"/>
      <c r="G926" s="325"/>
      <c r="H926" s="325"/>
      <c r="I926" s="325"/>
      <c r="J926" s="325"/>
    </row>
    <row r="927" spans="1:10" s="51" customFormat="1" x14ac:dyDescent="0.2">
      <c r="A927" s="58"/>
      <c r="B927" s="58"/>
      <c r="C927" s="326"/>
      <c r="D927" s="326"/>
      <c r="E927" s="58"/>
      <c r="F927" s="326"/>
      <c r="G927" s="325"/>
      <c r="H927" s="325"/>
      <c r="I927" s="325"/>
      <c r="J927" s="325"/>
    </row>
    <row r="928" spans="1:10" s="51" customFormat="1" x14ac:dyDescent="0.2">
      <c r="A928" s="58"/>
      <c r="B928" s="58"/>
      <c r="C928" s="326"/>
      <c r="D928" s="326"/>
      <c r="E928" s="58"/>
      <c r="F928" s="326"/>
      <c r="G928" s="325"/>
      <c r="H928" s="325"/>
      <c r="I928" s="325"/>
      <c r="J928" s="325"/>
    </row>
    <row r="929" spans="1:10" s="51" customFormat="1" x14ac:dyDescent="0.2">
      <c r="A929" s="58"/>
      <c r="B929" s="58"/>
      <c r="C929" s="326"/>
      <c r="D929" s="326"/>
      <c r="E929" s="58"/>
      <c r="F929" s="326"/>
      <c r="G929" s="325"/>
      <c r="H929" s="325"/>
      <c r="I929" s="325"/>
      <c r="J929" s="325"/>
    </row>
    <row r="930" spans="1:10" s="51" customFormat="1" x14ac:dyDescent="0.2">
      <c r="A930" s="58"/>
      <c r="B930" s="58"/>
      <c r="C930" s="326"/>
      <c r="D930" s="326"/>
      <c r="E930" s="58"/>
      <c r="F930" s="326"/>
      <c r="G930" s="325"/>
      <c r="H930" s="325"/>
      <c r="I930" s="325"/>
      <c r="J930" s="325"/>
    </row>
    <row r="931" spans="1:10" s="51" customFormat="1" x14ac:dyDescent="0.2">
      <c r="A931" s="58"/>
      <c r="B931" s="58"/>
      <c r="C931" s="326"/>
      <c r="D931" s="326"/>
      <c r="E931" s="58"/>
      <c r="F931" s="326"/>
      <c r="G931" s="325"/>
      <c r="H931" s="325"/>
      <c r="I931" s="325"/>
      <c r="J931" s="325"/>
    </row>
    <row r="932" spans="1:10" s="51" customFormat="1" x14ac:dyDescent="0.2">
      <c r="A932" s="58"/>
      <c r="B932" s="58"/>
      <c r="C932" s="326"/>
      <c r="D932" s="326"/>
      <c r="E932" s="58"/>
      <c r="F932" s="326"/>
      <c r="G932" s="325"/>
      <c r="H932" s="325"/>
      <c r="I932" s="325"/>
      <c r="J932" s="325"/>
    </row>
    <row r="933" spans="1:10" s="51" customFormat="1" x14ac:dyDescent="0.2">
      <c r="A933" s="58"/>
      <c r="B933" s="58"/>
      <c r="C933" s="326"/>
      <c r="D933" s="326"/>
      <c r="E933" s="58"/>
      <c r="F933" s="326"/>
      <c r="G933" s="325"/>
      <c r="H933" s="325"/>
      <c r="I933" s="325"/>
      <c r="J933" s="325"/>
    </row>
    <row r="934" spans="1:10" s="51" customFormat="1" x14ac:dyDescent="0.2">
      <c r="A934" s="58"/>
      <c r="B934" s="58"/>
      <c r="C934" s="326"/>
      <c r="D934" s="326"/>
      <c r="E934" s="58"/>
      <c r="F934" s="326"/>
      <c r="G934" s="325"/>
      <c r="H934" s="325"/>
      <c r="I934" s="325"/>
      <c r="J934" s="325"/>
    </row>
    <row r="935" spans="1:10" s="51" customFormat="1" x14ac:dyDescent="0.2">
      <c r="A935" s="58"/>
      <c r="B935" s="58"/>
      <c r="C935" s="326"/>
      <c r="D935" s="326"/>
      <c r="E935" s="58"/>
      <c r="F935" s="326"/>
      <c r="G935" s="325"/>
      <c r="H935" s="325"/>
      <c r="I935" s="325"/>
      <c r="J935" s="325"/>
    </row>
    <row r="936" spans="1:10" s="51" customFormat="1" x14ac:dyDescent="0.2">
      <c r="A936" s="58"/>
      <c r="B936" s="58"/>
      <c r="C936" s="326"/>
      <c r="D936" s="326"/>
      <c r="E936" s="58"/>
      <c r="F936" s="326"/>
      <c r="G936" s="325"/>
      <c r="H936" s="325"/>
      <c r="I936" s="325"/>
      <c r="J936" s="325"/>
    </row>
    <row r="937" spans="1:10" s="51" customFormat="1" x14ac:dyDescent="0.2">
      <c r="A937" s="58"/>
      <c r="B937" s="58"/>
      <c r="C937" s="326"/>
      <c r="D937" s="326"/>
      <c r="E937" s="58"/>
      <c r="F937" s="326"/>
      <c r="G937" s="325"/>
      <c r="H937" s="325"/>
      <c r="I937" s="325"/>
      <c r="J937" s="325"/>
    </row>
    <row r="938" spans="1:10" s="51" customFormat="1" x14ac:dyDescent="0.2">
      <c r="A938" s="58"/>
      <c r="B938" s="58"/>
      <c r="C938" s="326"/>
      <c r="D938" s="326"/>
      <c r="E938" s="58"/>
      <c r="F938" s="326"/>
      <c r="G938" s="325"/>
      <c r="H938" s="325"/>
      <c r="I938" s="325"/>
      <c r="J938" s="325"/>
    </row>
    <row r="939" spans="1:10" s="51" customFormat="1" x14ac:dyDescent="0.2">
      <c r="A939" s="58"/>
      <c r="B939" s="58"/>
      <c r="C939" s="326"/>
      <c r="D939" s="326"/>
      <c r="E939" s="58"/>
      <c r="F939" s="326"/>
      <c r="G939" s="325"/>
      <c r="H939" s="325"/>
      <c r="I939" s="325"/>
      <c r="J939" s="325"/>
    </row>
    <row r="940" spans="1:10" s="51" customFormat="1" x14ac:dyDescent="0.2">
      <c r="A940" s="58"/>
      <c r="B940" s="58"/>
      <c r="C940" s="326"/>
      <c r="D940" s="326"/>
      <c r="E940" s="58"/>
      <c r="F940" s="326"/>
      <c r="G940" s="325"/>
      <c r="H940" s="325"/>
      <c r="I940" s="325"/>
      <c r="J940" s="325"/>
    </row>
    <row r="941" spans="1:10" s="51" customFormat="1" x14ac:dyDescent="0.2">
      <c r="A941" s="58"/>
      <c r="B941" s="58"/>
      <c r="C941" s="326"/>
      <c r="D941" s="326"/>
      <c r="E941" s="58"/>
      <c r="F941" s="326"/>
      <c r="G941" s="325"/>
      <c r="H941" s="325"/>
      <c r="I941" s="325"/>
      <c r="J941" s="325"/>
    </row>
    <row r="942" spans="1:10" s="51" customFormat="1" x14ac:dyDescent="0.2">
      <c r="A942" s="58"/>
      <c r="B942" s="58"/>
      <c r="C942" s="326"/>
      <c r="D942" s="326"/>
      <c r="E942" s="58"/>
      <c r="F942" s="326"/>
      <c r="G942" s="325"/>
      <c r="H942" s="325"/>
      <c r="I942" s="325"/>
      <c r="J942" s="325"/>
    </row>
    <row r="943" spans="1:10" s="51" customFormat="1" x14ac:dyDescent="0.2">
      <c r="A943" s="58"/>
      <c r="B943" s="58"/>
      <c r="C943" s="326"/>
      <c r="D943" s="326"/>
      <c r="E943" s="58"/>
      <c r="F943" s="326"/>
      <c r="G943" s="325"/>
      <c r="H943" s="325"/>
      <c r="I943" s="325"/>
      <c r="J943" s="325"/>
    </row>
    <row r="944" spans="1:10" s="51" customFormat="1" x14ac:dyDescent="0.2">
      <c r="A944" s="58"/>
      <c r="B944" s="58"/>
      <c r="C944" s="326"/>
      <c r="D944" s="326"/>
      <c r="E944" s="58"/>
      <c r="F944" s="326"/>
      <c r="G944" s="325"/>
      <c r="H944" s="325"/>
      <c r="I944" s="325"/>
      <c r="J944" s="325"/>
    </row>
    <row r="945" spans="1:10" s="51" customFormat="1" x14ac:dyDescent="0.2">
      <c r="A945" s="58"/>
      <c r="B945" s="58"/>
      <c r="C945" s="326"/>
      <c r="D945" s="326"/>
      <c r="E945" s="58"/>
      <c r="F945" s="326"/>
      <c r="G945" s="325"/>
      <c r="H945" s="325"/>
      <c r="I945" s="325"/>
      <c r="J945" s="325"/>
    </row>
    <row r="946" spans="1:10" s="51" customFormat="1" x14ac:dyDescent="0.2">
      <c r="A946" s="58"/>
      <c r="B946" s="58"/>
      <c r="C946" s="326"/>
      <c r="D946" s="326"/>
      <c r="E946" s="58"/>
      <c r="F946" s="326"/>
      <c r="G946" s="325"/>
      <c r="H946" s="325"/>
      <c r="I946" s="325"/>
      <c r="J946" s="325"/>
    </row>
    <row r="947" spans="1:10" s="51" customFormat="1" x14ac:dyDescent="0.2">
      <c r="A947" s="58"/>
      <c r="B947" s="58"/>
      <c r="C947" s="326"/>
      <c r="D947" s="326"/>
      <c r="E947" s="58"/>
      <c r="F947" s="326"/>
      <c r="G947" s="325"/>
      <c r="H947" s="325"/>
      <c r="I947" s="325"/>
      <c r="J947" s="325"/>
    </row>
    <row r="948" spans="1:10" s="51" customFormat="1" x14ac:dyDescent="0.2">
      <c r="A948" s="58"/>
      <c r="B948" s="58"/>
      <c r="C948" s="326"/>
      <c r="D948" s="326"/>
      <c r="E948" s="58"/>
      <c r="F948" s="326"/>
      <c r="G948" s="325"/>
      <c r="H948" s="325"/>
      <c r="I948" s="325"/>
      <c r="J948" s="325"/>
    </row>
    <row r="949" spans="1:10" s="51" customFormat="1" x14ac:dyDescent="0.2">
      <c r="A949" s="58"/>
      <c r="B949" s="58"/>
      <c r="C949" s="326"/>
      <c r="D949" s="326"/>
      <c r="E949" s="58"/>
      <c r="F949" s="326"/>
      <c r="G949" s="325"/>
      <c r="H949" s="325"/>
      <c r="I949" s="325"/>
      <c r="J949" s="325"/>
    </row>
    <row r="950" spans="1:10" s="51" customFormat="1" x14ac:dyDescent="0.2">
      <c r="A950" s="58"/>
      <c r="B950" s="58"/>
      <c r="C950" s="326"/>
      <c r="D950" s="326"/>
      <c r="E950" s="58"/>
      <c r="F950" s="326"/>
      <c r="G950" s="325"/>
      <c r="H950" s="325"/>
      <c r="I950" s="325"/>
      <c r="J950" s="325"/>
    </row>
    <row r="951" spans="1:10" s="51" customFormat="1" x14ac:dyDescent="0.2">
      <c r="A951" s="58"/>
      <c r="B951" s="58"/>
      <c r="C951" s="326"/>
      <c r="D951" s="326"/>
      <c r="E951" s="58"/>
      <c r="F951" s="326"/>
      <c r="G951" s="325"/>
      <c r="H951" s="325"/>
      <c r="I951" s="325"/>
      <c r="J951" s="325"/>
    </row>
    <row r="952" spans="1:10" s="51" customFormat="1" x14ac:dyDescent="0.2">
      <c r="A952" s="58"/>
      <c r="B952" s="58"/>
      <c r="C952" s="326"/>
      <c r="D952" s="326"/>
      <c r="E952" s="58"/>
      <c r="F952" s="326"/>
      <c r="G952" s="325"/>
      <c r="H952" s="325"/>
      <c r="I952" s="325"/>
      <c r="J952" s="325"/>
    </row>
    <row r="953" spans="1:10" s="51" customFormat="1" x14ac:dyDescent="0.2">
      <c r="A953" s="58"/>
      <c r="B953" s="58"/>
      <c r="C953" s="326"/>
      <c r="D953" s="326"/>
      <c r="E953" s="58"/>
      <c r="F953" s="326"/>
      <c r="G953" s="325"/>
      <c r="H953" s="325"/>
      <c r="I953" s="325"/>
      <c r="J953" s="325"/>
    </row>
    <row r="954" spans="1:10" s="51" customFormat="1" x14ac:dyDescent="0.2">
      <c r="A954" s="58"/>
      <c r="B954" s="58"/>
      <c r="C954" s="326"/>
      <c r="D954" s="326"/>
      <c r="E954" s="58"/>
      <c r="F954" s="326"/>
      <c r="G954" s="325"/>
      <c r="H954" s="325"/>
      <c r="I954" s="325"/>
      <c r="J954" s="325"/>
    </row>
    <row r="955" spans="1:10" s="51" customFormat="1" x14ac:dyDescent="0.2">
      <c r="A955" s="58"/>
      <c r="B955" s="58"/>
      <c r="C955" s="326"/>
      <c r="D955" s="326"/>
      <c r="E955" s="58"/>
      <c r="F955" s="326"/>
      <c r="G955" s="325"/>
      <c r="H955" s="325"/>
      <c r="I955" s="325"/>
      <c r="J955" s="325"/>
    </row>
    <row r="956" spans="1:10" s="51" customFormat="1" x14ac:dyDescent="0.2">
      <c r="A956" s="58"/>
      <c r="B956" s="58"/>
      <c r="C956" s="326"/>
      <c r="D956" s="326"/>
      <c r="E956" s="58"/>
      <c r="F956" s="326"/>
      <c r="G956" s="325"/>
      <c r="H956" s="325"/>
      <c r="I956" s="325"/>
      <c r="J956" s="325"/>
    </row>
    <row r="957" spans="1:10" s="51" customFormat="1" x14ac:dyDescent="0.2">
      <c r="A957" s="58"/>
      <c r="B957" s="58"/>
      <c r="C957" s="326"/>
      <c r="D957" s="326"/>
      <c r="E957" s="58"/>
      <c r="F957" s="326"/>
      <c r="G957" s="325"/>
      <c r="H957" s="325"/>
      <c r="I957" s="325"/>
      <c r="J957" s="325"/>
    </row>
    <row r="958" spans="1:10" s="51" customFormat="1" x14ac:dyDescent="0.2">
      <c r="A958" s="58"/>
      <c r="B958" s="58"/>
      <c r="C958" s="326"/>
      <c r="D958" s="326"/>
      <c r="E958" s="58"/>
      <c r="F958" s="326"/>
      <c r="G958" s="325"/>
      <c r="H958" s="325"/>
      <c r="I958" s="325"/>
      <c r="J958" s="325"/>
    </row>
    <row r="959" spans="1:10" s="51" customFormat="1" x14ac:dyDescent="0.2">
      <c r="A959" s="58"/>
      <c r="B959" s="58"/>
      <c r="C959" s="326"/>
      <c r="D959" s="326"/>
      <c r="E959" s="58"/>
      <c r="F959" s="326"/>
      <c r="G959" s="325"/>
      <c r="H959" s="325"/>
      <c r="I959" s="325"/>
      <c r="J959" s="325"/>
    </row>
    <row r="960" spans="1:10" s="51" customFormat="1" x14ac:dyDescent="0.2">
      <c r="A960" s="58"/>
      <c r="B960" s="58"/>
      <c r="C960" s="326"/>
      <c r="D960" s="326"/>
      <c r="E960" s="58"/>
      <c r="F960" s="326"/>
      <c r="G960" s="325"/>
      <c r="H960" s="325"/>
      <c r="I960" s="325"/>
      <c r="J960" s="325"/>
    </row>
    <row r="961" spans="1:10" s="51" customFormat="1" x14ac:dyDescent="0.2">
      <c r="A961" s="58"/>
      <c r="B961" s="58"/>
      <c r="C961" s="326"/>
      <c r="D961" s="326"/>
      <c r="E961" s="58"/>
      <c r="F961" s="326"/>
      <c r="G961" s="325"/>
      <c r="H961" s="325"/>
      <c r="I961" s="325"/>
      <c r="J961" s="325"/>
    </row>
    <row r="962" spans="1:10" s="51" customFormat="1" x14ac:dyDescent="0.2">
      <c r="A962" s="58"/>
      <c r="B962" s="58"/>
      <c r="C962" s="326"/>
      <c r="D962" s="326"/>
      <c r="E962" s="58"/>
      <c r="F962" s="326"/>
      <c r="G962" s="325"/>
      <c r="H962" s="325"/>
      <c r="I962" s="325"/>
      <c r="J962" s="325"/>
    </row>
    <row r="963" spans="1:10" s="51" customFormat="1" x14ac:dyDescent="0.2">
      <c r="A963" s="58"/>
      <c r="B963" s="58"/>
      <c r="C963" s="326"/>
      <c r="D963" s="326"/>
      <c r="E963" s="58"/>
      <c r="F963" s="326"/>
      <c r="G963" s="325"/>
      <c r="H963" s="325"/>
      <c r="I963" s="325"/>
      <c r="J963" s="325"/>
    </row>
    <row r="964" spans="1:10" s="51" customFormat="1" x14ac:dyDescent="0.2">
      <c r="A964" s="58"/>
      <c r="B964" s="58"/>
      <c r="C964" s="326"/>
      <c r="D964" s="326"/>
      <c r="E964" s="58"/>
      <c r="F964" s="326"/>
      <c r="G964" s="325"/>
      <c r="H964" s="325"/>
      <c r="I964" s="325"/>
      <c r="J964" s="325"/>
    </row>
    <row r="965" spans="1:10" s="51" customFormat="1" x14ac:dyDescent="0.2">
      <c r="A965" s="58"/>
      <c r="B965" s="58"/>
      <c r="C965" s="326"/>
      <c r="D965" s="326"/>
      <c r="E965" s="58"/>
      <c r="F965" s="326"/>
      <c r="G965" s="325"/>
      <c r="H965" s="325"/>
      <c r="I965" s="325"/>
      <c r="J965" s="325"/>
    </row>
    <row r="966" spans="1:10" s="51" customFormat="1" x14ac:dyDescent="0.2">
      <c r="A966" s="58"/>
      <c r="B966" s="58"/>
      <c r="C966" s="326"/>
      <c r="D966" s="326"/>
      <c r="E966" s="58"/>
      <c r="F966" s="326"/>
      <c r="G966" s="325"/>
      <c r="H966" s="325"/>
      <c r="I966" s="325"/>
      <c r="J966" s="325"/>
    </row>
    <row r="967" spans="1:10" s="51" customFormat="1" x14ac:dyDescent="0.2">
      <c r="A967" s="58"/>
      <c r="B967" s="58"/>
      <c r="C967" s="326"/>
      <c r="D967" s="326"/>
      <c r="E967" s="58"/>
      <c r="F967" s="326"/>
      <c r="G967" s="325"/>
      <c r="H967" s="325"/>
      <c r="I967" s="325"/>
      <c r="J967" s="325"/>
    </row>
    <row r="968" spans="1:10" s="51" customFormat="1" x14ac:dyDescent="0.2">
      <c r="A968" s="58"/>
      <c r="B968" s="58"/>
      <c r="C968" s="326"/>
      <c r="D968" s="326"/>
      <c r="E968" s="58"/>
      <c r="F968" s="326"/>
      <c r="G968" s="325"/>
      <c r="H968" s="325"/>
      <c r="I968" s="325"/>
      <c r="J968" s="325"/>
    </row>
    <row r="969" spans="1:10" s="51" customFormat="1" x14ac:dyDescent="0.2">
      <c r="A969" s="58"/>
      <c r="B969" s="58"/>
      <c r="C969" s="326"/>
      <c r="D969" s="326"/>
      <c r="E969" s="58"/>
      <c r="F969" s="326"/>
      <c r="G969" s="325"/>
      <c r="H969" s="325"/>
      <c r="I969" s="325"/>
      <c r="J969" s="325"/>
    </row>
    <row r="970" spans="1:10" s="51" customFormat="1" x14ac:dyDescent="0.2">
      <c r="A970" s="58"/>
      <c r="B970" s="58"/>
      <c r="C970" s="326"/>
      <c r="D970" s="326"/>
      <c r="E970" s="58"/>
      <c r="F970" s="326"/>
      <c r="G970" s="325"/>
      <c r="H970" s="325"/>
      <c r="I970" s="325"/>
      <c r="J970" s="325"/>
    </row>
    <row r="971" spans="1:10" s="51" customFormat="1" x14ac:dyDescent="0.2">
      <c r="A971" s="58"/>
      <c r="B971" s="58"/>
      <c r="C971" s="326"/>
      <c r="D971" s="326"/>
      <c r="E971" s="58"/>
      <c r="F971" s="326"/>
      <c r="G971" s="325"/>
      <c r="H971" s="325"/>
      <c r="I971" s="325"/>
      <c r="J971" s="325"/>
    </row>
    <row r="972" spans="1:10" s="51" customFormat="1" x14ac:dyDescent="0.2">
      <c r="A972" s="58"/>
      <c r="B972" s="58"/>
      <c r="C972" s="326"/>
      <c r="D972" s="326"/>
      <c r="E972" s="58"/>
      <c r="F972" s="326"/>
      <c r="G972" s="325"/>
      <c r="H972" s="325"/>
      <c r="I972" s="325"/>
      <c r="J972" s="325"/>
    </row>
    <row r="973" spans="1:10" s="51" customFormat="1" x14ac:dyDescent="0.2">
      <c r="A973" s="58"/>
      <c r="B973" s="58"/>
      <c r="C973" s="326"/>
      <c r="D973" s="326"/>
      <c r="E973" s="58"/>
      <c r="F973" s="326"/>
      <c r="G973" s="325"/>
      <c r="H973" s="325"/>
      <c r="I973" s="325"/>
      <c r="J973" s="325"/>
    </row>
    <row r="974" spans="1:10" s="51" customFormat="1" x14ac:dyDescent="0.2">
      <c r="A974" s="58"/>
      <c r="B974" s="58"/>
      <c r="C974" s="326"/>
      <c r="D974" s="326"/>
      <c r="E974" s="58"/>
      <c r="F974" s="326"/>
      <c r="G974" s="325"/>
      <c r="H974" s="325"/>
      <c r="I974" s="325"/>
      <c r="J974" s="325"/>
    </row>
    <row r="975" spans="1:10" s="51" customFormat="1" x14ac:dyDescent="0.2">
      <c r="A975" s="58"/>
      <c r="B975" s="58"/>
      <c r="C975" s="326"/>
      <c r="D975" s="326"/>
      <c r="E975" s="58"/>
      <c r="F975" s="326"/>
      <c r="G975" s="325"/>
      <c r="H975" s="325"/>
      <c r="I975" s="325"/>
      <c r="J975" s="325"/>
    </row>
    <row r="976" spans="1:10" s="51" customFormat="1" x14ac:dyDescent="0.2">
      <c r="A976" s="58"/>
      <c r="B976" s="58"/>
      <c r="C976" s="326"/>
      <c r="D976" s="326"/>
      <c r="E976" s="58"/>
      <c r="F976" s="326"/>
      <c r="G976" s="325"/>
      <c r="H976" s="325"/>
      <c r="I976" s="325"/>
      <c r="J976" s="325"/>
    </row>
    <row r="977" spans="1:10" s="51" customFormat="1" x14ac:dyDescent="0.2">
      <c r="A977" s="58"/>
      <c r="B977" s="58"/>
      <c r="C977" s="326"/>
      <c r="D977" s="326"/>
      <c r="E977" s="58"/>
      <c r="F977" s="326"/>
      <c r="G977" s="325"/>
      <c r="H977" s="325"/>
      <c r="I977" s="325"/>
      <c r="J977" s="325"/>
    </row>
    <row r="978" spans="1:10" s="51" customFormat="1" x14ac:dyDescent="0.2">
      <c r="A978" s="58"/>
      <c r="B978" s="58"/>
      <c r="C978" s="326"/>
      <c r="D978" s="326"/>
      <c r="E978" s="58"/>
      <c r="F978" s="326"/>
      <c r="G978" s="325"/>
      <c r="H978" s="325"/>
      <c r="I978" s="325"/>
      <c r="J978" s="325"/>
    </row>
    <row r="979" spans="1:10" s="51" customFormat="1" x14ac:dyDescent="0.2">
      <c r="A979" s="58"/>
      <c r="B979" s="58"/>
      <c r="C979" s="326"/>
      <c r="D979" s="326"/>
      <c r="E979" s="58"/>
      <c r="F979" s="326"/>
      <c r="G979" s="325"/>
      <c r="H979" s="325"/>
      <c r="I979" s="325"/>
      <c r="J979" s="325"/>
    </row>
    <row r="980" spans="1:10" s="51" customFormat="1" x14ac:dyDescent="0.2">
      <c r="A980" s="58"/>
      <c r="B980" s="58"/>
      <c r="C980" s="326"/>
      <c r="D980" s="326"/>
      <c r="E980" s="58"/>
      <c r="F980" s="326"/>
      <c r="G980" s="325"/>
      <c r="H980" s="325"/>
      <c r="I980" s="325"/>
      <c r="J980" s="325"/>
    </row>
    <row r="981" spans="1:10" s="51" customFormat="1" x14ac:dyDescent="0.2">
      <c r="A981" s="58"/>
      <c r="B981" s="58"/>
      <c r="C981" s="326"/>
      <c r="D981" s="326"/>
      <c r="E981" s="58"/>
      <c r="F981" s="326"/>
      <c r="G981" s="325"/>
      <c r="H981" s="325"/>
      <c r="I981" s="325"/>
      <c r="J981" s="325"/>
    </row>
    <row r="982" spans="1:10" s="51" customFormat="1" x14ac:dyDescent="0.2">
      <c r="A982" s="58"/>
      <c r="B982" s="58"/>
      <c r="C982" s="326"/>
      <c r="D982" s="326"/>
      <c r="E982" s="58"/>
      <c r="F982" s="326"/>
      <c r="G982" s="325"/>
      <c r="H982" s="325"/>
      <c r="I982" s="325"/>
      <c r="J982" s="325"/>
    </row>
    <row r="983" spans="1:10" s="51" customFormat="1" x14ac:dyDescent="0.2">
      <c r="A983" s="58"/>
      <c r="B983" s="58"/>
      <c r="C983" s="326"/>
      <c r="D983" s="326"/>
      <c r="E983" s="58"/>
      <c r="F983" s="326"/>
      <c r="G983" s="325"/>
      <c r="H983" s="325"/>
      <c r="I983" s="325"/>
      <c r="J983" s="325"/>
    </row>
    <row r="984" spans="1:10" s="51" customFormat="1" x14ac:dyDescent="0.2">
      <c r="A984" s="58"/>
      <c r="B984" s="58"/>
      <c r="C984" s="326"/>
      <c r="D984" s="326"/>
      <c r="E984" s="58"/>
      <c r="F984" s="326"/>
      <c r="G984" s="325"/>
      <c r="H984" s="325"/>
      <c r="I984" s="325"/>
      <c r="J984" s="325"/>
    </row>
    <row r="985" spans="1:10" s="51" customFormat="1" x14ac:dyDescent="0.2">
      <c r="A985" s="58"/>
      <c r="B985" s="58"/>
      <c r="C985" s="326"/>
      <c r="D985" s="326"/>
      <c r="E985" s="58"/>
      <c r="F985" s="326"/>
      <c r="G985" s="325"/>
      <c r="H985" s="325"/>
      <c r="I985" s="325"/>
      <c r="J985" s="325"/>
    </row>
    <row r="986" spans="1:10" s="51" customFormat="1" x14ac:dyDescent="0.2">
      <c r="A986" s="58"/>
      <c r="B986" s="58"/>
      <c r="C986" s="326"/>
      <c r="D986" s="326"/>
      <c r="E986" s="58"/>
      <c r="F986" s="326"/>
      <c r="G986" s="325"/>
      <c r="H986" s="325"/>
      <c r="I986" s="325"/>
      <c r="J986" s="325"/>
    </row>
    <row r="987" spans="1:10" s="51" customFormat="1" x14ac:dyDescent="0.2">
      <c r="A987" s="58"/>
      <c r="B987" s="58"/>
      <c r="C987" s="326"/>
      <c r="D987" s="326"/>
      <c r="E987" s="58"/>
      <c r="F987" s="326"/>
      <c r="G987" s="325"/>
      <c r="H987" s="325"/>
      <c r="I987" s="325"/>
      <c r="J987" s="325"/>
    </row>
    <row r="988" spans="1:10" s="51" customFormat="1" x14ac:dyDescent="0.2">
      <c r="A988" s="58"/>
      <c r="B988" s="58"/>
      <c r="C988" s="326"/>
      <c r="D988" s="326"/>
      <c r="E988" s="58"/>
      <c r="F988" s="326"/>
      <c r="G988" s="325"/>
      <c r="H988" s="325"/>
      <c r="I988" s="325"/>
      <c r="J988" s="325"/>
    </row>
    <row r="989" spans="1:10" s="51" customFormat="1" x14ac:dyDescent="0.2">
      <c r="A989" s="58"/>
      <c r="B989" s="58"/>
      <c r="C989" s="326"/>
      <c r="D989" s="326"/>
      <c r="E989" s="58"/>
      <c r="F989" s="326"/>
      <c r="G989" s="325"/>
      <c r="H989" s="325"/>
      <c r="I989" s="325"/>
      <c r="J989" s="325"/>
    </row>
    <row r="990" spans="1:10" s="51" customFormat="1" x14ac:dyDescent="0.2">
      <c r="A990" s="58"/>
      <c r="B990" s="58"/>
      <c r="C990" s="326"/>
      <c r="D990" s="326"/>
      <c r="E990" s="58"/>
      <c r="F990" s="326"/>
      <c r="G990" s="325"/>
      <c r="H990" s="325"/>
      <c r="I990" s="325"/>
      <c r="J990" s="325"/>
    </row>
    <row r="991" spans="1:10" s="51" customFormat="1" x14ac:dyDescent="0.2">
      <c r="A991" s="58"/>
      <c r="B991" s="58"/>
      <c r="C991" s="326"/>
      <c r="D991" s="326"/>
      <c r="E991" s="58"/>
      <c r="F991" s="326"/>
      <c r="G991" s="325"/>
      <c r="H991" s="325"/>
      <c r="I991" s="325"/>
      <c r="J991" s="325"/>
    </row>
    <row r="992" spans="1:10" s="51" customFormat="1" x14ac:dyDescent="0.2">
      <c r="A992" s="58"/>
      <c r="B992" s="58"/>
      <c r="C992" s="326"/>
      <c r="D992" s="326"/>
      <c r="E992" s="58"/>
      <c r="F992" s="326"/>
      <c r="G992" s="325"/>
      <c r="H992" s="325"/>
      <c r="I992" s="325"/>
      <c r="J992" s="325"/>
    </row>
    <row r="993" spans="1:10" s="51" customFormat="1" x14ac:dyDescent="0.2">
      <c r="A993" s="58"/>
      <c r="B993" s="58"/>
      <c r="C993" s="326"/>
      <c r="D993" s="326"/>
      <c r="E993" s="58"/>
      <c r="F993" s="326"/>
      <c r="G993" s="325"/>
      <c r="H993" s="325"/>
      <c r="I993" s="325"/>
      <c r="J993" s="325"/>
    </row>
    <row r="994" spans="1:10" s="51" customFormat="1" x14ac:dyDescent="0.2">
      <c r="A994" s="58"/>
      <c r="B994" s="58"/>
      <c r="C994" s="326"/>
      <c r="D994" s="326"/>
      <c r="E994" s="58"/>
      <c r="F994" s="326"/>
      <c r="G994" s="325"/>
      <c r="H994" s="325"/>
      <c r="I994" s="325"/>
      <c r="J994" s="325"/>
    </row>
    <row r="995" spans="1:10" s="51" customFormat="1" x14ac:dyDescent="0.2">
      <c r="A995" s="58"/>
      <c r="B995" s="58"/>
      <c r="C995" s="326"/>
      <c r="D995" s="326"/>
      <c r="E995" s="58"/>
      <c r="F995" s="326"/>
      <c r="G995" s="325"/>
      <c r="H995" s="333"/>
      <c r="I995" s="333"/>
      <c r="J995" s="325"/>
    </row>
    <row r="996" spans="1:10" s="51" customFormat="1" x14ac:dyDescent="0.2">
      <c r="A996" s="58"/>
      <c r="B996" s="58"/>
      <c r="C996" s="326"/>
      <c r="D996" s="326"/>
      <c r="E996" s="58"/>
      <c r="F996" s="326"/>
      <c r="G996" s="325"/>
      <c r="H996" s="333"/>
      <c r="I996" s="333"/>
      <c r="J996" s="325"/>
    </row>
    <row r="997" spans="1:10" s="51" customFormat="1" x14ac:dyDescent="0.2">
      <c r="A997" s="58"/>
      <c r="B997" s="58"/>
      <c r="C997" s="326"/>
      <c r="D997" s="326"/>
      <c r="E997" s="58"/>
      <c r="F997" s="326"/>
      <c r="G997" s="325"/>
      <c r="H997" s="333"/>
      <c r="I997" s="333"/>
      <c r="J997" s="325"/>
    </row>
    <row r="998" spans="1:10" s="51" customFormat="1" x14ac:dyDescent="0.2">
      <c r="A998" s="58"/>
      <c r="B998" s="58"/>
      <c r="C998" s="326"/>
      <c r="D998" s="326"/>
      <c r="E998" s="58"/>
      <c r="F998" s="326"/>
      <c r="G998" s="325"/>
      <c r="H998" s="333"/>
      <c r="I998" s="333"/>
      <c r="J998" s="325"/>
    </row>
    <row r="999" spans="1:10" s="51" customFormat="1" x14ac:dyDescent="0.2">
      <c r="A999" s="58"/>
      <c r="B999" s="58"/>
      <c r="C999" s="326"/>
      <c r="D999" s="326"/>
      <c r="E999" s="58"/>
      <c r="F999" s="326"/>
      <c r="G999" s="325"/>
      <c r="H999" s="333"/>
      <c r="I999" s="333"/>
      <c r="J999" s="325"/>
    </row>
    <row r="1000" spans="1:10" s="51" customFormat="1" x14ac:dyDescent="0.2">
      <c r="A1000" s="332"/>
      <c r="B1000" s="332"/>
      <c r="C1000" s="326"/>
      <c r="D1000" s="326"/>
      <c r="E1000" s="58"/>
      <c r="F1000" s="326"/>
      <c r="G1000" s="325"/>
      <c r="H1000" s="333"/>
      <c r="I1000" s="333"/>
      <c r="J1000" s="325"/>
    </row>
    <row r="1001" spans="1:10" s="51" customFormat="1" x14ac:dyDescent="0.2">
      <c r="A1001" s="321"/>
      <c r="B1001" s="321"/>
      <c r="C1001" s="326"/>
      <c r="D1001" s="326"/>
      <c r="E1001" s="58"/>
      <c r="F1001" s="326"/>
      <c r="G1001" s="325"/>
      <c r="H1001" s="333"/>
      <c r="I1001" s="333"/>
      <c r="J1001" s="325"/>
    </row>
    <row r="1002" spans="1:10" s="51" customFormat="1" x14ac:dyDescent="0.2">
      <c r="A1002" s="321"/>
      <c r="B1002" s="321"/>
      <c r="C1002" s="326"/>
      <c r="D1002" s="326"/>
      <c r="E1002" s="58"/>
      <c r="F1002" s="326"/>
      <c r="G1002" s="325"/>
      <c r="H1002" s="333"/>
      <c r="I1002" s="333"/>
      <c r="J1002" s="325"/>
    </row>
    <row r="1003" spans="1:10" x14ac:dyDescent="0.2">
      <c r="C1003" s="326"/>
      <c r="D1003" s="326"/>
      <c r="E1003" s="58"/>
      <c r="F1003" s="326"/>
      <c r="G1003" s="333"/>
      <c r="H1003" s="333"/>
      <c r="I1003" s="333"/>
      <c r="J1003" s="333"/>
    </row>
    <row r="1004" spans="1:10" x14ac:dyDescent="0.2">
      <c r="C1004" s="333"/>
      <c r="D1004" s="333"/>
      <c r="F1004" s="333"/>
      <c r="G1004" s="333"/>
      <c r="H1004" s="333"/>
      <c r="I1004" s="333"/>
      <c r="J1004" s="333"/>
    </row>
    <row r="1005" spans="1:10" x14ac:dyDescent="0.2">
      <c r="C1005" s="333"/>
      <c r="D1005" s="333"/>
      <c r="F1005" s="333"/>
      <c r="G1005" s="333"/>
      <c r="H1005" s="333"/>
      <c r="I1005" s="333"/>
      <c r="J1005" s="333"/>
    </row>
    <row r="1006" spans="1:10" x14ac:dyDescent="0.2">
      <c r="C1006" s="333"/>
      <c r="D1006" s="333"/>
      <c r="F1006" s="333"/>
      <c r="G1006" s="333"/>
      <c r="H1006" s="333"/>
      <c r="I1006" s="333"/>
      <c r="J1006" s="333"/>
    </row>
    <row r="1007" spans="1:10" x14ac:dyDescent="0.2">
      <c r="C1007" s="333"/>
      <c r="D1007" s="333"/>
      <c r="F1007" s="333"/>
      <c r="G1007" s="333"/>
      <c r="H1007" s="333"/>
      <c r="I1007" s="333"/>
      <c r="J1007" s="333"/>
    </row>
    <row r="1008" spans="1:10" x14ac:dyDescent="0.2">
      <c r="C1008" s="333"/>
      <c r="D1008" s="333"/>
      <c r="F1008" s="333"/>
      <c r="G1008" s="333"/>
      <c r="H1008" s="333"/>
      <c r="I1008" s="333"/>
      <c r="J1008" s="333"/>
    </row>
    <row r="1009" spans="3:10" x14ac:dyDescent="0.2">
      <c r="C1009" s="333"/>
      <c r="D1009" s="333"/>
      <c r="F1009" s="333"/>
      <c r="G1009" s="333"/>
      <c r="H1009" s="333"/>
      <c r="I1009" s="333"/>
      <c r="J1009" s="333"/>
    </row>
    <row r="1010" spans="3:10" x14ac:dyDescent="0.2">
      <c r="C1010" s="333"/>
      <c r="D1010" s="333"/>
      <c r="F1010" s="333"/>
      <c r="G1010" s="333"/>
      <c r="H1010" s="333"/>
      <c r="I1010" s="333"/>
      <c r="J1010" s="333"/>
    </row>
    <row r="1011" spans="3:10" x14ac:dyDescent="0.2">
      <c r="C1011" s="333"/>
      <c r="D1011" s="333"/>
      <c r="F1011" s="333"/>
      <c r="G1011" s="333"/>
      <c r="H1011" s="333"/>
      <c r="I1011" s="333"/>
      <c r="J1011" s="333"/>
    </row>
    <row r="1012" spans="3:10" x14ac:dyDescent="0.2">
      <c r="C1012" s="333"/>
      <c r="D1012" s="333"/>
      <c r="F1012" s="333"/>
      <c r="G1012" s="333"/>
      <c r="H1012" s="333"/>
      <c r="I1012" s="333"/>
      <c r="J1012" s="333"/>
    </row>
    <row r="1013" spans="3:10" x14ac:dyDescent="0.2">
      <c r="C1013" s="333"/>
      <c r="D1013" s="333"/>
      <c r="F1013" s="333"/>
      <c r="G1013" s="333"/>
      <c r="H1013" s="333"/>
      <c r="I1013" s="333"/>
      <c r="J1013" s="333"/>
    </row>
    <row r="1014" spans="3:10" x14ac:dyDescent="0.2">
      <c r="C1014" s="333"/>
      <c r="D1014" s="333"/>
      <c r="F1014" s="333"/>
      <c r="G1014" s="333"/>
      <c r="H1014" s="333"/>
      <c r="I1014" s="333"/>
      <c r="J1014" s="333"/>
    </row>
    <row r="1015" spans="3:10" x14ac:dyDescent="0.2">
      <c r="C1015" s="333"/>
      <c r="D1015" s="333"/>
      <c r="F1015" s="333"/>
      <c r="G1015" s="333"/>
      <c r="H1015" s="333"/>
      <c r="I1015" s="333"/>
      <c r="J1015" s="333"/>
    </row>
    <row r="1016" spans="3:10" x14ac:dyDescent="0.2">
      <c r="C1016" s="333"/>
      <c r="D1016" s="333"/>
      <c r="F1016" s="333"/>
      <c r="G1016" s="333"/>
      <c r="H1016" s="333"/>
      <c r="I1016" s="333"/>
      <c r="J1016" s="333"/>
    </row>
    <row r="1017" spans="3:10" x14ac:dyDescent="0.2">
      <c r="C1017" s="333"/>
      <c r="D1017" s="333"/>
      <c r="F1017" s="333"/>
      <c r="G1017" s="333"/>
      <c r="H1017" s="333"/>
      <c r="I1017" s="333"/>
      <c r="J1017" s="333"/>
    </row>
    <row r="1018" spans="3:10" x14ac:dyDescent="0.2">
      <c r="C1018" s="333"/>
      <c r="D1018" s="333"/>
      <c r="F1018" s="333"/>
      <c r="G1018" s="333"/>
      <c r="H1018" s="333"/>
      <c r="I1018" s="333"/>
      <c r="J1018" s="333"/>
    </row>
    <row r="1019" spans="3:10" x14ac:dyDescent="0.2">
      <c r="C1019" s="333"/>
      <c r="D1019" s="333"/>
      <c r="F1019" s="333"/>
      <c r="G1019" s="333"/>
      <c r="H1019" s="333"/>
      <c r="I1019" s="333"/>
      <c r="J1019" s="333"/>
    </row>
    <row r="1020" spans="3:10" x14ac:dyDescent="0.2">
      <c r="C1020" s="333"/>
      <c r="D1020" s="333"/>
      <c r="F1020" s="333"/>
      <c r="G1020" s="333"/>
      <c r="H1020" s="333"/>
      <c r="I1020" s="333"/>
      <c r="J1020" s="333"/>
    </row>
    <row r="1021" spans="3:10" x14ac:dyDescent="0.2">
      <c r="C1021" s="333"/>
      <c r="D1021" s="333"/>
      <c r="F1021" s="333"/>
      <c r="G1021" s="333"/>
      <c r="H1021" s="333"/>
      <c r="I1021" s="333"/>
      <c r="J1021" s="333"/>
    </row>
    <row r="1022" spans="3:10" x14ac:dyDescent="0.2">
      <c r="C1022" s="333"/>
      <c r="D1022" s="333"/>
      <c r="F1022" s="333"/>
      <c r="G1022" s="333"/>
      <c r="H1022" s="333"/>
      <c r="I1022" s="333"/>
      <c r="J1022" s="333"/>
    </row>
    <row r="1023" spans="3:10" x14ac:dyDescent="0.2">
      <c r="C1023" s="333"/>
      <c r="D1023" s="333"/>
      <c r="F1023" s="333"/>
      <c r="G1023" s="333"/>
      <c r="H1023" s="333"/>
      <c r="I1023" s="333"/>
      <c r="J1023" s="333"/>
    </row>
    <row r="1024" spans="3:10" x14ac:dyDescent="0.2">
      <c r="C1024" s="333"/>
      <c r="D1024" s="333"/>
      <c r="F1024" s="333"/>
      <c r="G1024" s="333"/>
      <c r="H1024" s="333"/>
      <c r="I1024" s="333"/>
      <c r="J1024" s="333"/>
    </row>
    <row r="1025" spans="3:10" x14ac:dyDescent="0.2">
      <c r="C1025" s="333"/>
      <c r="D1025" s="333"/>
      <c r="F1025" s="333"/>
      <c r="G1025" s="333"/>
      <c r="H1025" s="333"/>
      <c r="I1025" s="333"/>
      <c r="J1025" s="333"/>
    </row>
    <row r="1026" spans="3:10" x14ac:dyDescent="0.2">
      <c r="C1026" s="333"/>
      <c r="D1026" s="333"/>
      <c r="F1026" s="333"/>
      <c r="G1026" s="333"/>
      <c r="H1026" s="333"/>
      <c r="I1026" s="333"/>
      <c r="J1026" s="333"/>
    </row>
    <row r="1027" spans="3:10" x14ac:dyDescent="0.2">
      <c r="C1027" s="333"/>
      <c r="D1027" s="333"/>
      <c r="F1027" s="333"/>
      <c r="G1027" s="333"/>
      <c r="H1027" s="333"/>
      <c r="I1027" s="333"/>
      <c r="J1027" s="333"/>
    </row>
    <row r="1028" spans="3:10" x14ac:dyDescent="0.2">
      <c r="C1028" s="333"/>
      <c r="D1028" s="333"/>
      <c r="F1028" s="333"/>
      <c r="G1028" s="333"/>
      <c r="H1028" s="333"/>
      <c r="I1028" s="333"/>
      <c r="J1028" s="333"/>
    </row>
    <row r="1029" spans="3:10" x14ac:dyDescent="0.2">
      <c r="C1029" s="333"/>
      <c r="D1029" s="333"/>
      <c r="F1029" s="333"/>
      <c r="G1029" s="333"/>
      <c r="H1029" s="333"/>
      <c r="I1029" s="333"/>
      <c r="J1029" s="333"/>
    </row>
    <row r="1030" spans="3:10" x14ac:dyDescent="0.2">
      <c r="C1030" s="333"/>
      <c r="D1030" s="333"/>
      <c r="F1030" s="333"/>
      <c r="G1030" s="333"/>
      <c r="H1030" s="333"/>
      <c r="I1030" s="333"/>
      <c r="J1030" s="333"/>
    </row>
    <row r="1031" spans="3:10" x14ac:dyDescent="0.2">
      <c r="C1031" s="333"/>
      <c r="D1031" s="333"/>
      <c r="F1031" s="333"/>
      <c r="G1031" s="333"/>
      <c r="H1031" s="333"/>
      <c r="I1031" s="333"/>
      <c r="J1031" s="333"/>
    </row>
    <row r="1032" spans="3:10" x14ac:dyDescent="0.2">
      <c r="C1032" s="333"/>
      <c r="D1032" s="333"/>
      <c r="F1032" s="333"/>
      <c r="G1032" s="333"/>
      <c r="H1032" s="333"/>
      <c r="I1032" s="333"/>
      <c r="J1032" s="333"/>
    </row>
    <row r="1033" spans="3:10" x14ac:dyDescent="0.2">
      <c r="C1033" s="333"/>
      <c r="D1033" s="333"/>
      <c r="F1033" s="333"/>
      <c r="G1033" s="333"/>
      <c r="H1033" s="333"/>
      <c r="I1033" s="333"/>
      <c r="J1033" s="333"/>
    </row>
    <row r="1034" spans="3:10" x14ac:dyDescent="0.2">
      <c r="C1034" s="333"/>
      <c r="D1034" s="333"/>
      <c r="F1034" s="333"/>
      <c r="G1034" s="333"/>
      <c r="H1034" s="333"/>
      <c r="I1034" s="333"/>
      <c r="J1034" s="333"/>
    </row>
    <row r="1035" spans="3:10" x14ac:dyDescent="0.2">
      <c r="C1035" s="333"/>
      <c r="D1035" s="333"/>
      <c r="F1035" s="333"/>
      <c r="G1035" s="333"/>
      <c r="H1035" s="333"/>
      <c r="I1035" s="333"/>
      <c r="J1035" s="333"/>
    </row>
    <row r="1036" spans="3:10" x14ac:dyDescent="0.2">
      <c r="C1036" s="333"/>
      <c r="D1036" s="333"/>
      <c r="F1036" s="333"/>
      <c r="G1036" s="333"/>
      <c r="H1036" s="333"/>
      <c r="I1036" s="333"/>
      <c r="J1036" s="333"/>
    </row>
    <row r="1037" spans="3:10" x14ac:dyDescent="0.2">
      <c r="C1037" s="333"/>
      <c r="D1037" s="333"/>
      <c r="F1037" s="333"/>
      <c r="G1037" s="333"/>
      <c r="H1037" s="333"/>
      <c r="I1037" s="333"/>
      <c r="J1037" s="333"/>
    </row>
    <row r="1038" spans="3:10" x14ac:dyDescent="0.2">
      <c r="C1038" s="333"/>
      <c r="D1038" s="333"/>
      <c r="F1038" s="333"/>
      <c r="G1038" s="333"/>
      <c r="H1038" s="333"/>
      <c r="I1038" s="333"/>
      <c r="J1038" s="333"/>
    </row>
    <row r="1039" spans="3:10" x14ac:dyDescent="0.2">
      <c r="C1039" s="333"/>
      <c r="D1039" s="333"/>
      <c r="F1039" s="333"/>
      <c r="G1039" s="333"/>
      <c r="H1039" s="333"/>
      <c r="I1039" s="333"/>
      <c r="J1039" s="333"/>
    </row>
    <row r="1040" spans="3:10" x14ac:dyDescent="0.2">
      <c r="C1040" s="333"/>
      <c r="D1040" s="333"/>
      <c r="F1040" s="333"/>
      <c r="G1040" s="333"/>
      <c r="H1040" s="333"/>
      <c r="I1040" s="333"/>
      <c r="J1040" s="333"/>
    </row>
    <row r="1041" spans="3:10" x14ac:dyDescent="0.2">
      <c r="C1041" s="333"/>
      <c r="D1041" s="333"/>
      <c r="F1041" s="333"/>
      <c r="G1041" s="333"/>
      <c r="H1041" s="333"/>
      <c r="I1041" s="333"/>
      <c r="J1041" s="333"/>
    </row>
    <row r="1042" spans="3:10" x14ac:dyDescent="0.2">
      <c r="C1042" s="333"/>
      <c r="D1042" s="333"/>
      <c r="F1042" s="333"/>
      <c r="G1042" s="333"/>
      <c r="H1042" s="333"/>
      <c r="I1042" s="333"/>
      <c r="J1042" s="333"/>
    </row>
    <row r="1043" spans="3:10" x14ac:dyDescent="0.2">
      <c r="C1043" s="333"/>
      <c r="D1043" s="333"/>
      <c r="F1043" s="333"/>
      <c r="G1043" s="333"/>
      <c r="H1043" s="333"/>
      <c r="I1043" s="333"/>
      <c r="J1043" s="333"/>
    </row>
    <row r="1044" spans="3:10" x14ac:dyDescent="0.2">
      <c r="C1044" s="333"/>
      <c r="D1044" s="333"/>
      <c r="F1044" s="333"/>
      <c r="G1044" s="333"/>
      <c r="H1044" s="333"/>
      <c r="I1044" s="333"/>
      <c r="J1044" s="333"/>
    </row>
    <row r="1045" spans="3:10" x14ac:dyDescent="0.2">
      <c r="C1045" s="333"/>
      <c r="D1045" s="333"/>
      <c r="F1045" s="333"/>
      <c r="G1045" s="333"/>
      <c r="H1045" s="333"/>
      <c r="I1045" s="333"/>
      <c r="J1045" s="333"/>
    </row>
    <row r="1046" spans="3:10" x14ac:dyDescent="0.2">
      <c r="C1046" s="333"/>
      <c r="D1046" s="333"/>
      <c r="F1046" s="333"/>
      <c r="G1046" s="333"/>
      <c r="H1046" s="333"/>
      <c r="I1046" s="333"/>
      <c r="J1046" s="333"/>
    </row>
    <row r="1047" spans="3:10" x14ac:dyDescent="0.2">
      <c r="C1047" s="333"/>
      <c r="D1047" s="333"/>
      <c r="F1047" s="333"/>
      <c r="G1047" s="333"/>
      <c r="H1047" s="333"/>
      <c r="I1047" s="333"/>
      <c r="J1047" s="333"/>
    </row>
    <row r="1048" spans="3:10" x14ac:dyDescent="0.2">
      <c r="C1048" s="333"/>
      <c r="D1048" s="333"/>
      <c r="F1048" s="333"/>
      <c r="G1048" s="333"/>
      <c r="H1048" s="333"/>
      <c r="I1048" s="333"/>
      <c r="J1048" s="333"/>
    </row>
    <row r="1049" spans="3:10" x14ac:dyDescent="0.2">
      <c r="C1049" s="333"/>
      <c r="D1049" s="333"/>
      <c r="F1049" s="333"/>
      <c r="G1049" s="333"/>
      <c r="H1049" s="333"/>
      <c r="I1049" s="333"/>
      <c r="J1049" s="333"/>
    </row>
    <row r="1050" spans="3:10" x14ac:dyDescent="0.2">
      <c r="C1050" s="333"/>
      <c r="D1050" s="333"/>
      <c r="F1050" s="333"/>
      <c r="G1050" s="333"/>
      <c r="H1050" s="333"/>
      <c r="I1050" s="333"/>
      <c r="J1050" s="333"/>
    </row>
    <row r="1051" spans="3:10" x14ac:dyDescent="0.2">
      <c r="C1051" s="333"/>
      <c r="D1051" s="333"/>
      <c r="F1051" s="333"/>
      <c r="G1051" s="333"/>
      <c r="H1051" s="333"/>
      <c r="I1051" s="333"/>
      <c r="J1051" s="333"/>
    </row>
    <row r="1052" spans="3:10" x14ac:dyDescent="0.2">
      <c r="C1052" s="333"/>
      <c r="D1052" s="333"/>
      <c r="F1052" s="333"/>
      <c r="G1052" s="333"/>
      <c r="H1052" s="333"/>
      <c r="I1052" s="333"/>
      <c r="J1052" s="333"/>
    </row>
    <row r="1053" spans="3:10" x14ac:dyDescent="0.2">
      <c r="C1053" s="333"/>
      <c r="D1053" s="333"/>
      <c r="F1053" s="333"/>
      <c r="G1053" s="333"/>
      <c r="H1053" s="333"/>
      <c r="I1053" s="333"/>
      <c r="J1053" s="333"/>
    </row>
    <row r="1054" spans="3:10" x14ac:dyDescent="0.2">
      <c r="C1054" s="333"/>
      <c r="D1054" s="333"/>
      <c r="F1054" s="333"/>
      <c r="G1054" s="333"/>
      <c r="H1054" s="333"/>
      <c r="I1054" s="333"/>
      <c r="J1054" s="333"/>
    </row>
    <row r="1055" spans="3:10" x14ac:dyDescent="0.2">
      <c r="C1055" s="333"/>
      <c r="D1055" s="333"/>
      <c r="F1055" s="333"/>
      <c r="G1055" s="333"/>
      <c r="H1055" s="333"/>
      <c r="I1055" s="333"/>
      <c r="J1055" s="333"/>
    </row>
    <row r="1056" spans="3:10" x14ac:dyDescent="0.2">
      <c r="C1056" s="333"/>
      <c r="D1056" s="333"/>
      <c r="F1056" s="333"/>
      <c r="G1056" s="333"/>
      <c r="H1056" s="333"/>
      <c r="I1056" s="333"/>
      <c r="J1056" s="333"/>
    </row>
    <row r="1057" spans="3:10" x14ac:dyDescent="0.2">
      <c r="C1057" s="333"/>
      <c r="D1057" s="333"/>
      <c r="F1057" s="333"/>
      <c r="G1057" s="333"/>
      <c r="H1057" s="333"/>
      <c r="I1057" s="333"/>
      <c r="J1057" s="333"/>
    </row>
    <row r="1058" spans="3:10" x14ac:dyDescent="0.2">
      <c r="C1058" s="333"/>
      <c r="D1058" s="333"/>
      <c r="F1058" s="333"/>
      <c r="G1058" s="333"/>
      <c r="H1058" s="333"/>
      <c r="I1058" s="333"/>
      <c r="J1058" s="333"/>
    </row>
    <row r="1059" spans="3:10" x14ac:dyDescent="0.2">
      <c r="C1059" s="333"/>
      <c r="D1059" s="333"/>
      <c r="F1059" s="333"/>
      <c r="G1059" s="333"/>
      <c r="H1059" s="333"/>
      <c r="I1059" s="333"/>
      <c r="J1059" s="333"/>
    </row>
    <row r="1060" spans="3:10" x14ac:dyDescent="0.2">
      <c r="C1060" s="333"/>
      <c r="D1060" s="333"/>
      <c r="F1060" s="333"/>
      <c r="G1060" s="333"/>
      <c r="H1060" s="333"/>
      <c r="I1060" s="333"/>
      <c r="J1060" s="333"/>
    </row>
    <row r="1061" spans="3:10" x14ac:dyDescent="0.2">
      <c r="C1061" s="333"/>
      <c r="D1061" s="333"/>
      <c r="F1061" s="333"/>
      <c r="G1061" s="333"/>
      <c r="H1061" s="333"/>
      <c r="I1061" s="333"/>
      <c r="J1061" s="333"/>
    </row>
    <row r="1062" spans="3:10" x14ac:dyDescent="0.2">
      <c r="C1062" s="333"/>
      <c r="D1062" s="333"/>
      <c r="F1062" s="333"/>
      <c r="G1062" s="333"/>
      <c r="H1062" s="333"/>
      <c r="I1062" s="333"/>
      <c r="J1062" s="333"/>
    </row>
    <row r="1063" spans="3:10" x14ac:dyDescent="0.2">
      <c r="C1063" s="333"/>
      <c r="D1063" s="333"/>
      <c r="F1063" s="333"/>
      <c r="G1063" s="333"/>
      <c r="H1063" s="333"/>
      <c r="I1063" s="333"/>
      <c r="J1063" s="333"/>
    </row>
    <row r="1064" spans="3:10" x14ac:dyDescent="0.2">
      <c r="C1064" s="333"/>
      <c r="D1064" s="333"/>
      <c r="F1064" s="333"/>
      <c r="G1064" s="333"/>
      <c r="H1064" s="333"/>
      <c r="I1064" s="333"/>
      <c r="J1064" s="333"/>
    </row>
    <row r="1065" spans="3:10" x14ac:dyDescent="0.2">
      <c r="C1065" s="333"/>
      <c r="D1065" s="333"/>
      <c r="F1065" s="333"/>
      <c r="G1065" s="333"/>
      <c r="H1065" s="333"/>
      <c r="I1065" s="333"/>
      <c r="J1065" s="333"/>
    </row>
    <row r="1066" spans="3:10" x14ac:dyDescent="0.2">
      <c r="C1066" s="333"/>
      <c r="D1066" s="333"/>
      <c r="F1066" s="333"/>
      <c r="G1066" s="333"/>
      <c r="H1066" s="333"/>
      <c r="I1066" s="333"/>
      <c r="J1066" s="333"/>
    </row>
    <row r="1067" spans="3:10" x14ac:dyDescent="0.2">
      <c r="C1067" s="333"/>
      <c r="D1067" s="333"/>
      <c r="F1067" s="333"/>
      <c r="G1067" s="333"/>
      <c r="H1067" s="333"/>
      <c r="I1067" s="333"/>
      <c r="J1067" s="333"/>
    </row>
    <row r="1068" spans="3:10" x14ac:dyDescent="0.2">
      <c r="C1068" s="333"/>
      <c r="D1068" s="333"/>
      <c r="F1068" s="333"/>
      <c r="G1068" s="333"/>
      <c r="H1068" s="333"/>
      <c r="I1068" s="333"/>
      <c r="J1068" s="333"/>
    </row>
    <row r="1069" spans="3:10" x14ac:dyDescent="0.2">
      <c r="C1069" s="333"/>
      <c r="D1069" s="333"/>
      <c r="F1069" s="333"/>
      <c r="G1069" s="333"/>
      <c r="H1069" s="333"/>
      <c r="I1069" s="333"/>
      <c r="J1069" s="333"/>
    </row>
    <row r="1070" spans="3:10" x14ac:dyDescent="0.2">
      <c r="C1070" s="333"/>
      <c r="D1070" s="333"/>
      <c r="F1070" s="333"/>
      <c r="G1070" s="333"/>
      <c r="H1070" s="333"/>
      <c r="I1070" s="333"/>
      <c r="J1070" s="333"/>
    </row>
    <row r="1071" spans="3:10" x14ac:dyDescent="0.2">
      <c r="C1071" s="333"/>
      <c r="D1071" s="333"/>
      <c r="F1071" s="333"/>
      <c r="G1071" s="333"/>
      <c r="H1071" s="333"/>
      <c r="I1071" s="333"/>
      <c r="J1071" s="333"/>
    </row>
    <row r="1072" spans="3:10" x14ac:dyDescent="0.2">
      <c r="C1072" s="333"/>
      <c r="D1072" s="333"/>
      <c r="F1072" s="333"/>
      <c r="G1072" s="333"/>
      <c r="H1072" s="333"/>
      <c r="I1072" s="333"/>
      <c r="J1072" s="333"/>
    </row>
    <row r="1073" spans="3:10" x14ac:dyDescent="0.2">
      <c r="C1073" s="333"/>
      <c r="D1073" s="333"/>
      <c r="F1073" s="333"/>
      <c r="G1073" s="333"/>
      <c r="H1073" s="333"/>
      <c r="I1073" s="333"/>
      <c r="J1073" s="333"/>
    </row>
    <row r="1074" spans="3:10" x14ac:dyDescent="0.2">
      <c r="C1074" s="333"/>
      <c r="D1074" s="333"/>
      <c r="F1074" s="333"/>
      <c r="G1074" s="333"/>
      <c r="H1074" s="333"/>
      <c r="I1074" s="333"/>
      <c r="J1074" s="333"/>
    </row>
    <row r="1075" spans="3:10" x14ac:dyDescent="0.2">
      <c r="C1075" s="333"/>
      <c r="D1075" s="333"/>
      <c r="F1075" s="333"/>
      <c r="G1075" s="333"/>
      <c r="H1075" s="333"/>
      <c r="I1075" s="333"/>
      <c r="J1075" s="333"/>
    </row>
    <row r="1076" spans="3:10" x14ac:dyDescent="0.2">
      <c r="C1076" s="333"/>
      <c r="D1076" s="333"/>
      <c r="F1076" s="333"/>
      <c r="G1076" s="333"/>
      <c r="H1076" s="333"/>
      <c r="I1076" s="333"/>
      <c r="J1076" s="333"/>
    </row>
    <row r="1077" spans="3:10" x14ac:dyDescent="0.2">
      <c r="C1077" s="333"/>
      <c r="D1077" s="333"/>
      <c r="F1077" s="333"/>
      <c r="G1077" s="333"/>
      <c r="H1077" s="333"/>
      <c r="I1077" s="333"/>
      <c r="J1077" s="333"/>
    </row>
    <row r="1078" spans="3:10" x14ac:dyDescent="0.2">
      <c r="C1078" s="333"/>
      <c r="D1078" s="333"/>
      <c r="F1078" s="333"/>
      <c r="G1078" s="333"/>
      <c r="H1078" s="333"/>
      <c r="I1078" s="333"/>
      <c r="J1078" s="333"/>
    </row>
    <row r="1079" spans="3:10" x14ac:dyDescent="0.2">
      <c r="C1079" s="333"/>
      <c r="D1079" s="333"/>
      <c r="F1079" s="333"/>
      <c r="G1079" s="333"/>
      <c r="H1079" s="333"/>
      <c r="I1079" s="333"/>
      <c r="J1079" s="333"/>
    </row>
    <row r="1080" spans="3:10" x14ac:dyDescent="0.2">
      <c r="C1080" s="333"/>
      <c r="D1080" s="333"/>
      <c r="F1080" s="333"/>
      <c r="G1080" s="333"/>
      <c r="H1080" s="333"/>
      <c r="I1080" s="333"/>
      <c r="J1080" s="333"/>
    </row>
    <row r="1081" spans="3:10" x14ac:dyDescent="0.2">
      <c r="C1081" s="333"/>
      <c r="D1081" s="333"/>
      <c r="F1081" s="333"/>
      <c r="G1081" s="333"/>
      <c r="H1081" s="333"/>
      <c r="I1081" s="333"/>
      <c r="J1081" s="333"/>
    </row>
    <row r="1082" spans="3:10" x14ac:dyDescent="0.2">
      <c r="C1082" s="333"/>
      <c r="D1082" s="333"/>
      <c r="F1082" s="333"/>
      <c r="G1082" s="333"/>
      <c r="H1082" s="333"/>
      <c r="I1082" s="333"/>
      <c r="J1082" s="333"/>
    </row>
    <row r="1083" spans="3:10" x14ac:dyDescent="0.2">
      <c r="C1083" s="333"/>
      <c r="D1083" s="333"/>
      <c r="F1083" s="333"/>
      <c r="G1083" s="333"/>
      <c r="H1083" s="333"/>
      <c r="I1083" s="333"/>
      <c r="J1083" s="333"/>
    </row>
    <row r="1084" spans="3:10" x14ac:dyDescent="0.2">
      <c r="C1084" s="333"/>
      <c r="D1084" s="333"/>
      <c r="F1084" s="333"/>
      <c r="G1084" s="333"/>
      <c r="H1084" s="333"/>
      <c r="I1084" s="333"/>
      <c r="J1084" s="333"/>
    </row>
    <row r="1085" spans="3:10" x14ac:dyDescent="0.2">
      <c r="C1085" s="333"/>
      <c r="D1085" s="333"/>
      <c r="F1085" s="333"/>
      <c r="G1085" s="333"/>
      <c r="H1085" s="333"/>
      <c r="I1085" s="333"/>
      <c r="J1085" s="333"/>
    </row>
    <row r="1086" spans="3:10" x14ac:dyDescent="0.2">
      <c r="C1086" s="333"/>
      <c r="D1086" s="333"/>
      <c r="F1086" s="333"/>
      <c r="G1086" s="333"/>
      <c r="H1086" s="333"/>
      <c r="I1086" s="333"/>
      <c r="J1086" s="333"/>
    </row>
    <row r="1087" spans="3:10" x14ac:dyDescent="0.2">
      <c r="C1087" s="333"/>
      <c r="D1087" s="333"/>
      <c r="F1087" s="333"/>
      <c r="G1087" s="333"/>
      <c r="H1087" s="333"/>
      <c r="I1087" s="333"/>
      <c r="J1087" s="333"/>
    </row>
    <row r="1088" spans="3:10" x14ac:dyDescent="0.2">
      <c r="C1088" s="333"/>
      <c r="D1088" s="333"/>
      <c r="F1088" s="333"/>
      <c r="G1088" s="333"/>
      <c r="H1088" s="333"/>
      <c r="I1088" s="333"/>
      <c r="J1088" s="333"/>
    </row>
    <row r="1089" spans="3:10" x14ac:dyDescent="0.2">
      <c r="C1089" s="333"/>
      <c r="D1089" s="333"/>
      <c r="F1089" s="333"/>
      <c r="G1089" s="333"/>
      <c r="H1089" s="333"/>
      <c r="I1089" s="333"/>
      <c r="J1089" s="333"/>
    </row>
    <row r="1090" spans="3:10" x14ac:dyDescent="0.2">
      <c r="C1090" s="333"/>
      <c r="D1090" s="333"/>
      <c r="F1090" s="333"/>
      <c r="G1090" s="333"/>
      <c r="H1090" s="333"/>
      <c r="I1090" s="333"/>
      <c r="J1090" s="333"/>
    </row>
    <row r="1091" spans="3:10" x14ac:dyDescent="0.2">
      <c r="C1091" s="333"/>
      <c r="D1091" s="333"/>
      <c r="F1091" s="333"/>
      <c r="G1091" s="333"/>
      <c r="H1091" s="333"/>
      <c r="I1091" s="333"/>
      <c r="J1091" s="333"/>
    </row>
    <row r="1092" spans="3:10" x14ac:dyDescent="0.2">
      <c r="C1092" s="333"/>
      <c r="D1092" s="333"/>
      <c r="F1092" s="333"/>
      <c r="G1092" s="333"/>
      <c r="H1092" s="333"/>
      <c r="I1092" s="333"/>
      <c r="J1092" s="333"/>
    </row>
    <row r="1093" spans="3:10" x14ac:dyDescent="0.2">
      <c r="C1093" s="333"/>
      <c r="D1093" s="333"/>
      <c r="F1093" s="333"/>
      <c r="G1093" s="333"/>
      <c r="H1093" s="333"/>
      <c r="I1093" s="333"/>
      <c r="J1093" s="333"/>
    </row>
    <row r="1094" spans="3:10" x14ac:dyDescent="0.2">
      <c r="C1094" s="333"/>
      <c r="D1094" s="333"/>
      <c r="F1094" s="333"/>
      <c r="G1094" s="333"/>
      <c r="H1094" s="333"/>
      <c r="I1094" s="333"/>
      <c r="J1094" s="333"/>
    </row>
    <row r="1095" spans="3:10" x14ac:dyDescent="0.2">
      <c r="C1095" s="333"/>
      <c r="D1095" s="333"/>
      <c r="F1095" s="333"/>
      <c r="G1095" s="333"/>
      <c r="H1095" s="333"/>
      <c r="I1095" s="333"/>
      <c r="J1095" s="333"/>
    </row>
    <row r="1096" spans="3:10" x14ac:dyDescent="0.2">
      <c r="C1096" s="333"/>
      <c r="D1096" s="333"/>
      <c r="F1096" s="333"/>
      <c r="G1096" s="333"/>
      <c r="H1096" s="333"/>
      <c r="I1096" s="333"/>
      <c r="J1096" s="333"/>
    </row>
    <row r="1097" spans="3:10" x14ac:dyDescent="0.2">
      <c r="C1097" s="333"/>
      <c r="D1097" s="333"/>
      <c r="F1097" s="333"/>
      <c r="G1097" s="333"/>
      <c r="H1097" s="333"/>
      <c r="I1097" s="333"/>
      <c r="J1097" s="333"/>
    </row>
    <row r="1098" spans="3:10" x14ac:dyDescent="0.2">
      <c r="C1098" s="333"/>
      <c r="D1098" s="333"/>
      <c r="F1098" s="333"/>
      <c r="G1098" s="333"/>
      <c r="H1098" s="333"/>
      <c r="I1098" s="333"/>
      <c r="J1098" s="333"/>
    </row>
    <row r="1099" spans="3:10" x14ac:dyDescent="0.2">
      <c r="C1099" s="333"/>
      <c r="D1099" s="333"/>
      <c r="F1099" s="333"/>
      <c r="G1099" s="333"/>
      <c r="H1099" s="333"/>
      <c r="I1099" s="333"/>
      <c r="J1099" s="333"/>
    </row>
    <row r="1100" spans="3:10" x14ac:dyDescent="0.2">
      <c r="C1100" s="333"/>
      <c r="D1100" s="333"/>
      <c r="F1100" s="333"/>
      <c r="G1100" s="333"/>
      <c r="H1100" s="333"/>
      <c r="I1100" s="333"/>
      <c r="J1100" s="333"/>
    </row>
    <row r="1101" spans="3:10" x14ac:dyDescent="0.2">
      <c r="C1101" s="333"/>
      <c r="D1101" s="333"/>
      <c r="F1101" s="333"/>
      <c r="G1101" s="333"/>
      <c r="H1101" s="333"/>
      <c r="I1101" s="333"/>
      <c r="J1101" s="333"/>
    </row>
    <row r="1102" spans="3:10" x14ac:dyDescent="0.2">
      <c r="C1102" s="333"/>
      <c r="D1102" s="333"/>
      <c r="F1102" s="333"/>
      <c r="G1102" s="333"/>
      <c r="H1102" s="333"/>
      <c r="I1102" s="333"/>
      <c r="J1102" s="333"/>
    </row>
    <row r="1103" spans="3:10" x14ac:dyDescent="0.2">
      <c r="C1103" s="333"/>
      <c r="D1103" s="333"/>
      <c r="F1103" s="333"/>
      <c r="G1103" s="333"/>
      <c r="H1103" s="333"/>
      <c r="I1103" s="333"/>
      <c r="J1103" s="333"/>
    </row>
    <row r="1104" spans="3:10" x14ac:dyDescent="0.2">
      <c r="C1104" s="333"/>
      <c r="D1104" s="333"/>
      <c r="F1104" s="333"/>
      <c r="G1104" s="333"/>
      <c r="H1104" s="333"/>
      <c r="I1104" s="333"/>
      <c r="J1104" s="333"/>
    </row>
    <row r="1105" spans="3:10" x14ac:dyDescent="0.2">
      <c r="C1105" s="333"/>
      <c r="D1105" s="333"/>
      <c r="F1105" s="333"/>
      <c r="G1105" s="333"/>
      <c r="H1105" s="333"/>
      <c r="I1105" s="333"/>
      <c r="J1105" s="333"/>
    </row>
    <row r="1106" spans="3:10" x14ac:dyDescent="0.2">
      <c r="C1106" s="333"/>
      <c r="D1106" s="333"/>
      <c r="F1106" s="333"/>
      <c r="G1106" s="333"/>
      <c r="H1106" s="333"/>
      <c r="I1106" s="333"/>
      <c r="J1106" s="333"/>
    </row>
    <row r="1107" spans="3:10" x14ac:dyDescent="0.2">
      <c r="C1107" s="333"/>
      <c r="D1107" s="333"/>
      <c r="F1107" s="333"/>
      <c r="G1107" s="333"/>
      <c r="H1107" s="333"/>
      <c r="I1107" s="333"/>
      <c r="J1107" s="333"/>
    </row>
    <row r="1108" spans="3:10" x14ac:dyDescent="0.2">
      <c r="C1108" s="333"/>
      <c r="D1108" s="333"/>
      <c r="F1108" s="333"/>
      <c r="G1108" s="333"/>
      <c r="H1108" s="333"/>
      <c r="I1108" s="333"/>
      <c r="J1108" s="333"/>
    </row>
    <row r="1109" spans="3:10" x14ac:dyDescent="0.2">
      <c r="C1109" s="333"/>
      <c r="D1109" s="333"/>
      <c r="F1109" s="333"/>
      <c r="G1109" s="333"/>
      <c r="H1109" s="333"/>
      <c r="I1109" s="333"/>
      <c r="J1109" s="333"/>
    </row>
    <row r="1110" spans="3:10" x14ac:dyDescent="0.2">
      <c r="C1110" s="333"/>
      <c r="D1110" s="333"/>
      <c r="F1110" s="333"/>
      <c r="G1110" s="333"/>
      <c r="H1110" s="333"/>
      <c r="I1110" s="333"/>
      <c r="J1110" s="333"/>
    </row>
    <row r="1111" spans="3:10" x14ac:dyDescent="0.2">
      <c r="C1111" s="333"/>
      <c r="D1111" s="333"/>
      <c r="F1111" s="333"/>
      <c r="G1111" s="333"/>
      <c r="H1111" s="333"/>
      <c r="I1111" s="333"/>
      <c r="J1111" s="333"/>
    </row>
    <row r="1112" spans="3:10" x14ac:dyDescent="0.2">
      <c r="C1112" s="333"/>
      <c r="D1112" s="333"/>
      <c r="F1112" s="333"/>
      <c r="G1112" s="333"/>
      <c r="H1112" s="333"/>
      <c r="I1112" s="333"/>
      <c r="J1112" s="333"/>
    </row>
    <row r="1113" spans="3:10" x14ac:dyDescent="0.2">
      <c r="C1113" s="333"/>
      <c r="D1113" s="333"/>
      <c r="F1113" s="333"/>
      <c r="G1113" s="333"/>
      <c r="H1113" s="333"/>
      <c r="I1113" s="333"/>
      <c r="J1113" s="333"/>
    </row>
    <row r="1114" spans="3:10" x14ac:dyDescent="0.2">
      <c r="C1114" s="333"/>
      <c r="D1114" s="333"/>
      <c r="F1114" s="333"/>
      <c r="G1114" s="333"/>
      <c r="H1114" s="333"/>
      <c r="I1114" s="333"/>
      <c r="J1114" s="333"/>
    </row>
    <row r="1115" spans="3:10" x14ac:dyDescent="0.2">
      <c r="C1115" s="333"/>
      <c r="D1115" s="333"/>
      <c r="F1115" s="333"/>
      <c r="G1115" s="333"/>
      <c r="H1115" s="333"/>
      <c r="I1115" s="333"/>
      <c r="J1115" s="333"/>
    </row>
    <row r="1116" spans="3:10" x14ac:dyDescent="0.2">
      <c r="C1116" s="333"/>
      <c r="D1116" s="333"/>
      <c r="F1116" s="333"/>
      <c r="G1116" s="333"/>
      <c r="H1116" s="333"/>
      <c r="I1116" s="333"/>
      <c r="J1116" s="333"/>
    </row>
    <row r="1117" spans="3:10" x14ac:dyDescent="0.2">
      <c r="C1117" s="333"/>
      <c r="D1117" s="333"/>
      <c r="F1117" s="333"/>
      <c r="G1117" s="333"/>
      <c r="H1117" s="333"/>
      <c r="I1117" s="333"/>
      <c r="J1117" s="333"/>
    </row>
    <row r="1118" spans="3:10" x14ac:dyDescent="0.2">
      <c r="C1118" s="333"/>
      <c r="D1118" s="333"/>
      <c r="F1118" s="333"/>
      <c r="G1118" s="333"/>
      <c r="H1118" s="333"/>
      <c r="I1118" s="333"/>
      <c r="J1118" s="333"/>
    </row>
    <row r="1119" spans="3:10" x14ac:dyDescent="0.2">
      <c r="C1119" s="333"/>
      <c r="D1119" s="333"/>
      <c r="F1119" s="333"/>
      <c r="G1119" s="333"/>
      <c r="H1119" s="333"/>
      <c r="I1119" s="333"/>
      <c r="J1119" s="333"/>
    </row>
    <row r="1120" spans="3:10" x14ac:dyDescent="0.2">
      <c r="C1120" s="333"/>
      <c r="D1120" s="333"/>
      <c r="F1120" s="333"/>
      <c r="G1120" s="333"/>
      <c r="H1120" s="333"/>
      <c r="I1120" s="333"/>
      <c r="J1120" s="333"/>
    </row>
    <row r="1121" spans="3:10" x14ac:dyDescent="0.2">
      <c r="C1121" s="333"/>
      <c r="D1121" s="333"/>
      <c r="F1121" s="333"/>
      <c r="G1121" s="333"/>
      <c r="H1121" s="333"/>
      <c r="I1121" s="333"/>
      <c r="J1121" s="333"/>
    </row>
    <row r="1122" spans="3:10" x14ac:dyDescent="0.2">
      <c r="C1122" s="333"/>
      <c r="D1122" s="333"/>
      <c r="F1122" s="333"/>
      <c r="G1122" s="333"/>
      <c r="H1122" s="333"/>
      <c r="I1122" s="333"/>
      <c r="J1122" s="333"/>
    </row>
    <row r="1123" spans="3:10" x14ac:dyDescent="0.2">
      <c r="C1123" s="333"/>
      <c r="D1123" s="333"/>
      <c r="F1123" s="333"/>
      <c r="G1123" s="333"/>
      <c r="H1123" s="333"/>
      <c r="I1123" s="333"/>
      <c r="J1123" s="333"/>
    </row>
    <row r="1124" spans="3:10" x14ac:dyDescent="0.2">
      <c r="C1124" s="333"/>
      <c r="D1124" s="333"/>
      <c r="F1124" s="333"/>
      <c r="G1124" s="333"/>
      <c r="H1124" s="333"/>
      <c r="I1124" s="333"/>
      <c r="J1124" s="333"/>
    </row>
    <row r="1125" spans="3:10" x14ac:dyDescent="0.2">
      <c r="C1125" s="333"/>
      <c r="D1125" s="333"/>
      <c r="F1125" s="333"/>
      <c r="G1125" s="333"/>
      <c r="H1125" s="333"/>
      <c r="I1125" s="333"/>
      <c r="J1125" s="333"/>
    </row>
    <row r="1126" spans="3:10" x14ac:dyDescent="0.2">
      <c r="C1126" s="333"/>
      <c r="D1126" s="333"/>
      <c r="F1126" s="333"/>
      <c r="G1126" s="333"/>
      <c r="H1126" s="333"/>
      <c r="I1126" s="333"/>
      <c r="J1126" s="333"/>
    </row>
    <row r="1127" spans="3:10" x14ac:dyDescent="0.2">
      <c r="C1127" s="333"/>
      <c r="D1127" s="333"/>
      <c r="F1127" s="333"/>
      <c r="G1127" s="333"/>
      <c r="H1127" s="333"/>
      <c r="I1127" s="333"/>
      <c r="J1127" s="333"/>
    </row>
    <row r="1128" spans="3:10" x14ac:dyDescent="0.2">
      <c r="C1128" s="333"/>
      <c r="D1128" s="333"/>
      <c r="F1128" s="333"/>
      <c r="G1128" s="333"/>
      <c r="H1128" s="333"/>
      <c r="I1128" s="333"/>
      <c r="J1128" s="333"/>
    </row>
    <row r="1129" spans="3:10" x14ac:dyDescent="0.2">
      <c r="C1129" s="333"/>
      <c r="D1129" s="333"/>
      <c r="F1129" s="333"/>
      <c r="G1129" s="333"/>
      <c r="H1129" s="333"/>
      <c r="I1129" s="333"/>
      <c r="J1129" s="333"/>
    </row>
    <row r="1130" spans="3:10" x14ac:dyDescent="0.2">
      <c r="C1130" s="333"/>
      <c r="D1130" s="333"/>
      <c r="F1130" s="333"/>
      <c r="G1130" s="333"/>
      <c r="H1130" s="333"/>
      <c r="I1130" s="333"/>
      <c r="J1130" s="333"/>
    </row>
    <row r="1131" spans="3:10" x14ac:dyDescent="0.2">
      <c r="C1131" s="333"/>
      <c r="D1131" s="333"/>
      <c r="F1131" s="333"/>
      <c r="G1131" s="333"/>
      <c r="H1131" s="333"/>
      <c r="I1131" s="333"/>
      <c r="J1131" s="333"/>
    </row>
    <row r="1132" spans="3:10" x14ac:dyDescent="0.2">
      <c r="C1132" s="333"/>
      <c r="D1132" s="333"/>
      <c r="F1132" s="333"/>
      <c r="G1132" s="333"/>
      <c r="H1132" s="333"/>
      <c r="I1132" s="333"/>
      <c r="J1132" s="333"/>
    </row>
    <row r="1133" spans="3:10" x14ac:dyDescent="0.2">
      <c r="C1133" s="333"/>
      <c r="D1133" s="333"/>
      <c r="F1133" s="333"/>
      <c r="G1133" s="333"/>
      <c r="H1133" s="333"/>
      <c r="I1133" s="333"/>
      <c r="J1133" s="333"/>
    </row>
    <row r="1134" spans="3:10" x14ac:dyDescent="0.2">
      <c r="C1134" s="333"/>
      <c r="D1134" s="333"/>
      <c r="F1134" s="333"/>
      <c r="G1134" s="333"/>
      <c r="H1134" s="333"/>
      <c r="I1134" s="333"/>
      <c r="J1134" s="333"/>
    </row>
    <row r="1135" spans="3:10" x14ac:dyDescent="0.2">
      <c r="C1135" s="333"/>
      <c r="D1135" s="333"/>
      <c r="F1135" s="333"/>
      <c r="G1135" s="333"/>
      <c r="H1135" s="333"/>
      <c r="I1135" s="333"/>
      <c r="J1135" s="333"/>
    </row>
    <row r="1136" spans="3:10" x14ac:dyDescent="0.2">
      <c r="C1136" s="333"/>
      <c r="D1136" s="333"/>
      <c r="F1136" s="333"/>
      <c r="G1136" s="333"/>
      <c r="H1136" s="333"/>
      <c r="I1136" s="333"/>
      <c r="J1136" s="333"/>
    </row>
    <row r="1137" spans="3:10" x14ac:dyDescent="0.2">
      <c r="C1137" s="333"/>
      <c r="D1137" s="333"/>
      <c r="F1137" s="333"/>
      <c r="G1137" s="333"/>
      <c r="H1137" s="333"/>
      <c r="I1137" s="333"/>
      <c r="J1137" s="333"/>
    </row>
    <row r="1138" spans="3:10" x14ac:dyDescent="0.2">
      <c r="C1138" s="333"/>
      <c r="D1138" s="333"/>
      <c r="F1138" s="333"/>
      <c r="G1138" s="333"/>
      <c r="H1138" s="333"/>
      <c r="I1138" s="333"/>
      <c r="J1138" s="333"/>
    </row>
    <row r="1139" spans="3:10" x14ac:dyDescent="0.2">
      <c r="C1139" s="333"/>
      <c r="D1139" s="333"/>
      <c r="F1139" s="333"/>
      <c r="G1139" s="333"/>
      <c r="H1139" s="333"/>
      <c r="I1139" s="333"/>
      <c r="J1139" s="333"/>
    </row>
    <row r="1140" spans="3:10" x14ac:dyDescent="0.2">
      <c r="C1140" s="333"/>
      <c r="D1140" s="333"/>
      <c r="F1140" s="333"/>
      <c r="G1140" s="333"/>
      <c r="H1140" s="333"/>
      <c r="I1140" s="333"/>
      <c r="J1140" s="333"/>
    </row>
    <row r="1141" spans="3:10" x14ac:dyDescent="0.2">
      <c r="C1141" s="333"/>
      <c r="D1141" s="333"/>
      <c r="F1141" s="333"/>
      <c r="G1141" s="333"/>
      <c r="H1141" s="333"/>
      <c r="I1141" s="333"/>
      <c r="J1141" s="333"/>
    </row>
    <row r="1142" spans="3:10" x14ac:dyDescent="0.2">
      <c r="C1142" s="333"/>
      <c r="D1142" s="333"/>
      <c r="F1142" s="333"/>
      <c r="G1142" s="333"/>
      <c r="H1142" s="333"/>
      <c r="I1142" s="333"/>
      <c r="J1142" s="333"/>
    </row>
    <row r="1143" spans="3:10" x14ac:dyDescent="0.2">
      <c r="C1143" s="333"/>
      <c r="D1143" s="333"/>
      <c r="F1143" s="333"/>
      <c r="G1143" s="333"/>
      <c r="H1143" s="333"/>
      <c r="I1143" s="333"/>
      <c r="J1143" s="333"/>
    </row>
    <row r="1144" spans="3:10" x14ac:dyDescent="0.2">
      <c r="C1144" s="333"/>
      <c r="D1144" s="333"/>
      <c r="F1144" s="333"/>
      <c r="G1144" s="333"/>
      <c r="H1144" s="333"/>
      <c r="I1144" s="333"/>
      <c r="J1144" s="333"/>
    </row>
    <row r="1145" spans="3:10" x14ac:dyDescent="0.2">
      <c r="C1145" s="333"/>
      <c r="D1145" s="333"/>
      <c r="F1145" s="333"/>
      <c r="G1145" s="333"/>
      <c r="H1145" s="333"/>
      <c r="I1145" s="333"/>
      <c r="J1145" s="333"/>
    </row>
    <row r="1146" spans="3:10" x14ac:dyDescent="0.2">
      <c r="C1146" s="333"/>
      <c r="D1146" s="333"/>
      <c r="F1146" s="333"/>
      <c r="G1146" s="333"/>
      <c r="H1146" s="333"/>
      <c r="I1146" s="333"/>
      <c r="J1146" s="333"/>
    </row>
    <row r="1147" spans="3:10" x14ac:dyDescent="0.2">
      <c r="C1147" s="333"/>
      <c r="D1147" s="333"/>
      <c r="F1147" s="333"/>
      <c r="G1147" s="333"/>
      <c r="H1147" s="333"/>
      <c r="I1147" s="333"/>
      <c r="J1147" s="333"/>
    </row>
    <row r="1148" spans="3:10" x14ac:dyDescent="0.2">
      <c r="C1148" s="333"/>
      <c r="D1148" s="333"/>
      <c r="F1148" s="333"/>
      <c r="G1148" s="333"/>
      <c r="H1148" s="333"/>
      <c r="I1148" s="333"/>
      <c r="J1148" s="333"/>
    </row>
    <row r="1149" spans="3:10" x14ac:dyDescent="0.2">
      <c r="C1149" s="333"/>
      <c r="D1149" s="333"/>
      <c r="F1149" s="333"/>
      <c r="G1149" s="333"/>
      <c r="H1149" s="333"/>
      <c r="I1149" s="333"/>
      <c r="J1149" s="333"/>
    </row>
    <row r="1150" spans="3:10" x14ac:dyDescent="0.2">
      <c r="C1150" s="333"/>
      <c r="D1150" s="333"/>
      <c r="F1150" s="333"/>
      <c r="G1150" s="333"/>
      <c r="H1150" s="333"/>
      <c r="I1150" s="333"/>
      <c r="J1150" s="333"/>
    </row>
    <row r="1151" spans="3:10" x14ac:dyDescent="0.2">
      <c r="C1151" s="333"/>
      <c r="D1151" s="333"/>
      <c r="F1151" s="333"/>
      <c r="G1151" s="333"/>
      <c r="H1151" s="333"/>
      <c r="I1151" s="333"/>
      <c r="J1151" s="333"/>
    </row>
    <row r="1152" spans="3:10" x14ac:dyDescent="0.2">
      <c r="C1152" s="333"/>
      <c r="D1152" s="333"/>
      <c r="F1152" s="333"/>
      <c r="G1152" s="333"/>
      <c r="H1152" s="333"/>
      <c r="I1152" s="333"/>
      <c r="J1152" s="333"/>
    </row>
    <row r="1153" spans="3:10" x14ac:dyDescent="0.2">
      <c r="C1153" s="333"/>
      <c r="D1153" s="333"/>
      <c r="F1153" s="333"/>
      <c r="G1153" s="333"/>
      <c r="H1153" s="333"/>
      <c r="I1153" s="333"/>
      <c r="J1153" s="333"/>
    </row>
    <row r="1154" spans="3:10" x14ac:dyDescent="0.2">
      <c r="C1154" s="333"/>
      <c r="D1154" s="333"/>
      <c r="F1154" s="333"/>
      <c r="G1154" s="333"/>
      <c r="H1154" s="333"/>
      <c r="I1154" s="333"/>
      <c r="J1154" s="333"/>
    </row>
    <row r="1155" spans="3:10" x14ac:dyDescent="0.2">
      <c r="C1155" s="333"/>
      <c r="D1155" s="333"/>
      <c r="F1155" s="333"/>
      <c r="G1155" s="333"/>
      <c r="H1155" s="333"/>
      <c r="I1155" s="333"/>
      <c r="J1155" s="333"/>
    </row>
    <row r="1156" spans="3:10" x14ac:dyDescent="0.2">
      <c r="C1156" s="333"/>
      <c r="D1156" s="333"/>
      <c r="F1156" s="333"/>
      <c r="G1156" s="333"/>
      <c r="H1156" s="333"/>
      <c r="I1156" s="333"/>
      <c r="J1156" s="333"/>
    </row>
    <row r="1157" spans="3:10" x14ac:dyDescent="0.2">
      <c r="C1157" s="333"/>
      <c r="D1157" s="333"/>
      <c r="F1157" s="333"/>
      <c r="G1157" s="333"/>
      <c r="H1157" s="333"/>
      <c r="I1157" s="333"/>
      <c r="J1157" s="333"/>
    </row>
    <row r="1158" spans="3:10" x14ac:dyDescent="0.2">
      <c r="C1158" s="333"/>
      <c r="D1158" s="333"/>
      <c r="F1158" s="333"/>
      <c r="G1158" s="333"/>
      <c r="H1158" s="333"/>
      <c r="I1158" s="333"/>
      <c r="J1158" s="333"/>
    </row>
    <row r="1159" spans="3:10" x14ac:dyDescent="0.2">
      <c r="C1159" s="333"/>
      <c r="D1159" s="333"/>
      <c r="F1159" s="333"/>
      <c r="G1159" s="333"/>
      <c r="H1159" s="333"/>
      <c r="I1159" s="333"/>
      <c r="J1159" s="333"/>
    </row>
    <row r="1160" spans="3:10" x14ac:dyDescent="0.2">
      <c r="C1160" s="333"/>
      <c r="D1160" s="333"/>
      <c r="F1160" s="333"/>
      <c r="G1160" s="333"/>
      <c r="H1160" s="333"/>
      <c r="I1160" s="333"/>
      <c r="J1160" s="333"/>
    </row>
    <row r="1161" spans="3:10" x14ac:dyDescent="0.2">
      <c r="C1161" s="333"/>
      <c r="D1161" s="333"/>
      <c r="F1161" s="333"/>
      <c r="G1161" s="333"/>
      <c r="H1161" s="333"/>
      <c r="I1161" s="333"/>
      <c r="J1161" s="333"/>
    </row>
    <row r="1162" spans="3:10" x14ac:dyDescent="0.2">
      <c r="C1162" s="333"/>
      <c r="D1162" s="333"/>
      <c r="F1162" s="333"/>
      <c r="G1162" s="333"/>
      <c r="H1162" s="333"/>
      <c r="I1162" s="333"/>
      <c r="J1162" s="333"/>
    </row>
    <row r="1163" spans="3:10" x14ac:dyDescent="0.2">
      <c r="C1163" s="333"/>
      <c r="D1163" s="333"/>
      <c r="F1163" s="333"/>
      <c r="G1163" s="333"/>
      <c r="H1163" s="333"/>
      <c r="I1163" s="333"/>
      <c r="J1163" s="333"/>
    </row>
    <row r="1164" spans="3:10" x14ac:dyDescent="0.2">
      <c r="C1164" s="333"/>
      <c r="D1164" s="333"/>
      <c r="F1164" s="333"/>
      <c r="G1164" s="333"/>
      <c r="H1164" s="333"/>
      <c r="I1164" s="333"/>
      <c r="J1164" s="333"/>
    </row>
    <row r="1165" spans="3:10" x14ac:dyDescent="0.2">
      <c r="C1165" s="333"/>
      <c r="D1165" s="333"/>
      <c r="F1165" s="333"/>
      <c r="G1165" s="333"/>
      <c r="H1165" s="333"/>
      <c r="I1165" s="333"/>
      <c r="J1165" s="333"/>
    </row>
    <row r="1166" spans="3:10" x14ac:dyDescent="0.2">
      <c r="C1166" s="333"/>
      <c r="D1166" s="333"/>
      <c r="F1166" s="333"/>
      <c r="G1166" s="333"/>
      <c r="H1166" s="333"/>
      <c r="I1166" s="333"/>
      <c r="J1166" s="333"/>
    </row>
    <row r="1167" spans="3:10" x14ac:dyDescent="0.2">
      <c r="C1167" s="333"/>
      <c r="D1167" s="333"/>
      <c r="F1167" s="333"/>
      <c r="G1167" s="333"/>
      <c r="H1167" s="333"/>
      <c r="I1167" s="333"/>
      <c r="J1167" s="333"/>
    </row>
    <row r="1168" spans="3:10" x14ac:dyDescent="0.2">
      <c r="C1168" s="333"/>
      <c r="D1168" s="333"/>
      <c r="F1168" s="333"/>
      <c r="G1168" s="333"/>
      <c r="H1168" s="333"/>
      <c r="I1168" s="333"/>
      <c r="J1168" s="333"/>
    </row>
    <row r="1169" spans="3:10" x14ac:dyDescent="0.2">
      <c r="C1169" s="333"/>
      <c r="D1169" s="333"/>
      <c r="F1169" s="333"/>
      <c r="G1169" s="333"/>
      <c r="H1169" s="333"/>
      <c r="I1169" s="333"/>
      <c r="J1169" s="333"/>
    </row>
    <row r="1170" spans="3:10" x14ac:dyDescent="0.2">
      <c r="C1170" s="333"/>
      <c r="D1170" s="333"/>
      <c r="F1170" s="333"/>
      <c r="G1170" s="333"/>
      <c r="H1170" s="333"/>
      <c r="I1170" s="333"/>
      <c r="J1170" s="333"/>
    </row>
    <row r="1171" spans="3:10" x14ac:dyDescent="0.2">
      <c r="C1171" s="333"/>
      <c r="D1171" s="333"/>
      <c r="F1171" s="333"/>
      <c r="G1171" s="333"/>
      <c r="H1171" s="333"/>
      <c r="I1171" s="333"/>
      <c r="J1171" s="333"/>
    </row>
    <row r="1172" spans="3:10" x14ac:dyDescent="0.2">
      <c r="C1172" s="333"/>
      <c r="D1172" s="333"/>
      <c r="F1172" s="333"/>
      <c r="G1172" s="333"/>
      <c r="H1172" s="333"/>
      <c r="I1172" s="333"/>
      <c r="J1172" s="333"/>
    </row>
    <row r="1173" spans="3:10" x14ac:dyDescent="0.2">
      <c r="C1173" s="333"/>
      <c r="D1173" s="333"/>
      <c r="F1173" s="333"/>
      <c r="G1173" s="333"/>
      <c r="H1173" s="333"/>
      <c r="I1173" s="333"/>
      <c r="J1173" s="333"/>
    </row>
    <row r="1174" spans="3:10" x14ac:dyDescent="0.2">
      <c r="C1174" s="333"/>
      <c r="D1174" s="333"/>
      <c r="F1174" s="333"/>
      <c r="G1174" s="333"/>
      <c r="H1174" s="333"/>
      <c r="I1174" s="333"/>
      <c r="J1174" s="333"/>
    </row>
    <row r="1175" spans="3:10" x14ac:dyDescent="0.2">
      <c r="C1175" s="333"/>
      <c r="D1175" s="333"/>
      <c r="F1175" s="333"/>
      <c r="G1175" s="333"/>
      <c r="H1175" s="333"/>
      <c r="I1175" s="333"/>
      <c r="J1175" s="333"/>
    </row>
    <row r="1176" spans="3:10" x14ac:dyDescent="0.2">
      <c r="C1176" s="333"/>
      <c r="D1176" s="333"/>
      <c r="F1176" s="333"/>
      <c r="G1176" s="333"/>
      <c r="H1176" s="333"/>
      <c r="I1176" s="333"/>
      <c r="J1176" s="333"/>
    </row>
    <row r="1177" spans="3:10" x14ac:dyDescent="0.2">
      <c r="C1177" s="333"/>
      <c r="D1177" s="333"/>
      <c r="F1177" s="333"/>
      <c r="G1177" s="333"/>
      <c r="H1177" s="333"/>
      <c r="I1177" s="333"/>
      <c r="J1177" s="333"/>
    </row>
    <row r="1178" spans="3:10" x14ac:dyDescent="0.2">
      <c r="C1178" s="333"/>
      <c r="D1178" s="333"/>
      <c r="F1178" s="333"/>
      <c r="G1178" s="333"/>
      <c r="H1178" s="333"/>
      <c r="I1178" s="333"/>
      <c r="J1178" s="333"/>
    </row>
    <row r="1179" spans="3:10" x14ac:dyDescent="0.2">
      <c r="C1179" s="333"/>
      <c r="D1179" s="333"/>
      <c r="F1179" s="333"/>
      <c r="G1179" s="333"/>
      <c r="H1179" s="333"/>
      <c r="I1179" s="333"/>
      <c r="J1179" s="333"/>
    </row>
    <row r="1180" spans="3:10" x14ac:dyDescent="0.2">
      <c r="C1180" s="333"/>
      <c r="D1180" s="333"/>
      <c r="F1180" s="333"/>
      <c r="G1180" s="333"/>
      <c r="H1180" s="333"/>
      <c r="I1180" s="333"/>
      <c r="J1180" s="333"/>
    </row>
    <row r="1181" spans="3:10" x14ac:dyDescent="0.2">
      <c r="C1181" s="333"/>
      <c r="D1181" s="333"/>
      <c r="F1181" s="333"/>
      <c r="G1181" s="333"/>
      <c r="H1181" s="333"/>
      <c r="I1181" s="333"/>
      <c r="J1181" s="333"/>
    </row>
    <row r="1182" spans="3:10" x14ac:dyDescent="0.2">
      <c r="C1182" s="333"/>
      <c r="D1182" s="333"/>
      <c r="F1182" s="333"/>
      <c r="G1182" s="333"/>
      <c r="H1182" s="333"/>
      <c r="I1182" s="333"/>
      <c r="J1182" s="333"/>
    </row>
    <row r="1183" spans="3:10" x14ac:dyDescent="0.2">
      <c r="C1183" s="333"/>
      <c r="D1183" s="333"/>
      <c r="F1183" s="333"/>
      <c r="G1183" s="333"/>
      <c r="H1183" s="333"/>
      <c r="I1183" s="333"/>
      <c r="J1183" s="333"/>
    </row>
    <row r="1184" spans="3:10" x14ac:dyDescent="0.2">
      <c r="C1184" s="333"/>
      <c r="D1184" s="333"/>
      <c r="F1184" s="333"/>
      <c r="G1184" s="333"/>
      <c r="H1184" s="333"/>
      <c r="I1184" s="333"/>
      <c r="J1184" s="333"/>
    </row>
    <row r="1185" spans="3:10" x14ac:dyDescent="0.2">
      <c r="C1185" s="333"/>
      <c r="D1185" s="333"/>
      <c r="F1185" s="333"/>
      <c r="G1185" s="333"/>
      <c r="H1185" s="333"/>
      <c r="I1185" s="333"/>
      <c r="J1185" s="333"/>
    </row>
    <row r="1186" spans="3:10" x14ac:dyDescent="0.2">
      <c r="C1186" s="333"/>
      <c r="D1186" s="333"/>
      <c r="F1186" s="333"/>
      <c r="G1186" s="333"/>
      <c r="H1186" s="333"/>
      <c r="I1186" s="333"/>
      <c r="J1186" s="333"/>
    </row>
    <row r="1187" spans="3:10" x14ac:dyDescent="0.2">
      <c r="C1187" s="333"/>
      <c r="D1187" s="333"/>
      <c r="F1187" s="333"/>
      <c r="G1187" s="333"/>
      <c r="H1187" s="333"/>
      <c r="I1187" s="333"/>
      <c r="J1187" s="333"/>
    </row>
    <row r="1188" spans="3:10" x14ac:dyDescent="0.2">
      <c r="C1188" s="333"/>
      <c r="D1188" s="333"/>
      <c r="F1188" s="333"/>
      <c r="G1188" s="333"/>
      <c r="H1188" s="333"/>
      <c r="I1188" s="333"/>
      <c r="J1188" s="333"/>
    </row>
    <row r="1189" spans="3:10" x14ac:dyDescent="0.2">
      <c r="C1189" s="333"/>
      <c r="D1189" s="333"/>
      <c r="F1189" s="333"/>
      <c r="G1189" s="333"/>
      <c r="H1189" s="333"/>
      <c r="I1189" s="333"/>
      <c r="J1189" s="333"/>
    </row>
    <row r="1190" spans="3:10" x14ac:dyDescent="0.2">
      <c r="C1190" s="333"/>
      <c r="D1190" s="333"/>
      <c r="F1190" s="333"/>
      <c r="G1190" s="333"/>
      <c r="H1190" s="333"/>
      <c r="I1190" s="333"/>
      <c r="J1190" s="333"/>
    </row>
    <row r="1191" spans="3:10" x14ac:dyDescent="0.2">
      <c r="C1191" s="333"/>
      <c r="D1191" s="333"/>
      <c r="F1191" s="333"/>
      <c r="G1191" s="333"/>
      <c r="H1191" s="333"/>
      <c r="I1191" s="333"/>
      <c r="J1191" s="333"/>
    </row>
    <row r="1192" spans="3:10" x14ac:dyDescent="0.2">
      <c r="C1192" s="333"/>
      <c r="D1192" s="333"/>
      <c r="F1192" s="333"/>
      <c r="G1192" s="333"/>
      <c r="H1192" s="333"/>
      <c r="I1192" s="333"/>
      <c r="J1192" s="333"/>
    </row>
    <row r="1193" spans="3:10" x14ac:dyDescent="0.2">
      <c r="C1193" s="333"/>
      <c r="D1193" s="333"/>
      <c r="F1193" s="333"/>
      <c r="G1193" s="333"/>
      <c r="H1193" s="333"/>
      <c r="I1193" s="333"/>
      <c r="J1193" s="333"/>
    </row>
    <row r="1194" spans="3:10" x14ac:dyDescent="0.2">
      <c r="C1194" s="333"/>
      <c r="D1194" s="333"/>
      <c r="F1194" s="333"/>
      <c r="G1194" s="333"/>
      <c r="H1194" s="333"/>
      <c r="I1194" s="333"/>
      <c r="J1194" s="333"/>
    </row>
    <row r="1195" spans="3:10" x14ac:dyDescent="0.2">
      <c r="C1195" s="333"/>
      <c r="D1195" s="333"/>
      <c r="F1195" s="333"/>
      <c r="G1195" s="333"/>
      <c r="H1195" s="333"/>
      <c r="I1195" s="333"/>
      <c r="J1195" s="333"/>
    </row>
    <row r="1196" spans="3:10" x14ac:dyDescent="0.2">
      <c r="C1196" s="333"/>
      <c r="D1196" s="333"/>
      <c r="F1196" s="333"/>
      <c r="G1196" s="333"/>
      <c r="H1196" s="333"/>
      <c r="I1196" s="333"/>
      <c r="J1196" s="333"/>
    </row>
    <row r="1197" spans="3:10" x14ac:dyDescent="0.2">
      <c r="C1197" s="333"/>
      <c r="D1197" s="333"/>
      <c r="F1197" s="333"/>
      <c r="G1197" s="333"/>
      <c r="H1197" s="333"/>
      <c r="I1197" s="333"/>
      <c r="J1197" s="333"/>
    </row>
    <row r="1198" spans="3:10" x14ac:dyDescent="0.2">
      <c r="C1198" s="333"/>
      <c r="D1198" s="333"/>
      <c r="F1198" s="333"/>
      <c r="G1198" s="333"/>
      <c r="H1198" s="333"/>
      <c r="I1198" s="333"/>
      <c r="J1198" s="333"/>
    </row>
    <row r="1199" spans="3:10" x14ac:dyDescent="0.2">
      <c r="C1199" s="333"/>
      <c r="D1199" s="333"/>
      <c r="F1199" s="333"/>
      <c r="G1199" s="333"/>
      <c r="H1199" s="333"/>
      <c r="I1199" s="333"/>
      <c r="J1199" s="333"/>
    </row>
    <row r="1200" spans="3:10" x14ac:dyDescent="0.2">
      <c r="C1200" s="333"/>
      <c r="D1200" s="333"/>
      <c r="F1200" s="333"/>
      <c r="G1200" s="333"/>
      <c r="H1200" s="333"/>
      <c r="I1200" s="333"/>
      <c r="J1200" s="333"/>
    </row>
    <row r="1201" spans="3:10" x14ac:dyDescent="0.2">
      <c r="C1201" s="333"/>
      <c r="D1201" s="333"/>
      <c r="F1201" s="333"/>
      <c r="G1201" s="333"/>
      <c r="H1201" s="333"/>
      <c r="I1201" s="333"/>
      <c r="J1201" s="333"/>
    </row>
    <row r="1202" spans="3:10" x14ac:dyDescent="0.2">
      <c r="C1202" s="333"/>
      <c r="D1202" s="333"/>
      <c r="F1202" s="333"/>
      <c r="G1202" s="333"/>
      <c r="H1202" s="333"/>
      <c r="I1202" s="333"/>
      <c r="J1202" s="333"/>
    </row>
    <row r="1203" spans="3:10" x14ac:dyDescent="0.2">
      <c r="C1203" s="333"/>
      <c r="D1203" s="333"/>
      <c r="F1203" s="333"/>
      <c r="G1203" s="333"/>
      <c r="H1203" s="333"/>
      <c r="I1203" s="333"/>
      <c r="J1203" s="333"/>
    </row>
    <row r="1204" spans="3:10" x14ac:dyDescent="0.2">
      <c r="C1204" s="333"/>
      <c r="D1204" s="333"/>
      <c r="F1204" s="333"/>
      <c r="G1204" s="333"/>
      <c r="H1204" s="333"/>
      <c r="I1204" s="333"/>
      <c r="J1204" s="333"/>
    </row>
    <row r="1205" spans="3:10" x14ac:dyDescent="0.2">
      <c r="C1205" s="333"/>
      <c r="D1205" s="333"/>
      <c r="F1205" s="333"/>
      <c r="G1205" s="333"/>
      <c r="H1205" s="333"/>
      <c r="I1205" s="333"/>
      <c r="J1205" s="333"/>
    </row>
    <row r="1206" spans="3:10" x14ac:dyDescent="0.2">
      <c r="C1206" s="333"/>
      <c r="D1206" s="333"/>
      <c r="F1206" s="333"/>
      <c r="G1206" s="333"/>
      <c r="H1206" s="333"/>
      <c r="I1206" s="333"/>
      <c r="J1206" s="333"/>
    </row>
    <row r="1207" spans="3:10" x14ac:dyDescent="0.2">
      <c r="C1207" s="333"/>
      <c r="D1207" s="333"/>
      <c r="F1207" s="333"/>
      <c r="G1207" s="333"/>
      <c r="H1207" s="333"/>
      <c r="I1207" s="333"/>
      <c r="J1207" s="333"/>
    </row>
    <row r="1208" spans="3:10" x14ac:dyDescent="0.2">
      <c r="C1208" s="333"/>
      <c r="D1208" s="333"/>
      <c r="F1208" s="333"/>
      <c r="G1208" s="333"/>
      <c r="H1208" s="333"/>
      <c r="I1208" s="333"/>
      <c r="J1208" s="333"/>
    </row>
    <row r="1209" spans="3:10" x14ac:dyDescent="0.2">
      <c r="C1209" s="333"/>
      <c r="D1209" s="333"/>
      <c r="F1209" s="333"/>
      <c r="G1209" s="333"/>
      <c r="H1209" s="333"/>
      <c r="I1209" s="333"/>
      <c r="J1209" s="333"/>
    </row>
    <row r="1210" spans="3:10" x14ac:dyDescent="0.2">
      <c r="C1210" s="333"/>
      <c r="D1210" s="333"/>
      <c r="F1210" s="333"/>
      <c r="G1210" s="333"/>
      <c r="H1210" s="333"/>
      <c r="I1210" s="333"/>
      <c r="J1210" s="333"/>
    </row>
    <row r="1211" spans="3:10" x14ac:dyDescent="0.2">
      <c r="C1211" s="333"/>
      <c r="D1211" s="333"/>
      <c r="F1211" s="333"/>
      <c r="G1211" s="333"/>
      <c r="H1211" s="333"/>
      <c r="I1211" s="333"/>
      <c r="J1211" s="333"/>
    </row>
    <row r="1212" spans="3:10" x14ac:dyDescent="0.2">
      <c r="C1212" s="333"/>
      <c r="D1212" s="333"/>
      <c r="F1212" s="333"/>
      <c r="G1212" s="333"/>
      <c r="H1212" s="333"/>
      <c r="I1212" s="333"/>
      <c r="J1212" s="333"/>
    </row>
    <row r="1213" spans="3:10" x14ac:dyDescent="0.2">
      <c r="C1213" s="333"/>
      <c r="D1213" s="333"/>
      <c r="F1213" s="333"/>
      <c r="G1213" s="333"/>
      <c r="H1213" s="333"/>
      <c r="I1213" s="333"/>
      <c r="J1213" s="333"/>
    </row>
    <row r="1214" spans="3:10" x14ac:dyDescent="0.2">
      <c r="C1214" s="333"/>
      <c r="D1214" s="333"/>
      <c r="F1214" s="333"/>
      <c r="G1214" s="333"/>
      <c r="H1214" s="333"/>
      <c r="I1214" s="333"/>
      <c r="J1214" s="333"/>
    </row>
    <row r="1215" spans="3:10" x14ac:dyDescent="0.2">
      <c r="C1215" s="333"/>
      <c r="D1215" s="333"/>
      <c r="F1215" s="333"/>
      <c r="G1215" s="333"/>
      <c r="H1215" s="333"/>
      <c r="I1215" s="333"/>
      <c r="J1215" s="333"/>
    </row>
    <row r="1216" spans="3:10" x14ac:dyDescent="0.2">
      <c r="C1216" s="333"/>
      <c r="D1216" s="333"/>
      <c r="F1216" s="333"/>
      <c r="G1216" s="333"/>
      <c r="H1216" s="333"/>
      <c r="I1216" s="333"/>
      <c r="J1216" s="333"/>
    </row>
    <row r="1217" spans="3:10" x14ac:dyDescent="0.2">
      <c r="C1217" s="333"/>
      <c r="D1217" s="333"/>
      <c r="F1217" s="333"/>
      <c r="G1217" s="333"/>
      <c r="H1217" s="333"/>
      <c r="I1217" s="333"/>
      <c r="J1217" s="333"/>
    </row>
    <row r="1218" spans="3:10" x14ac:dyDescent="0.2">
      <c r="C1218" s="333"/>
      <c r="D1218" s="333"/>
      <c r="F1218" s="333"/>
      <c r="G1218" s="333"/>
      <c r="H1218" s="333"/>
      <c r="I1218" s="333"/>
      <c r="J1218" s="333"/>
    </row>
    <row r="1219" spans="3:10" x14ac:dyDescent="0.2">
      <c r="C1219" s="333"/>
      <c r="D1219" s="333"/>
      <c r="F1219" s="333"/>
      <c r="G1219" s="333"/>
      <c r="H1219" s="333"/>
      <c r="I1219" s="333"/>
      <c r="J1219" s="333"/>
    </row>
    <row r="1220" spans="3:10" x14ac:dyDescent="0.2">
      <c r="C1220" s="333"/>
      <c r="D1220" s="333"/>
      <c r="F1220" s="333"/>
      <c r="G1220" s="333"/>
      <c r="H1220" s="333"/>
      <c r="I1220" s="333"/>
      <c r="J1220" s="333"/>
    </row>
    <row r="1221" spans="3:10" x14ac:dyDescent="0.2">
      <c r="C1221" s="333"/>
      <c r="D1221" s="333"/>
      <c r="F1221" s="333"/>
      <c r="G1221" s="333"/>
      <c r="H1221" s="333"/>
      <c r="I1221" s="333"/>
      <c r="J1221" s="333"/>
    </row>
    <row r="1222" spans="3:10" x14ac:dyDescent="0.2">
      <c r="C1222" s="333"/>
      <c r="D1222" s="333"/>
      <c r="F1222" s="333"/>
      <c r="G1222" s="333"/>
      <c r="H1222" s="333"/>
      <c r="I1222" s="333"/>
      <c r="J1222" s="333"/>
    </row>
    <row r="1223" spans="3:10" x14ac:dyDescent="0.2">
      <c r="C1223" s="333"/>
      <c r="D1223" s="333"/>
      <c r="F1223" s="333"/>
      <c r="G1223" s="333"/>
      <c r="H1223" s="333"/>
      <c r="I1223" s="333"/>
      <c r="J1223" s="333"/>
    </row>
    <row r="1224" spans="3:10" x14ac:dyDescent="0.2">
      <c r="C1224" s="333"/>
      <c r="D1224" s="333"/>
      <c r="F1224" s="333"/>
      <c r="G1224" s="333"/>
      <c r="H1224" s="333"/>
      <c r="I1224" s="333"/>
      <c r="J1224" s="333"/>
    </row>
    <row r="1225" spans="3:10" x14ac:dyDescent="0.2">
      <c r="C1225" s="333"/>
      <c r="D1225" s="333"/>
      <c r="F1225" s="333"/>
      <c r="G1225" s="333"/>
      <c r="H1225" s="333"/>
      <c r="I1225" s="333"/>
      <c r="J1225" s="333"/>
    </row>
    <row r="1226" spans="3:10" x14ac:dyDescent="0.2">
      <c r="C1226" s="333"/>
      <c r="D1226" s="333"/>
      <c r="F1226" s="333"/>
      <c r="G1226" s="333"/>
      <c r="H1226" s="333"/>
      <c r="I1226" s="333"/>
      <c r="J1226" s="333"/>
    </row>
    <row r="1227" spans="3:10" x14ac:dyDescent="0.2">
      <c r="C1227" s="333"/>
      <c r="D1227" s="333"/>
      <c r="F1227" s="333"/>
      <c r="G1227" s="333"/>
      <c r="H1227" s="333"/>
      <c r="I1227" s="333"/>
      <c r="J1227" s="333"/>
    </row>
    <row r="1228" spans="3:10" x14ac:dyDescent="0.2">
      <c r="C1228" s="333"/>
      <c r="D1228" s="333"/>
      <c r="F1228" s="333"/>
      <c r="G1228" s="333"/>
      <c r="H1228" s="333"/>
      <c r="I1228" s="333"/>
      <c r="J1228" s="333"/>
    </row>
    <row r="1229" spans="3:10" x14ac:dyDescent="0.2">
      <c r="C1229" s="333"/>
      <c r="D1229" s="333"/>
      <c r="F1229" s="333"/>
      <c r="G1229" s="333"/>
      <c r="H1229" s="333"/>
      <c r="I1229" s="333"/>
      <c r="J1229" s="333"/>
    </row>
    <row r="1230" spans="3:10" x14ac:dyDescent="0.2">
      <c r="C1230" s="333"/>
      <c r="D1230" s="333"/>
      <c r="F1230" s="333"/>
      <c r="G1230" s="333"/>
      <c r="H1230" s="333"/>
      <c r="I1230" s="333"/>
      <c r="J1230" s="333"/>
    </row>
    <row r="1231" spans="3:10" x14ac:dyDescent="0.2">
      <c r="C1231" s="333"/>
      <c r="D1231" s="333"/>
      <c r="F1231" s="333"/>
      <c r="G1231" s="333"/>
      <c r="H1231" s="333"/>
      <c r="I1231" s="333"/>
      <c r="J1231" s="333"/>
    </row>
    <row r="1232" spans="3:10" x14ac:dyDescent="0.2">
      <c r="C1232" s="333"/>
      <c r="D1232" s="333"/>
      <c r="F1232" s="333"/>
      <c r="G1232" s="333"/>
      <c r="H1232" s="333"/>
      <c r="I1232" s="333"/>
      <c r="J1232" s="333"/>
    </row>
    <row r="1233" spans="3:10" x14ac:dyDescent="0.2">
      <c r="C1233" s="333"/>
      <c r="D1233" s="333"/>
      <c r="F1233" s="333"/>
      <c r="G1233" s="333"/>
      <c r="H1233" s="333"/>
      <c r="I1233" s="333"/>
      <c r="J1233" s="333"/>
    </row>
    <row r="1234" spans="3:10" x14ac:dyDescent="0.2">
      <c r="C1234" s="333"/>
      <c r="D1234" s="333"/>
      <c r="F1234" s="333"/>
      <c r="G1234" s="333"/>
      <c r="H1234" s="333"/>
      <c r="I1234" s="333"/>
      <c r="J1234" s="333"/>
    </row>
    <row r="1235" spans="3:10" x14ac:dyDescent="0.2">
      <c r="C1235" s="333"/>
      <c r="D1235" s="333"/>
      <c r="F1235" s="333"/>
      <c r="G1235" s="333"/>
      <c r="H1235" s="333"/>
      <c r="I1235" s="333"/>
      <c r="J1235" s="333"/>
    </row>
    <row r="1236" spans="3:10" x14ac:dyDescent="0.2">
      <c r="C1236" s="333"/>
      <c r="D1236" s="333"/>
      <c r="F1236" s="333"/>
      <c r="G1236" s="333"/>
      <c r="H1236" s="333"/>
      <c r="I1236" s="333"/>
      <c r="J1236" s="333"/>
    </row>
    <row r="1237" spans="3:10" x14ac:dyDescent="0.2">
      <c r="C1237" s="333"/>
      <c r="D1237" s="333"/>
      <c r="F1237" s="333"/>
      <c r="G1237" s="333"/>
      <c r="H1237" s="333"/>
      <c r="I1237" s="333"/>
      <c r="J1237" s="333"/>
    </row>
    <row r="1238" spans="3:10" x14ac:dyDescent="0.2">
      <c r="C1238" s="333"/>
      <c r="D1238" s="333"/>
      <c r="F1238" s="333"/>
      <c r="G1238" s="333"/>
      <c r="H1238" s="333"/>
      <c r="I1238" s="333"/>
      <c r="J1238" s="333"/>
    </row>
    <row r="1239" spans="3:10" x14ac:dyDescent="0.2">
      <c r="C1239" s="333"/>
      <c r="D1239" s="333"/>
      <c r="F1239" s="333"/>
      <c r="G1239" s="333"/>
      <c r="H1239" s="333"/>
      <c r="I1239" s="333"/>
      <c r="J1239" s="333"/>
    </row>
    <row r="1240" spans="3:10" x14ac:dyDescent="0.2">
      <c r="C1240" s="333"/>
      <c r="D1240" s="333"/>
      <c r="F1240" s="333"/>
      <c r="G1240" s="333"/>
      <c r="H1240" s="333"/>
      <c r="I1240" s="333"/>
      <c r="J1240" s="333"/>
    </row>
    <row r="1241" spans="3:10" x14ac:dyDescent="0.2">
      <c r="C1241" s="333"/>
      <c r="D1241" s="333"/>
      <c r="F1241" s="333"/>
      <c r="G1241" s="333"/>
      <c r="H1241" s="333"/>
      <c r="I1241" s="333"/>
      <c r="J1241" s="333"/>
    </row>
    <row r="1242" spans="3:10" x14ac:dyDescent="0.2">
      <c r="C1242" s="333"/>
      <c r="D1242" s="333"/>
      <c r="F1242" s="333"/>
      <c r="G1242" s="333"/>
      <c r="H1242" s="333"/>
      <c r="I1242" s="333"/>
      <c r="J1242" s="333"/>
    </row>
    <row r="1243" spans="3:10" x14ac:dyDescent="0.2">
      <c r="C1243" s="333"/>
      <c r="D1243" s="333"/>
      <c r="F1243" s="333"/>
      <c r="G1243" s="333"/>
      <c r="H1243" s="333"/>
      <c r="I1243" s="333"/>
      <c r="J1243" s="333"/>
    </row>
    <row r="1244" spans="3:10" x14ac:dyDescent="0.2">
      <c r="C1244" s="333"/>
      <c r="D1244" s="333"/>
      <c r="F1244" s="333"/>
      <c r="G1244" s="333"/>
      <c r="H1244" s="333"/>
      <c r="I1244" s="333"/>
      <c r="J1244" s="333"/>
    </row>
    <row r="1245" spans="3:10" x14ac:dyDescent="0.2">
      <c r="C1245" s="333"/>
      <c r="D1245" s="333"/>
      <c r="F1245" s="333"/>
      <c r="G1245" s="333"/>
      <c r="H1245" s="333"/>
      <c r="I1245" s="333"/>
      <c r="J1245" s="333"/>
    </row>
    <row r="1246" spans="3:10" x14ac:dyDescent="0.2">
      <c r="C1246" s="333"/>
      <c r="D1246" s="333"/>
      <c r="F1246" s="333"/>
      <c r="G1246" s="333"/>
      <c r="H1246" s="333"/>
      <c r="I1246" s="333"/>
      <c r="J1246" s="333"/>
    </row>
    <row r="1247" spans="3:10" x14ac:dyDescent="0.2">
      <c r="C1247" s="333"/>
      <c r="D1247" s="333"/>
      <c r="F1247" s="333"/>
      <c r="G1247" s="333"/>
      <c r="H1247" s="333"/>
      <c r="I1247" s="333"/>
      <c r="J1247" s="333"/>
    </row>
    <row r="1248" spans="3:10" x14ac:dyDescent="0.2">
      <c r="C1248" s="333"/>
      <c r="D1248" s="333"/>
      <c r="F1248" s="333"/>
      <c r="G1248" s="333"/>
      <c r="H1248" s="333"/>
      <c r="I1248" s="333"/>
      <c r="J1248" s="333"/>
    </row>
    <row r="1249" spans="3:10" x14ac:dyDescent="0.2">
      <c r="C1249" s="333"/>
      <c r="D1249" s="333"/>
      <c r="F1249" s="333"/>
      <c r="G1249" s="333"/>
      <c r="H1249" s="333"/>
      <c r="I1249" s="333"/>
      <c r="J1249" s="333"/>
    </row>
    <row r="1250" spans="3:10" x14ac:dyDescent="0.2">
      <c r="C1250" s="333"/>
      <c r="D1250" s="333"/>
      <c r="F1250" s="333"/>
      <c r="G1250" s="333"/>
      <c r="H1250" s="333"/>
      <c r="I1250" s="333"/>
      <c r="J1250" s="333"/>
    </row>
    <row r="1251" spans="3:10" x14ac:dyDescent="0.2">
      <c r="C1251" s="333"/>
      <c r="D1251" s="333"/>
      <c r="F1251" s="333"/>
      <c r="G1251" s="333"/>
      <c r="H1251" s="333"/>
      <c r="I1251" s="333"/>
      <c r="J1251" s="333"/>
    </row>
    <row r="1252" spans="3:10" x14ac:dyDescent="0.2">
      <c r="C1252" s="333"/>
      <c r="D1252" s="333"/>
      <c r="F1252" s="333"/>
      <c r="G1252" s="333"/>
      <c r="H1252" s="333"/>
      <c r="I1252" s="333"/>
      <c r="J1252" s="333"/>
    </row>
    <row r="1253" spans="3:10" x14ac:dyDescent="0.2">
      <c r="C1253" s="333"/>
      <c r="D1253" s="333"/>
      <c r="F1253" s="333"/>
      <c r="G1253" s="333"/>
      <c r="H1253" s="333"/>
      <c r="I1253" s="333"/>
      <c r="J1253" s="333"/>
    </row>
    <row r="1254" spans="3:10" x14ac:dyDescent="0.2">
      <c r="C1254" s="333"/>
      <c r="D1254" s="333"/>
      <c r="F1254" s="333"/>
      <c r="G1254" s="333"/>
      <c r="H1254" s="333"/>
      <c r="I1254" s="333"/>
      <c r="J1254" s="333"/>
    </row>
    <row r="1255" spans="3:10" x14ac:dyDescent="0.2">
      <c r="C1255" s="333"/>
      <c r="D1255" s="333"/>
      <c r="F1255" s="333"/>
      <c r="G1255" s="333"/>
      <c r="H1255" s="333"/>
      <c r="I1255" s="333"/>
      <c r="J1255" s="333"/>
    </row>
    <row r="1256" spans="3:10" x14ac:dyDescent="0.2">
      <c r="C1256" s="333"/>
      <c r="D1256" s="333"/>
      <c r="F1256" s="333"/>
      <c r="G1256" s="333"/>
      <c r="H1256" s="333"/>
      <c r="I1256" s="333"/>
      <c r="J1256" s="333"/>
    </row>
    <row r="1257" spans="3:10" x14ac:dyDescent="0.2">
      <c r="C1257" s="333"/>
      <c r="D1257" s="333"/>
      <c r="F1257" s="333"/>
      <c r="G1257" s="333"/>
      <c r="H1257" s="333"/>
      <c r="I1257" s="333"/>
      <c r="J1257" s="333"/>
    </row>
    <row r="1258" spans="3:10" x14ac:dyDescent="0.2">
      <c r="C1258" s="333"/>
      <c r="D1258" s="333"/>
      <c r="F1258" s="333"/>
      <c r="G1258" s="333"/>
      <c r="H1258" s="333"/>
      <c r="I1258" s="333"/>
      <c r="J1258" s="333"/>
    </row>
    <row r="1259" spans="3:10" x14ac:dyDescent="0.2">
      <c r="C1259" s="333"/>
      <c r="D1259" s="333"/>
      <c r="F1259" s="333"/>
      <c r="G1259" s="333"/>
      <c r="H1259" s="333"/>
      <c r="I1259" s="333"/>
      <c r="J1259" s="333"/>
    </row>
    <row r="1260" spans="3:10" x14ac:dyDescent="0.2">
      <c r="C1260" s="333"/>
      <c r="D1260" s="333"/>
      <c r="F1260" s="333"/>
      <c r="G1260" s="333"/>
      <c r="H1260" s="333"/>
      <c r="I1260" s="333"/>
      <c r="J1260" s="333"/>
    </row>
    <row r="1261" spans="3:10" x14ac:dyDescent="0.2">
      <c r="C1261" s="333"/>
      <c r="D1261" s="333"/>
      <c r="F1261" s="333"/>
      <c r="G1261" s="333"/>
      <c r="H1261" s="333"/>
      <c r="I1261" s="333"/>
      <c r="J1261" s="333"/>
    </row>
    <row r="1262" spans="3:10" x14ac:dyDescent="0.2">
      <c r="C1262" s="333"/>
      <c r="D1262" s="333"/>
      <c r="F1262" s="333"/>
      <c r="G1262" s="333"/>
      <c r="H1262" s="333"/>
      <c r="I1262" s="333"/>
      <c r="J1262" s="333"/>
    </row>
    <row r="1263" spans="3:10" x14ac:dyDescent="0.2">
      <c r="C1263" s="333"/>
      <c r="D1263" s="333"/>
      <c r="F1263" s="333"/>
      <c r="G1263" s="333"/>
      <c r="H1263" s="333"/>
      <c r="I1263" s="333"/>
      <c r="J1263" s="333"/>
    </row>
    <row r="1264" spans="3:10" x14ac:dyDescent="0.2">
      <c r="C1264" s="333"/>
      <c r="D1264" s="333"/>
      <c r="F1264" s="333"/>
      <c r="G1264" s="333"/>
      <c r="H1264" s="333"/>
      <c r="I1264" s="333"/>
      <c r="J1264" s="333"/>
    </row>
    <row r="1265" spans="3:10" x14ac:dyDescent="0.2">
      <c r="C1265" s="333"/>
      <c r="D1265" s="333"/>
      <c r="F1265" s="333"/>
      <c r="G1265" s="333"/>
      <c r="H1265" s="333"/>
      <c r="I1265" s="333"/>
      <c r="J1265" s="333"/>
    </row>
    <row r="1266" spans="3:10" x14ac:dyDescent="0.2">
      <c r="C1266" s="333"/>
      <c r="D1266" s="333"/>
      <c r="F1266" s="333"/>
      <c r="G1266" s="333"/>
      <c r="H1266" s="333"/>
      <c r="I1266" s="333"/>
      <c r="J1266" s="333"/>
    </row>
    <row r="1267" spans="3:10" x14ac:dyDescent="0.2">
      <c r="C1267" s="333"/>
      <c r="D1267" s="333"/>
      <c r="F1267" s="333"/>
      <c r="G1267" s="333"/>
      <c r="H1267" s="333"/>
      <c r="I1267" s="333"/>
      <c r="J1267" s="333"/>
    </row>
    <row r="1268" spans="3:10" x14ac:dyDescent="0.2">
      <c r="C1268" s="333"/>
      <c r="D1268" s="333"/>
      <c r="F1268" s="333"/>
      <c r="G1268" s="333"/>
      <c r="H1268" s="333"/>
      <c r="I1268" s="333"/>
      <c r="J1268" s="333"/>
    </row>
    <row r="1269" spans="3:10" x14ac:dyDescent="0.2">
      <c r="C1269" s="333"/>
      <c r="D1269" s="333"/>
      <c r="F1269" s="333"/>
      <c r="G1269" s="333"/>
      <c r="H1269" s="333"/>
      <c r="I1269" s="333"/>
      <c r="J1269" s="333"/>
    </row>
    <row r="1270" spans="3:10" x14ac:dyDescent="0.2">
      <c r="C1270" s="333"/>
      <c r="D1270" s="333"/>
      <c r="F1270" s="333"/>
      <c r="G1270" s="333"/>
      <c r="H1270" s="333"/>
      <c r="I1270" s="333"/>
      <c r="J1270" s="333"/>
    </row>
    <row r="1271" spans="3:10" x14ac:dyDescent="0.2">
      <c r="C1271" s="333"/>
      <c r="D1271" s="333"/>
      <c r="F1271" s="333"/>
      <c r="G1271" s="333"/>
      <c r="H1271" s="333"/>
      <c r="I1271" s="333"/>
      <c r="J1271" s="333"/>
    </row>
    <row r="1272" spans="3:10" x14ac:dyDescent="0.2">
      <c r="C1272" s="333"/>
      <c r="D1272" s="333"/>
      <c r="F1272" s="333"/>
      <c r="G1272" s="333"/>
      <c r="H1272" s="333"/>
      <c r="I1272" s="333"/>
      <c r="J1272" s="333"/>
    </row>
    <row r="1273" spans="3:10" x14ac:dyDescent="0.2">
      <c r="C1273" s="333"/>
      <c r="D1273" s="333"/>
      <c r="F1273" s="333"/>
      <c r="G1273" s="333"/>
      <c r="H1273" s="333"/>
      <c r="I1273" s="333"/>
      <c r="J1273" s="333"/>
    </row>
    <row r="1274" spans="3:10" x14ac:dyDescent="0.2">
      <c r="C1274" s="333"/>
      <c r="D1274" s="333"/>
      <c r="F1274" s="333"/>
      <c r="G1274" s="333"/>
      <c r="H1274" s="333"/>
      <c r="I1274" s="333"/>
      <c r="J1274" s="333"/>
    </row>
    <row r="1275" spans="3:10" x14ac:dyDescent="0.2">
      <c r="C1275" s="333"/>
      <c r="D1275" s="333"/>
      <c r="F1275" s="333"/>
      <c r="G1275" s="333"/>
      <c r="H1275" s="333"/>
      <c r="I1275" s="333"/>
      <c r="J1275" s="333"/>
    </row>
    <row r="1276" spans="3:10" x14ac:dyDescent="0.2">
      <c r="C1276" s="333"/>
      <c r="D1276" s="333"/>
      <c r="F1276" s="333"/>
      <c r="G1276" s="333"/>
      <c r="H1276" s="333"/>
      <c r="I1276" s="333"/>
      <c r="J1276" s="333"/>
    </row>
    <row r="1277" spans="3:10" x14ac:dyDescent="0.2">
      <c r="C1277" s="333"/>
      <c r="D1277" s="333"/>
      <c r="F1277" s="333"/>
      <c r="G1277" s="333"/>
      <c r="H1277" s="333"/>
      <c r="I1277" s="333"/>
      <c r="J1277" s="333"/>
    </row>
    <row r="1278" spans="3:10" x14ac:dyDescent="0.2">
      <c r="C1278" s="333"/>
      <c r="D1278" s="333"/>
      <c r="F1278" s="333"/>
      <c r="G1278" s="333"/>
      <c r="H1278" s="333"/>
      <c r="I1278" s="333"/>
      <c r="J1278" s="333"/>
    </row>
    <row r="1279" spans="3:10" x14ac:dyDescent="0.2">
      <c r="C1279" s="333"/>
      <c r="D1279" s="333"/>
      <c r="F1279" s="333"/>
      <c r="G1279" s="333"/>
      <c r="H1279" s="333"/>
      <c r="I1279" s="333"/>
      <c r="J1279" s="333"/>
    </row>
    <row r="1280" spans="3:10" x14ac:dyDescent="0.2">
      <c r="C1280" s="333"/>
      <c r="D1280" s="333"/>
      <c r="F1280" s="333"/>
      <c r="G1280" s="333"/>
      <c r="H1280" s="333"/>
      <c r="I1280" s="333"/>
      <c r="J1280" s="333"/>
    </row>
    <row r="1281" spans="3:10" x14ac:dyDescent="0.2">
      <c r="C1281" s="333"/>
      <c r="D1281" s="333"/>
      <c r="F1281" s="333"/>
      <c r="G1281" s="333"/>
      <c r="H1281" s="333"/>
      <c r="I1281" s="333"/>
      <c r="J1281" s="333"/>
    </row>
    <row r="1282" spans="3:10" x14ac:dyDescent="0.2">
      <c r="C1282" s="333"/>
      <c r="D1282" s="333"/>
      <c r="F1282" s="333"/>
      <c r="G1282" s="333"/>
      <c r="H1282" s="333"/>
      <c r="I1282" s="333"/>
      <c r="J1282" s="333"/>
    </row>
    <row r="1283" spans="3:10" x14ac:dyDescent="0.2">
      <c r="C1283" s="333"/>
      <c r="D1283" s="333"/>
      <c r="F1283" s="333"/>
      <c r="G1283" s="333"/>
      <c r="H1283" s="333"/>
      <c r="I1283" s="333"/>
      <c r="J1283" s="333"/>
    </row>
    <row r="1284" spans="3:10" x14ac:dyDescent="0.2">
      <c r="C1284" s="333"/>
      <c r="D1284" s="333"/>
      <c r="F1284" s="333"/>
      <c r="G1284" s="333"/>
      <c r="H1284" s="333"/>
      <c r="I1284" s="333"/>
      <c r="J1284" s="333"/>
    </row>
    <row r="1285" spans="3:10" x14ac:dyDescent="0.2">
      <c r="C1285" s="333"/>
      <c r="D1285" s="333"/>
      <c r="F1285" s="333"/>
      <c r="G1285" s="333"/>
      <c r="H1285" s="333"/>
      <c r="I1285" s="333"/>
      <c r="J1285" s="333"/>
    </row>
    <row r="1286" spans="3:10" x14ac:dyDescent="0.2">
      <c r="C1286" s="333"/>
      <c r="D1286" s="333"/>
      <c r="F1286" s="333"/>
      <c r="G1286" s="333"/>
      <c r="H1286" s="333"/>
      <c r="I1286" s="333"/>
      <c r="J1286" s="333"/>
    </row>
    <row r="1287" spans="3:10" x14ac:dyDescent="0.2">
      <c r="C1287" s="333"/>
      <c r="D1287" s="333"/>
      <c r="F1287" s="333"/>
      <c r="G1287" s="333"/>
      <c r="H1287" s="333"/>
      <c r="I1287" s="333"/>
      <c r="J1287" s="333"/>
    </row>
    <row r="1288" spans="3:10" x14ac:dyDescent="0.2">
      <c r="C1288" s="333"/>
      <c r="D1288" s="333"/>
      <c r="F1288" s="333"/>
      <c r="G1288" s="333"/>
      <c r="H1288" s="333"/>
      <c r="I1288" s="333"/>
      <c r="J1288" s="333"/>
    </row>
    <row r="1289" spans="3:10" x14ac:dyDescent="0.2">
      <c r="C1289" s="333"/>
      <c r="D1289" s="333"/>
      <c r="F1289" s="333"/>
      <c r="G1289" s="333"/>
      <c r="H1289" s="333"/>
      <c r="I1289" s="333"/>
      <c r="J1289" s="333"/>
    </row>
    <row r="1290" spans="3:10" x14ac:dyDescent="0.2">
      <c r="C1290" s="333"/>
      <c r="D1290" s="333"/>
      <c r="F1290" s="333"/>
      <c r="G1290" s="333"/>
      <c r="H1290" s="333"/>
      <c r="I1290" s="333"/>
      <c r="J1290" s="333"/>
    </row>
    <row r="1291" spans="3:10" x14ac:dyDescent="0.2">
      <c r="C1291" s="333"/>
      <c r="D1291" s="333"/>
      <c r="F1291" s="333"/>
      <c r="G1291" s="333"/>
      <c r="H1291" s="333"/>
      <c r="I1291" s="333"/>
      <c r="J1291" s="333"/>
    </row>
    <row r="1292" spans="3:10" x14ac:dyDescent="0.2">
      <c r="C1292" s="333"/>
      <c r="D1292" s="333"/>
      <c r="F1292" s="333"/>
      <c r="G1292" s="333"/>
      <c r="H1292" s="333"/>
      <c r="I1292" s="333"/>
      <c r="J1292" s="333"/>
    </row>
    <row r="1293" spans="3:10" x14ac:dyDescent="0.2">
      <c r="C1293" s="333"/>
      <c r="D1293" s="333"/>
      <c r="F1293" s="333"/>
      <c r="G1293" s="333"/>
      <c r="H1293" s="333"/>
      <c r="I1293" s="333"/>
      <c r="J1293" s="333"/>
    </row>
    <row r="1294" spans="3:10" x14ac:dyDescent="0.2">
      <c r="C1294" s="333"/>
      <c r="D1294" s="333"/>
      <c r="F1294" s="333"/>
      <c r="G1294" s="333"/>
      <c r="H1294" s="333"/>
      <c r="I1294" s="333"/>
      <c r="J1294" s="333"/>
    </row>
    <row r="1295" spans="3:10" x14ac:dyDescent="0.2">
      <c r="C1295" s="333"/>
      <c r="D1295" s="333"/>
      <c r="F1295" s="333"/>
      <c r="G1295" s="333"/>
      <c r="H1295" s="333"/>
      <c r="I1295" s="333"/>
      <c r="J1295" s="333"/>
    </row>
    <row r="1296" spans="3:10" x14ac:dyDescent="0.2">
      <c r="C1296" s="333"/>
      <c r="D1296" s="333"/>
      <c r="F1296" s="333"/>
      <c r="G1296" s="333"/>
      <c r="H1296" s="333"/>
      <c r="I1296" s="333"/>
      <c r="J1296" s="333"/>
    </row>
    <row r="1297" spans="3:10" x14ac:dyDescent="0.2">
      <c r="C1297" s="333"/>
      <c r="D1297" s="333"/>
      <c r="F1297" s="333"/>
      <c r="G1297" s="333"/>
      <c r="H1297" s="333"/>
      <c r="I1297" s="333"/>
      <c r="J1297" s="333"/>
    </row>
    <row r="1298" spans="3:10" x14ac:dyDescent="0.2">
      <c r="C1298" s="333"/>
      <c r="D1298" s="333"/>
      <c r="F1298" s="333"/>
      <c r="G1298" s="333"/>
      <c r="H1298" s="333"/>
      <c r="I1298" s="333"/>
      <c r="J1298" s="333"/>
    </row>
    <row r="1299" spans="3:10" x14ac:dyDescent="0.2">
      <c r="C1299" s="333"/>
      <c r="D1299" s="333"/>
      <c r="F1299" s="333"/>
      <c r="G1299" s="333"/>
      <c r="H1299" s="333"/>
      <c r="I1299" s="333"/>
      <c r="J1299" s="333"/>
    </row>
    <row r="1300" spans="3:10" x14ac:dyDescent="0.2">
      <c r="C1300" s="333"/>
      <c r="D1300" s="333"/>
      <c r="F1300" s="333"/>
      <c r="G1300" s="333"/>
      <c r="H1300" s="333"/>
      <c r="I1300" s="333"/>
      <c r="J1300" s="333"/>
    </row>
    <row r="1301" spans="3:10" x14ac:dyDescent="0.2">
      <c r="C1301" s="333"/>
      <c r="D1301" s="333"/>
      <c r="F1301" s="333"/>
      <c r="G1301" s="333"/>
      <c r="H1301" s="333"/>
      <c r="I1301" s="333"/>
      <c r="J1301" s="333"/>
    </row>
    <row r="1302" spans="3:10" x14ac:dyDescent="0.2">
      <c r="C1302" s="333"/>
      <c r="D1302" s="333"/>
      <c r="F1302" s="333"/>
      <c r="G1302" s="333"/>
      <c r="H1302" s="333"/>
      <c r="I1302" s="333"/>
      <c r="J1302" s="333"/>
    </row>
    <row r="1303" spans="3:10" x14ac:dyDescent="0.2">
      <c r="C1303" s="333"/>
      <c r="D1303" s="333"/>
      <c r="F1303" s="333"/>
      <c r="G1303" s="333"/>
      <c r="H1303" s="333"/>
      <c r="I1303" s="333"/>
      <c r="J1303" s="333"/>
    </row>
    <row r="1304" spans="3:10" x14ac:dyDescent="0.2">
      <c r="C1304" s="333"/>
      <c r="D1304" s="333"/>
      <c r="F1304" s="333"/>
      <c r="G1304" s="333"/>
      <c r="H1304" s="333"/>
      <c r="I1304" s="333"/>
      <c r="J1304" s="333"/>
    </row>
    <row r="1305" spans="3:10" x14ac:dyDescent="0.2">
      <c r="C1305" s="333"/>
      <c r="D1305" s="333"/>
      <c r="F1305" s="333"/>
      <c r="G1305" s="333"/>
      <c r="H1305" s="333"/>
      <c r="I1305" s="333"/>
      <c r="J1305" s="333"/>
    </row>
    <row r="1306" spans="3:10" x14ac:dyDescent="0.2">
      <c r="C1306" s="333"/>
      <c r="D1306" s="333"/>
      <c r="F1306" s="333"/>
      <c r="G1306" s="333"/>
      <c r="H1306" s="333"/>
      <c r="I1306" s="333"/>
      <c r="J1306" s="333"/>
    </row>
    <row r="1307" spans="3:10" x14ac:dyDescent="0.2">
      <c r="C1307" s="333"/>
      <c r="D1307" s="333"/>
      <c r="F1307" s="333"/>
      <c r="G1307" s="333"/>
      <c r="H1307" s="333"/>
      <c r="I1307" s="333"/>
      <c r="J1307" s="333"/>
    </row>
    <row r="1308" spans="3:10" x14ac:dyDescent="0.2">
      <c r="C1308" s="333"/>
      <c r="D1308" s="333"/>
      <c r="F1308" s="333"/>
      <c r="G1308" s="333"/>
      <c r="H1308" s="333"/>
      <c r="I1308" s="333"/>
      <c r="J1308" s="333"/>
    </row>
    <row r="1309" spans="3:10" x14ac:dyDescent="0.2">
      <c r="C1309" s="333"/>
      <c r="D1309" s="333"/>
      <c r="F1309" s="333"/>
      <c r="G1309" s="333"/>
      <c r="H1309" s="333"/>
      <c r="I1309" s="333"/>
      <c r="J1309" s="333"/>
    </row>
    <row r="1310" spans="3:10" x14ac:dyDescent="0.2">
      <c r="C1310" s="333"/>
      <c r="D1310" s="333"/>
      <c r="F1310" s="333"/>
      <c r="G1310" s="333"/>
      <c r="H1310" s="333"/>
      <c r="I1310" s="333"/>
      <c r="J1310" s="333"/>
    </row>
    <row r="1311" spans="3:10" x14ac:dyDescent="0.2">
      <c r="C1311" s="333"/>
      <c r="D1311" s="333"/>
      <c r="F1311" s="333"/>
      <c r="G1311" s="333"/>
      <c r="H1311" s="333"/>
      <c r="I1311" s="333"/>
      <c r="J1311" s="333"/>
    </row>
    <row r="1312" spans="3:10" x14ac:dyDescent="0.2">
      <c r="C1312" s="333"/>
      <c r="D1312" s="333"/>
      <c r="F1312" s="333"/>
      <c r="G1312" s="333"/>
      <c r="H1312" s="333"/>
      <c r="I1312" s="333"/>
      <c r="J1312" s="333"/>
    </row>
    <row r="1313" spans="3:10" x14ac:dyDescent="0.2">
      <c r="C1313" s="333"/>
      <c r="D1313" s="333"/>
      <c r="F1313" s="333"/>
      <c r="G1313" s="333"/>
      <c r="H1313" s="333"/>
      <c r="I1313" s="333"/>
      <c r="J1313" s="333"/>
    </row>
    <row r="1314" spans="3:10" x14ac:dyDescent="0.2">
      <c r="C1314" s="333"/>
      <c r="D1314" s="333"/>
      <c r="F1314" s="333"/>
      <c r="G1314" s="333"/>
      <c r="H1314" s="333"/>
      <c r="I1314" s="333"/>
      <c r="J1314" s="333"/>
    </row>
    <row r="1315" spans="3:10" x14ac:dyDescent="0.2">
      <c r="C1315" s="333"/>
      <c r="D1315" s="333"/>
      <c r="F1315" s="333"/>
      <c r="G1315" s="333"/>
      <c r="H1315" s="333"/>
      <c r="I1315" s="333"/>
      <c r="J1315" s="333"/>
    </row>
    <row r="1316" spans="3:10" x14ac:dyDescent="0.2">
      <c r="C1316" s="333"/>
      <c r="D1316" s="333"/>
      <c r="F1316" s="333"/>
      <c r="G1316" s="333"/>
      <c r="H1316" s="333"/>
      <c r="I1316" s="333"/>
      <c r="J1316" s="333"/>
    </row>
    <row r="1317" spans="3:10" x14ac:dyDescent="0.2">
      <c r="C1317" s="333"/>
      <c r="D1317" s="333"/>
      <c r="F1317" s="333"/>
      <c r="G1317" s="333"/>
      <c r="H1317" s="333"/>
      <c r="I1317" s="333"/>
      <c r="J1317" s="333"/>
    </row>
    <row r="1318" spans="3:10" x14ac:dyDescent="0.2">
      <c r="C1318" s="333"/>
      <c r="D1318" s="333"/>
      <c r="F1318" s="333"/>
      <c r="G1318" s="333"/>
      <c r="H1318" s="333"/>
      <c r="I1318" s="333"/>
      <c r="J1318" s="333"/>
    </row>
    <row r="1319" spans="3:10" x14ac:dyDescent="0.2">
      <c r="C1319" s="333"/>
      <c r="D1319" s="333"/>
      <c r="F1319" s="333"/>
      <c r="G1319" s="333"/>
      <c r="H1319" s="333"/>
      <c r="I1319" s="333"/>
      <c r="J1319" s="333"/>
    </row>
    <row r="1320" spans="3:10" x14ac:dyDescent="0.2">
      <c r="C1320" s="333"/>
      <c r="D1320" s="333"/>
      <c r="F1320" s="333"/>
      <c r="G1320" s="333"/>
      <c r="H1320" s="333"/>
      <c r="I1320" s="333"/>
      <c r="J1320" s="333"/>
    </row>
    <row r="1321" spans="3:10" x14ac:dyDescent="0.2">
      <c r="C1321" s="333"/>
      <c r="D1321" s="333"/>
      <c r="F1321" s="333"/>
      <c r="G1321" s="333"/>
      <c r="H1321" s="333"/>
      <c r="I1321" s="333"/>
      <c r="J1321" s="333"/>
    </row>
    <row r="1322" spans="3:10" x14ac:dyDescent="0.2">
      <c r="C1322" s="333"/>
      <c r="D1322" s="333"/>
      <c r="F1322" s="333"/>
      <c r="G1322" s="333"/>
      <c r="H1322" s="333"/>
      <c r="I1322" s="333"/>
      <c r="J1322" s="333"/>
    </row>
    <row r="1323" spans="3:10" x14ac:dyDescent="0.2">
      <c r="C1323" s="333"/>
      <c r="D1323" s="333"/>
      <c r="F1323" s="333"/>
      <c r="G1323" s="333"/>
      <c r="H1323" s="333"/>
      <c r="I1323" s="333"/>
      <c r="J1323" s="333"/>
    </row>
    <row r="1324" spans="3:10" x14ac:dyDescent="0.2">
      <c r="C1324" s="333"/>
      <c r="D1324" s="333"/>
      <c r="F1324" s="333"/>
      <c r="G1324" s="333"/>
      <c r="H1324" s="333"/>
      <c r="I1324" s="333"/>
      <c r="J1324" s="333"/>
    </row>
    <row r="1325" spans="3:10" x14ac:dyDescent="0.2">
      <c r="C1325" s="333"/>
      <c r="D1325" s="333"/>
      <c r="F1325" s="333"/>
      <c r="G1325" s="333"/>
      <c r="H1325" s="333"/>
      <c r="I1325" s="333"/>
      <c r="J1325" s="333"/>
    </row>
    <row r="1326" spans="3:10" x14ac:dyDescent="0.2">
      <c r="C1326" s="333"/>
      <c r="D1326" s="333"/>
      <c r="F1326" s="333"/>
      <c r="G1326" s="333"/>
      <c r="H1326" s="333"/>
      <c r="I1326" s="333"/>
      <c r="J1326" s="333"/>
    </row>
    <row r="1327" spans="3:10" x14ac:dyDescent="0.2">
      <c r="C1327" s="333"/>
      <c r="D1327" s="333"/>
      <c r="F1327" s="333"/>
      <c r="G1327" s="333"/>
      <c r="H1327" s="333"/>
      <c r="I1327" s="333"/>
      <c r="J1327" s="333"/>
    </row>
    <row r="1328" spans="3:10" x14ac:dyDescent="0.2">
      <c r="C1328" s="333"/>
      <c r="D1328" s="333"/>
      <c r="F1328" s="333"/>
      <c r="G1328" s="333"/>
      <c r="H1328" s="333"/>
      <c r="I1328" s="333"/>
      <c r="J1328" s="333"/>
    </row>
    <row r="1329" spans="3:10" x14ac:dyDescent="0.2">
      <c r="C1329" s="333"/>
      <c r="D1329" s="333"/>
      <c r="F1329" s="333"/>
      <c r="G1329" s="333"/>
      <c r="H1329" s="333"/>
      <c r="I1329" s="333"/>
      <c r="J1329" s="333"/>
    </row>
    <row r="1330" spans="3:10" x14ac:dyDescent="0.2">
      <c r="C1330" s="333"/>
      <c r="D1330" s="333"/>
      <c r="F1330" s="333"/>
      <c r="G1330" s="333"/>
      <c r="H1330" s="333"/>
      <c r="I1330" s="333"/>
      <c r="J1330" s="333"/>
    </row>
    <row r="1331" spans="3:10" x14ac:dyDescent="0.2">
      <c r="C1331" s="333"/>
      <c r="D1331" s="333"/>
      <c r="F1331" s="333"/>
      <c r="G1331" s="333"/>
      <c r="H1331" s="333"/>
      <c r="I1331" s="333"/>
      <c r="J1331" s="333"/>
    </row>
    <row r="1332" spans="3:10" x14ac:dyDescent="0.2">
      <c r="C1332" s="333"/>
      <c r="D1332" s="333"/>
      <c r="F1332" s="333"/>
      <c r="G1332" s="333"/>
      <c r="H1332" s="333"/>
      <c r="I1332" s="333"/>
      <c r="J1332" s="333"/>
    </row>
    <row r="1333" spans="3:10" x14ac:dyDescent="0.2">
      <c r="C1333" s="333"/>
      <c r="D1333" s="333"/>
      <c r="F1333" s="333"/>
      <c r="G1333" s="333"/>
      <c r="H1333" s="333"/>
      <c r="I1333" s="333"/>
      <c r="J1333" s="333"/>
    </row>
    <row r="1334" spans="3:10" x14ac:dyDescent="0.2">
      <c r="C1334" s="333"/>
      <c r="D1334" s="333"/>
      <c r="F1334" s="333"/>
      <c r="G1334" s="333"/>
      <c r="H1334" s="333"/>
      <c r="I1334" s="333"/>
      <c r="J1334" s="333"/>
    </row>
    <row r="1335" spans="3:10" x14ac:dyDescent="0.2">
      <c r="C1335" s="333"/>
      <c r="D1335" s="333"/>
      <c r="F1335" s="333"/>
      <c r="G1335" s="333"/>
      <c r="H1335" s="333"/>
      <c r="I1335" s="333"/>
      <c r="J1335" s="333"/>
    </row>
    <row r="1336" spans="3:10" x14ac:dyDescent="0.2">
      <c r="C1336" s="333"/>
      <c r="D1336" s="333"/>
      <c r="F1336" s="333"/>
      <c r="G1336" s="333"/>
      <c r="H1336" s="333"/>
      <c r="I1336" s="333"/>
      <c r="J1336" s="333"/>
    </row>
    <row r="1337" spans="3:10" x14ac:dyDescent="0.2">
      <c r="C1337" s="333"/>
      <c r="D1337" s="333"/>
      <c r="F1337" s="333"/>
      <c r="G1337" s="333"/>
      <c r="H1337" s="333"/>
      <c r="I1337" s="333"/>
      <c r="J1337" s="333"/>
    </row>
    <row r="1338" spans="3:10" x14ac:dyDescent="0.2">
      <c r="C1338" s="333"/>
      <c r="D1338" s="333"/>
      <c r="F1338" s="333"/>
      <c r="G1338" s="333"/>
      <c r="H1338" s="333"/>
      <c r="I1338" s="333"/>
      <c r="J1338" s="333"/>
    </row>
    <row r="1339" spans="3:10" x14ac:dyDescent="0.2">
      <c r="C1339" s="333"/>
      <c r="D1339" s="333"/>
      <c r="F1339" s="333"/>
      <c r="G1339" s="333"/>
      <c r="H1339" s="333"/>
      <c r="I1339" s="333"/>
      <c r="J1339" s="333"/>
    </row>
    <row r="1340" spans="3:10" x14ac:dyDescent="0.2">
      <c r="C1340" s="333"/>
      <c r="D1340" s="333"/>
      <c r="F1340" s="333"/>
      <c r="G1340" s="333"/>
      <c r="H1340" s="333"/>
      <c r="I1340" s="333"/>
      <c r="J1340" s="333"/>
    </row>
    <row r="1341" spans="3:10" x14ac:dyDescent="0.2">
      <c r="C1341" s="333"/>
      <c r="D1341" s="333"/>
      <c r="F1341" s="333"/>
      <c r="G1341" s="333"/>
      <c r="H1341" s="333"/>
      <c r="I1341" s="333"/>
      <c r="J1341" s="333"/>
    </row>
    <row r="1342" spans="3:10" x14ac:dyDescent="0.2">
      <c r="C1342" s="333"/>
      <c r="D1342" s="333"/>
      <c r="F1342" s="333"/>
      <c r="G1342" s="333"/>
      <c r="H1342" s="333"/>
      <c r="I1342" s="333"/>
      <c r="J1342" s="333"/>
    </row>
    <row r="1343" spans="3:10" x14ac:dyDescent="0.2">
      <c r="C1343" s="333"/>
      <c r="D1343" s="333"/>
      <c r="F1343" s="333"/>
      <c r="G1343" s="333"/>
      <c r="H1343" s="333"/>
      <c r="I1343" s="333"/>
      <c r="J1343" s="333"/>
    </row>
    <row r="1344" spans="3:10" x14ac:dyDescent="0.2">
      <c r="C1344" s="333"/>
      <c r="D1344" s="333"/>
      <c r="F1344" s="333"/>
      <c r="G1344" s="333"/>
      <c r="H1344" s="333"/>
      <c r="I1344" s="333"/>
      <c r="J1344" s="333"/>
    </row>
    <row r="1345" spans="3:10" x14ac:dyDescent="0.2">
      <c r="C1345" s="333"/>
      <c r="D1345" s="333"/>
      <c r="F1345" s="333"/>
      <c r="G1345" s="333"/>
      <c r="H1345" s="333"/>
      <c r="I1345" s="333"/>
      <c r="J1345" s="333"/>
    </row>
    <row r="1346" spans="3:10" x14ac:dyDescent="0.2">
      <c r="C1346" s="333"/>
      <c r="D1346" s="333"/>
      <c r="F1346" s="333"/>
      <c r="G1346" s="333"/>
      <c r="H1346" s="333"/>
      <c r="I1346" s="333"/>
      <c r="J1346" s="333"/>
    </row>
    <row r="1347" spans="3:10" x14ac:dyDescent="0.2">
      <c r="C1347" s="333"/>
      <c r="D1347" s="333"/>
      <c r="F1347" s="333"/>
      <c r="G1347" s="333"/>
      <c r="H1347" s="333"/>
      <c r="I1347" s="333"/>
      <c r="J1347" s="333"/>
    </row>
    <row r="1348" spans="3:10" x14ac:dyDescent="0.2">
      <c r="C1348" s="333"/>
      <c r="D1348" s="333"/>
      <c r="F1348" s="333"/>
      <c r="G1348" s="333"/>
      <c r="H1348" s="333"/>
      <c r="I1348" s="333"/>
      <c r="J1348" s="333"/>
    </row>
    <row r="1349" spans="3:10" x14ac:dyDescent="0.2">
      <c r="C1349" s="333"/>
      <c r="D1349" s="333"/>
      <c r="F1349" s="333"/>
      <c r="G1349" s="333"/>
      <c r="H1349" s="333"/>
      <c r="I1349" s="333"/>
      <c r="J1349" s="333"/>
    </row>
    <row r="1350" spans="3:10" x14ac:dyDescent="0.2">
      <c r="C1350" s="333"/>
      <c r="D1350" s="333"/>
      <c r="F1350" s="333"/>
      <c r="G1350" s="333"/>
      <c r="H1350" s="333"/>
      <c r="I1350" s="333"/>
      <c r="J1350" s="333"/>
    </row>
    <row r="1351" spans="3:10" x14ac:dyDescent="0.2">
      <c r="C1351" s="333"/>
      <c r="D1351" s="333"/>
      <c r="F1351" s="333"/>
      <c r="G1351" s="333"/>
      <c r="H1351" s="333"/>
      <c r="I1351" s="333"/>
      <c r="J1351" s="333"/>
    </row>
    <row r="1352" spans="3:10" x14ac:dyDescent="0.2">
      <c r="C1352" s="333"/>
      <c r="D1352" s="333"/>
      <c r="F1352" s="333"/>
      <c r="G1352" s="333"/>
      <c r="H1352" s="333"/>
      <c r="I1352" s="333"/>
      <c r="J1352" s="333"/>
    </row>
    <row r="1353" spans="3:10" x14ac:dyDescent="0.2">
      <c r="C1353" s="333"/>
      <c r="D1353" s="333"/>
      <c r="F1353" s="333"/>
      <c r="G1353" s="333"/>
      <c r="H1353" s="333"/>
      <c r="I1353" s="333"/>
      <c r="J1353" s="333"/>
    </row>
    <row r="1354" spans="3:10" x14ac:dyDescent="0.2">
      <c r="C1354" s="333"/>
      <c r="D1354" s="333"/>
      <c r="F1354" s="333"/>
      <c r="G1354" s="333"/>
      <c r="H1354" s="333"/>
      <c r="I1354" s="333"/>
      <c r="J1354" s="333"/>
    </row>
    <row r="1355" spans="3:10" x14ac:dyDescent="0.2">
      <c r="C1355" s="333"/>
      <c r="D1355" s="333"/>
      <c r="F1355" s="333"/>
      <c r="G1355" s="333"/>
      <c r="H1355" s="333"/>
      <c r="I1355" s="333"/>
      <c r="J1355" s="333"/>
    </row>
    <row r="1356" spans="3:10" x14ac:dyDescent="0.2">
      <c r="C1356" s="333"/>
      <c r="D1356" s="333"/>
      <c r="F1356" s="333"/>
      <c r="G1356" s="333"/>
      <c r="H1356" s="333"/>
      <c r="I1356" s="333"/>
      <c r="J1356" s="333"/>
    </row>
    <row r="1357" spans="3:10" x14ac:dyDescent="0.2">
      <c r="C1357" s="333"/>
      <c r="D1357" s="333"/>
      <c r="F1357" s="333"/>
      <c r="G1357" s="333"/>
      <c r="H1357" s="333"/>
      <c r="I1357" s="333"/>
      <c r="J1357" s="333"/>
    </row>
    <row r="1358" spans="3:10" x14ac:dyDescent="0.2">
      <c r="C1358" s="333"/>
      <c r="D1358" s="333"/>
      <c r="F1358" s="333"/>
      <c r="G1358" s="333"/>
      <c r="H1358" s="333"/>
      <c r="I1358" s="333"/>
      <c r="J1358" s="333"/>
    </row>
    <row r="1359" spans="3:10" x14ac:dyDescent="0.2">
      <c r="C1359" s="333"/>
      <c r="D1359" s="333"/>
      <c r="F1359" s="333"/>
      <c r="G1359" s="333"/>
      <c r="H1359" s="333"/>
      <c r="I1359" s="333"/>
      <c r="J1359" s="333"/>
    </row>
    <row r="1360" spans="3:10" x14ac:dyDescent="0.2">
      <c r="C1360" s="333"/>
      <c r="D1360" s="333"/>
      <c r="F1360" s="333"/>
      <c r="G1360" s="333"/>
      <c r="H1360" s="333"/>
      <c r="I1360" s="333"/>
      <c r="J1360" s="333"/>
    </row>
    <row r="1361" spans="3:10" x14ac:dyDescent="0.2">
      <c r="C1361" s="333"/>
      <c r="D1361" s="333"/>
      <c r="F1361" s="333"/>
      <c r="G1361" s="333"/>
      <c r="H1361" s="333"/>
      <c r="I1361" s="333"/>
      <c r="J1361" s="333"/>
    </row>
    <row r="1362" spans="3:10" x14ac:dyDescent="0.2">
      <c r="C1362" s="333"/>
      <c r="D1362" s="333"/>
      <c r="F1362" s="333"/>
      <c r="G1362" s="333"/>
      <c r="H1362" s="333"/>
      <c r="I1362" s="333"/>
      <c r="J1362" s="333"/>
    </row>
    <row r="1363" spans="3:10" x14ac:dyDescent="0.2">
      <c r="C1363" s="333"/>
      <c r="D1363" s="333"/>
      <c r="F1363" s="333"/>
      <c r="G1363" s="333"/>
      <c r="H1363" s="333"/>
      <c r="I1363" s="333"/>
      <c r="J1363" s="333"/>
    </row>
    <row r="1364" spans="3:10" x14ac:dyDescent="0.2">
      <c r="C1364" s="333"/>
      <c r="D1364" s="333"/>
      <c r="F1364" s="333"/>
      <c r="G1364" s="333"/>
      <c r="H1364" s="333"/>
      <c r="I1364" s="333"/>
      <c r="J1364" s="333"/>
    </row>
    <row r="1365" spans="3:10" x14ac:dyDescent="0.2">
      <c r="C1365" s="333"/>
      <c r="D1365" s="333"/>
      <c r="F1365" s="333"/>
      <c r="G1365" s="333"/>
      <c r="H1365" s="333"/>
      <c r="I1365" s="333"/>
      <c r="J1365" s="333"/>
    </row>
    <row r="1366" spans="3:10" x14ac:dyDescent="0.2">
      <c r="C1366" s="333"/>
      <c r="D1366" s="333"/>
      <c r="F1366" s="333"/>
      <c r="G1366" s="333"/>
      <c r="H1366" s="333"/>
      <c r="I1366" s="333"/>
      <c r="J1366" s="333"/>
    </row>
    <row r="1367" spans="3:10" x14ac:dyDescent="0.2">
      <c r="C1367" s="333"/>
      <c r="D1367" s="333"/>
      <c r="F1367" s="333"/>
      <c r="G1367" s="333"/>
      <c r="H1367" s="333"/>
      <c r="I1367" s="333"/>
      <c r="J1367" s="333"/>
    </row>
    <row r="1368" spans="3:10" x14ac:dyDescent="0.2">
      <c r="C1368" s="333"/>
      <c r="D1368" s="333"/>
      <c r="F1368" s="333"/>
      <c r="G1368" s="333"/>
      <c r="H1368" s="333"/>
      <c r="I1368" s="333"/>
      <c r="J1368" s="333"/>
    </row>
    <row r="1369" spans="3:10" x14ac:dyDescent="0.2">
      <c r="C1369" s="333"/>
      <c r="D1369" s="333"/>
      <c r="F1369" s="333"/>
      <c r="G1369" s="333"/>
      <c r="H1369" s="333"/>
      <c r="I1369" s="333"/>
      <c r="J1369" s="333"/>
    </row>
    <row r="1370" spans="3:10" x14ac:dyDescent="0.2">
      <c r="C1370" s="333"/>
      <c r="D1370" s="333"/>
      <c r="F1370" s="333"/>
      <c r="G1370" s="333"/>
      <c r="H1370" s="333"/>
      <c r="I1370" s="333"/>
      <c r="J1370" s="333"/>
    </row>
    <row r="1371" spans="3:10" x14ac:dyDescent="0.2">
      <c r="C1371" s="333"/>
      <c r="D1371" s="333"/>
      <c r="F1371" s="333"/>
      <c r="G1371" s="333"/>
      <c r="H1371" s="333"/>
      <c r="I1371" s="333"/>
      <c r="J1371" s="333"/>
    </row>
    <row r="1372" spans="3:10" x14ac:dyDescent="0.2">
      <c r="C1372" s="333"/>
      <c r="D1372" s="333"/>
      <c r="F1372" s="333"/>
      <c r="G1372" s="333"/>
      <c r="H1372" s="333"/>
      <c r="I1372" s="333"/>
      <c r="J1372" s="333"/>
    </row>
    <row r="1373" spans="3:10" x14ac:dyDescent="0.2">
      <c r="C1373" s="333"/>
      <c r="D1373" s="333"/>
      <c r="F1373" s="333"/>
      <c r="G1373" s="333"/>
      <c r="H1373" s="333"/>
      <c r="I1373" s="333"/>
      <c r="J1373" s="333"/>
    </row>
    <row r="1374" spans="3:10" x14ac:dyDescent="0.2">
      <c r="C1374" s="333"/>
      <c r="D1374" s="333"/>
      <c r="F1374" s="333"/>
      <c r="G1374" s="333"/>
      <c r="H1374" s="333"/>
      <c r="I1374" s="333"/>
      <c r="J1374" s="333"/>
    </row>
    <row r="1375" spans="3:10" x14ac:dyDescent="0.2">
      <c r="C1375" s="333"/>
      <c r="D1375" s="333"/>
      <c r="F1375" s="333"/>
      <c r="G1375" s="333"/>
      <c r="H1375" s="333"/>
      <c r="I1375" s="333"/>
      <c r="J1375" s="333"/>
    </row>
    <row r="1376" spans="3:10" x14ac:dyDescent="0.2">
      <c r="C1376" s="333"/>
      <c r="D1376" s="333"/>
      <c r="F1376" s="333"/>
      <c r="G1376" s="333"/>
      <c r="H1376" s="333"/>
      <c r="I1376" s="333"/>
      <c r="J1376" s="333"/>
    </row>
    <row r="1377" spans="3:10" x14ac:dyDescent="0.2">
      <c r="C1377" s="333"/>
      <c r="D1377" s="333"/>
      <c r="F1377" s="333"/>
      <c r="G1377" s="333"/>
      <c r="H1377" s="333"/>
      <c r="I1377" s="333"/>
      <c r="J1377" s="333"/>
    </row>
    <row r="1378" spans="3:10" x14ac:dyDescent="0.2">
      <c r="C1378" s="333"/>
      <c r="D1378" s="333"/>
      <c r="F1378" s="333"/>
      <c r="G1378" s="333"/>
      <c r="H1378" s="333"/>
      <c r="I1378" s="333"/>
      <c r="J1378" s="333"/>
    </row>
    <row r="1379" spans="3:10" x14ac:dyDescent="0.2">
      <c r="C1379" s="333"/>
      <c r="D1379" s="333"/>
      <c r="F1379" s="333"/>
      <c r="G1379" s="333"/>
      <c r="H1379" s="333"/>
      <c r="I1379" s="333"/>
      <c r="J1379" s="333"/>
    </row>
    <row r="1380" spans="3:10" x14ac:dyDescent="0.2">
      <c r="C1380" s="333"/>
      <c r="D1380" s="333"/>
      <c r="F1380" s="333"/>
      <c r="G1380" s="333"/>
      <c r="H1380" s="333"/>
      <c r="I1380" s="333"/>
      <c r="J1380" s="333"/>
    </row>
    <row r="1381" spans="3:10" x14ac:dyDescent="0.2">
      <c r="C1381" s="333"/>
      <c r="D1381" s="333"/>
      <c r="F1381" s="333"/>
      <c r="G1381" s="333"/>
      <c r="H1381" s="333"/>
      <c r="I1381" s="333"/>
      <c r="J1381" s="333"/>
    </row>
    <row r="1382" spans="3:10" x14ac:dyDescent="0.2">
      <c r="C1382" s="333"/>
      <c r="D1382" s="333"/>
      <c r="F1382" s="333"/>
      <c r="G1382" s="333"/>
      <c r="H1382" s="333"/>
      <c r="I1382" s="333"/>
      <c r="J1382" s="333"/>
    </row>
    <row r="1383" spans="3:10" x14ac:dyDescent="0.2">
      <c r="C1383" s="333"/>
      <c r="D1383" s="333"/>
      <c r="F1383" s="333"/>
      <c r="G1383" s="333"/>
      <c r="H1383" s="333"/>
      <c r="I1383" s="333"/>
      <c r="J1383" s="333"/>
    </row>
    <row r="1384" spans="3:10" x14ac:dyDescent="0.2">
      <c r="C1384" s="333"/>
      <c r="D1384" s="333"/>
      <c r="F1384" s="333"/>
      <c r="G1384" s="333"/>
      <c r="H1384" s="333"/>
      <c r="I1384" s="333"/>
      <c r="J1384" s="333"/>
    </row>
    <row r="1385" spans="3:10" x14ac:dyDescent="0.2">
      <c r="C1385" s="333"/>
      <c r="D1385" s="333"/>
      <c r="F1385" s="333"/>
      <c r="G1385" s="333"/>
      <c r="H1385" s="333"/>
      <c r="I1385" s="333"/>
      <c r="J1385" s="333"/>
    </row>
    <row r="1386" spans="3:10" x14ac:dyDescent="0.2">
      <c r="C1386" s="333"/>
      <c r="D1386" s="333"/>
      <c r="F1386" s="333"/>
      <c r="G1386" s="333"/>
      <c r="H1386" s="333"/>
      <c r="I1386" s="333"/>
      <c r="J1386" s="333"/>
    </row>
    <row r="1387" spans="3:10" x14ac:dyDescent="0.2">
      <c r="C1387" s="333"/>
      <c r="D1387" s="333"/>
      <c r="F1387" s="333"/>
      <c r="G1387" s="333"/>
      <c r="H1387" s="333"/>
      <c r="I1387" s="333"/>
      <c r="J1387" s="333"/>
    </row>
    <row r="1388" spans="3:10" x14ac:dyDescent="0.2">
      <c r="C1388" s="333"/>
      <c r="D1388" s="333"/>
      <c r="F1388" s="333"/>
      <c r="G1388" s="333"/>
      <c r="H1388" s="333"/>
      <c r="I1388" s="333"/>
      <c r="J1388" s="333"/>
    </row>
    <row r="1389" spans="3:10" x14ac:dyDescent="0.2">
      <c r="C1389" s="333"/>
      <c r="D1389" s="333"/>
      <c r="F1389" s="333"/>
      <c r="G1389" s="333"/>
      <c r="H1389" s="333"/>
      <c r="I1389" s="333"/>
      <c r="J1389" s="333"/>
    </row>
    <row r="1390" spans="3:10" x14ac:dyDescent="0.2">
      <c r="C1390" s="333"/>
      <c r="D1390" s="333"/>
      <c r="F1390" s="333"/>
      <c r="G1390" s="333"/>
      <c r="H1390" s="333"/>
      <c r="I1390" s="333"/>
      <c r="J1390" s="333"/>
    </row>
    <row r="1391" spans="3:10" x14ac:dyDescent="0.2">
      <c r="C1391" s="333"/>
      <c r="D1391" s="333"/>
      <c r="F1391" s="333"/>
      <c r="G1391" s="333"/>
      <c r="H1391" s="333"/>
      <c r="I1391" s="333"/>
      <c r="J1391" s="333"/>
    </row>
    <row r="1392" spans="3:10" x14ac:dyDescent="0.2">
      <c r="C1392" s="333"/>
      <c r="D1392" s="333"/>
      <c r="F1392" s="333"/>
      <c r="G1392" s="333"/>
      <c r="H1392" s="333"/>
      <c r="I1392" s="333"/>
      <c r="J1392" s="333"/>
    </row>
    <row r="1393" spans="3:10" x14ac:dyDescent="0.2">
      <c r="C1393" s="333"/>
      <c r="D1393" s="333"/>
      <c r="F1393" s="333"/>
      <c r="G1393" s="333"/>
      <c r="H1393" s="333"/>
      <c r="I1393" s="333"/>
      <c r="J1393" s="333"/>
    </row>
    <row r="1394" spans="3:10" x14ac:dyDescent="0.2">
      <c r="C1394" s="333"/>
      <c r="D1394" s="333"/>
      <c r="F1394" s="333"/>
      <c r="G1394" s="333"/>
      <c r="H1394" s="333"/>
      <c r="I1394" s="333"/>
      <c r="J1394" s="333"/>
    </row>
    <row r="1395" spans="3:10" x14ac:dyDescent="0.2">
      <c r="C1395" s="333"/>
      <c r="D1395" s="333"/>
      <c r="F1395" s="333"/>
      <c r="G1395" s="333"/>
      <c r="H1395" s="333"/>
      <c r="I1395" s="333"/>
      <c r="J1395" s="333"/>
    </row>
    <row r="1396" spans="3:10" x14ac:dyDescent="0.2">
      <c r="C1396" s="333"/>
      <c r="D1396" s="333"/>
      <c r="F1396" s="333"/>
      <c r="G1396" s="333"/>
      <c r="H1396" s="333"/>
      <c r="I1396" s="333"/>
      <c r="J1396" s="333"/>
    </row>
    <row r="1397" spans="3:10" x14ac:dyDescent="0.2">
      <c r="C1397" s="333"/>
      <c r="D1397" s="333"/>
      <c r="F1397" s="333"/>
      <c r="G1397" s="333"/>
      <c r="H1397" s="333"/>
      <c r="I1397" s="333"/>
      <c r="J1397" s="333"/>
    </row>
    <row r="1398" spans="3:10" x14ac:dyDescent="0.2">
      <c r="C1398" s="333"/>
      <c r="D1398" s="333"/>
      <c r="F1398" s="333"/>
      <c r="G1398" s="333"/>
      <c r="H1398" s="333"/>
      <c r="I1398" s="333"/>
      <c r="J1398" s="333"/>
    </row>
    <row r="1399" spans="3:10" x14ac:dyDescent="0.2">
      <c r="C1399" s="333"/>
      <c r="D1399" s="333"/>
      <c r="F1399" s="333"/>
      <c r="G1399" s="333"/>
      <c r="H1399" s="333"/>
      <c r="I1399" s="333"/>
      <c r="J1399" s="333"/>
    </row>
    <row r="1400" spans="3:10" x14ac:dyDescent="0.2">
      <c r="C1400" s="333"/>
      <c r="D1400" s="333"/>
      <c r="F1400" s="333"/>
      <c r="G1400" s="333"/>
      <c r="H1400" s="333"/>
      <c r="I1400" s="333"/>
      <c r="J1400" s="333"/>
    </row>
    <row r="1401" spans="3:10" x14ac:dyDescent="0.2">
      <c r="C1401" s="333"/>
      <c r="D1401" s="333"/>
      <c r="F1401" s="333"/>
      <c r="G1401" s="333"/>
      <c r="H1401" s="333"/>
      <c r="I1401" s="333"/>
      <c r="J1401" s="333"/>
    </row>
    <row r="1402" spans="3:10" x14ac:dyDescent="0.2">
      <c r="C1402" s="333"/>
      <c r="D1402" s="333"/>
      <c r="F1402" s="333"/>
      <c r="G1402" s="333"/>
      <c r="H1402" s="333"/>
      <c r="I1402" s="333"/>
      <c r="J1402" s="333"/>
    </row>
    <row r="1403" spans="3:10" x14ac:dyDescent="0.2">
      <c r="C1403" s="333"/>
      <c r="D1403" s="333"/>
      <c r="F1403" s="333"/>
      <c r="G1403" s="333"/>
      <c r="H1403" s="333"/>
      <c r="I1403" s="333"/>
      <c r="J1403" s="333"/>
    </row>
    <row r="1404" spans="3:10" x14ac:dyDescent="0.2">
      <c r="C1404" s="333"/>
      <c r="D1404" s="333"/>
      <c r="F1404" s="333"/>
      <c r="G1404" s="333"/>
      <c r="H1404" s="333"/>
      <c r="I1404" s="333"/>
      <c r="J1404" s="333"/>
    </row>
    <row r="1405" spans="3:10" x14ac:dyDescent="0.2">
      <c r="C1405" s="333"/>
      <c r="D1405" s="333"/>
      <c r="F1405" s="333"/>
      <c r="G1405" s="333"/>
      <c r="H1405" s="333"/>
      <c r="I1405" s="333"/>
      <c r="J1405" s="333"/>
    </row>
    <row r="1406" spans="3:10" x14ac:dyDescent="0.2">
      <c r="C1406" s="333"/>
      <c r="D1406" s="333"/>
      <c r="F1406" s="333"/>
      <c r="G1406" s="333"/>
      <c r="H1406" s="333"/>
      <c r="I1406" s="333"/>
      <c r="J1406" s="333"/>
    </row>
    <row r="1407" spans="3:10" x14ac:dyDescent="0.2">
      <c r="C1407" s="333"/>
      <c r="D1407" s="333"/>
      <c r="F1407" s="333"/>
      <c r="G1407" s="333"/>
      <c r="H1407" s="333"/>
      <c r="I1407" s="333"/>
      <c r="J1407" s="333"/>
    </row>
    <row r="1408" spans="3:10" x14ac:dyDescent="0.2">
      <c r="C1408" s="333"/>
      <c r="D1408" s="333"/>
      <c r="F1408" s="333"/>
      <c r="G1408" s="333"/>
      <c r="H1408" s="333"/>
      <c r="I1408" s="333"/>
      <c r="J1408" s="333"/>
    </row>
    <row r="1409" spans="3:10" x14ac:dyDescent="0.2">
      <c r="C1409" s="333"/>
      <c r="D1409" s="333"/>
      <c r="F1409" s="333"/>
      <c r="G1409" s="333"/>
      <c r="H1409" s="333"/>
      <c r="I1409" s="333"/>
      <c r="J1409" s="333"/>
    </row>
    <row r="1410" spans="3:10" x14ac:dyDescent="0.2">
      <c r="C1410" s="333"/>
      <c r="D1410" s="333"/>
      <c r="F1410" s="333"/>
      <c r="G1410" s="333"/>
      <c r="H1410" s="333"/>
      <c r="I1410" s="333"/>
      <c r="J1410" s="333"/>
    </row>
    <row r="1411" spans="3:10" x14ac:dyDescent="0.2">
      <c r="C1411" s="333"/>
      <c r="D1411" s="333"/>
      <c r="F1411" s="333"/>
      <c r="G1411" s="333"/>
      <c r="H1411" s="333"/>
      <c r="I1411" s="333"/>
      <c r="J1411" s="333"/>
    </row>
    <row r="1412" spans="3:10" x14ac:dyDescent="0.2">
      <c r="C1412" s="333"/>
      <c r="D1412" s="333"/>
      <c r="F1412" s="333"/>
      <c r="G1412" s="333"/>
      <c r="H1412" s="333"/>
      <c r="I1412" s="333"/>
      <c r="J1412" s="333"/>
    </row>
    <row r="1413" spans="3:10" x14ac:dyDescent="0.2">
      <c r="C1413" s="333"/>
      <c r="D1413" s="333"/>
      <c r="F1413" s="333"/>
      <c r="G1413" s="333"/>
      <c r="H1413" s="333"/>
      <c r="I1413" s="333"/>
      <c r="J1413" s="333"/>
    </row>
    <row r="1414" spans="3:10" x14ac:dyDescent="0.2">
      <c r="C1414" s="333"/>
      <c r="D1414" s="333"/>
      <c r="F1414" s="333"/>
      <c r="G1414" s="333"/>
      <c r="H1414" s="333"/>
      <c r="I1414" s="333"/>
      <c r="J1414" s="333"/>
    </row>
    <row r="1415" spans="3:10" x14ac:dyDescent="0.2">
      <c r="C1415" s="333"/>
      <c r="D1415" s="333"/>
      <c r="F1415" s="333"/>
      <c r="G1415" s="333"/>
      <c r="H1415" s="333"/>
      <c r="I1415" s="333"/>
      <c r="J1415" s="333"/>
    </row>
    <row r="1416" spans="3:10" x14ac:dyDescent="0.2">
      <c r="C1416" s="333"/>
      <c r="D1416" s="333"/>
      <c r="F1416" s="333"/>
      <c r="G1416" s="333"/>
      <c r="H1416" s="333"/>
      <c r="I1416" s="333"/>
      <c r="J1416" s="333"/>
    </row>
    <row r="1417" spans="3:10" x14ac:dyDescent="0.2">
      <c r="C1417" s="333"/>
      <c r="D1417" s="333"/>
      <c r="F1417" s="333"/>
      <c r="G1417" s="333"/>
      <c r="H1417" s="333"/>
      <c r="I1417" s="333"/>
      <c r="J1417" s="333"/>
    </row>
    <row r="1418" spans="3:10" x14ac:dyDescent="0.2">
      <c r="C1418" s="333"/>
      <c r="D1418" s="333"/>
      <c r="F1418" s="333"/>
      <c r="G1418" s="333"/>
      <c r="H1418" s="333"/>
      <c r="I1418" s="333"/>
      <c r="J1418" s="333"/>
    </row>
    <row r="1419" spans="3:10" x14ac:dyDescent="0.2">
      <c r="C1419" s="333"/>
      <c r="D1419" s="333"/>
      <c r="F1419" s="333"/>
      <c r="G1419" s="333"/>
      <c r="H1419" s="333"/>
      <c r="I1419" s="333"/>
      <c r="J1419" s="333"/>
    </row>
    <row r="1420" spans="3:10" x14ac:dyDescent="0.2">
      <c r="C1420" s="333"/>
      <c r="D1420" s="333"/>
      <c r="F1420" s="333"/>
      <c r="G1420" s="333"/>
      <c r="H1420" s="333"/>
      <c r="I1420" s="333"/>
      <c r="J1420" s="333"/>
    </row>
    <row r="1421" spans="3:10" x14ac:dyDescent="0.2">
      <c r="C1421" s="333"/>
      <c r="D1421" s="333"/>
      <c r="F1421" s="333"/>
      <c r="G1421" s="333"/>
      <c r="H1421" s="333"/>
      <c r="I1421" s="333"/>
      <c r="J1421" s="333"/>
    </row>
    <row r="1422" spans="3:10" x14ac:dyDescent="0.2">
      <c r="C1422" s="333"/>
      <c r="D1422" s="333"/>
      <c r="F1422" s="333"/>
      <c r="G1422" s="333"/>
      <c r="H1422" s="333"/>
      <c r="I1422" s="333"/>
      <c r="J1422" s="333"/>
    </row>
    <row r="1423" spans="3:10" x14ac:dyDescent="0.2">
      <c r="C1423" s="333"/>
      <c r="D1423" s="333"/>
      <c r="F1423" s="333"/>
      <c r="G1423" s="333"/>
      <c r="H1423" s="333"/>
      <c r="I1423" s="333"/>
      <c r="J1423" s="333"/>
    </row>
    <row r="1424" spans="3:10" x14ac:dyDescent="0.2">
      <c r="C1424" s="333"/>
      <c r="D1424" s="333"/>
      <c r="F1424" s="333"/>
      <c r="G1424" s="333"/>
      <c r="H1424" s="333"/>
      <c r="I1424" s="333"/>
      <c r="J1424" s="333"/>
    </row>
    <row r="1425" spans="3:10" x14ac:dyDescent="0.2">
      <c r="C1425" s="333"/>
      <c r="D1425" s="333"/>
      <c r="F1425" s="333"/>
      <c r="G1425" s="333"/>
      <c r="H1425" s="333"/>
      <c r="I1425" s="333"/>
      <c r="J1425" s="333"/>
    </row>
    <row r="1426" spans="3:10" x14ac:dyDescent="0.2">
      <c r="C1426" s="333"/>
      <c r="D1426" s="333"/>
      <c r="F1426" s="333"/>
      <c r="G1426" s="333"/>
      <c r="H1426" s="333"/>
      <c r="I1426" s="333"/>
      <c r="J1426" s="333"/>
    </row>
    <row r="1427" spans="3:10" x14ac:dyDescent="0.2">
      <c r="C1427" s="333"/>
      <c r="D1427" s="333"/>
      <c r="F1427" s="333"/>
      <c r="G1427" s="333"/>
      <c r="H1427" s="333"/>
      <c r="I1427" s="333"/>
      <c r="J1427" s="333"/>
    </row>
    <row r="1428" spans="3:10" x14ac:dyDescent="0.2">
      <c r="C1428" s="333"/>
      <c r="D1428" s="333"/>
      <c r="F1428" s="333"/>
      <c r="G1428" s="333"/>
      <c r="H1428" s="333"/>
      <c r="I1428" s="333"/>
      <c r="J1428" s="333"/>
    </row>
    <row r="1429" spans="3:10" x14ac:dyDescent="0.2">
      <c r="C1429" s="333"/>
      <c r="D1429" s="333"/>
      <c r="F1429" s="333"/>
      <c r="G1429" s="333"/>
      <c r="H1429" s="333"/>
      <c r="I1429" s="333"/>
      <c r="J1429" s="333"/>
    </row>
    <row r="1430" spans="3:10" x14ac:dyDescent="0.2">
      <c r="C1430" s="333"/>
      <c r="D1430" s="333"/>
      <c r="F1430" s="333"/>
      <c r="G1430" s="333"/>
      <c r="H1430" s="333"/>
      <c r="I1430" s="333"/>
      <c r="J1430" s="333"/>
    </row>
    <row r="1431" spans="3:10" x14ac:dyDescent="0.2">
      <c r="C1431" s="333"/>
      <c r="D1431" s="333"/>
      <c r="F1431" s="333"/>
      <c r="G1431" s="333"/>
      <c r="H1431" s="333"/>
      <c r="I1431" s="333"/>
      <c r="J1431" s="333"/>
    </row>
    <row r="1432" spans="3:10" x14ac:dyDescent="0.2">
      <c r="C1432" s="333"/>
      <c r="D1432" s="333"/>
      <c r="F1432" s="333"/>
      <c r="G1432" s="333"/>
      <c r="H1432" s="333"/>
      <c r="I1432" s="333"/>
      <c r="J1432" s="333"/>
    </row>
    <row r="1433" spans="3:10" x14ac:dyDescent="0.2">
      <c r="C1433" s="333"/>
      <c r="D1433" s="333"/>
      <c r="F1433" s="333"/>
      <c r="G1433" s="333"/>
      <c r="H1433" s="333"/>
      <c r="I1433" s="333"/>
      <c r="J1433" s="333"/>
    </row>
    <row r="1434" spans="3:10" x14ac:dyDescent="0.2">
      <c r="C1434" s="333"/>
      <c r="D1434" s="333"/>
      <c r="F1434" s="333"/>
      <c r="G1434" s="333"/>
      <c r="H1434" s="333"/>
      <c r="I1434" s="333"/>
      <c r="J1434" s="333"/>
    </row>
    <row r="1435" spans="3:10" x14ac:dyDescent="0.2">
      <c r="C1435" s="333"/>
      <c r="D1435" s="333"/>
      <c r="F1435" s="333"/>
      <c r="G1435" s="333"/>
      <c r="H1435" s="333"/>
      <c r="I1435" s="333"/>
      <c r="J1435" s="333"/>
    </row>
    <row r="1436" spans="3:10" x14ac:dyDescent="0.2">
      <c r="C1436" s="333"/>
      <c r="D1436" s="333"/>
      <c r="F1436" s="333"/>
      <c r="G1436" s="333"/>
      <c r="H1436" s="333"/>
      <c r="I1436" s="333"/>
      <c r="J1436" s="333"/>
    </row>
    <row r="1437" spans="3:10" x14ac:dyDescent="0.2">
      <c r="C1437" s="333"/>
      <c r="D1437" s="333"/>
      <c r="F1437" s="333"/>
      <c r="G1437" s="333"/>
      <c r="H1437" s="333"/>
      <c r="I1437" s="333"/>
      <c r="J1437" s="333"/>
    </row>
    <row r="1438" spans="3:10" x14ac:dyDescent="0.2">
      <c r="C1438" s="333"/>
      <c r="D1438" s="333"/>
      <c r="F1438" s="333"/>
      <c r="G1438" s="333"/>
      <c r="H1438" s="333"/>
      <c r="I1438" s="333"/>
      <c r="J1438" s="333"/>
    </row>
    <row r="1439" spans="3:10" x14ac:dyDescent="0.2">
      <c r="C1439" s="333"/>
      <c r="D1439" s="333"/>
      <c r="F1439" s="333"/>
      <c r="G1439" s="333"/>
      <c r="H1439" s="333"/>
      <c r="I1439" s="333"/>
      <c r="J1439" s="333"/>
    </row>
    <row r="1440" spans="3:10" x14ac:dyDescent="0.2">
      <c r="C1440" s="333"/>
      <c r="D1440" s="333"/>
      <c r="F1440" s="333"/>
      <c r="G1440" s="333"/>
      <c r="H1440" s="333"/>
      <c r="I1440" s="333"/>
      <c r="J1440" s="333"/>
    </row>
    <row r="1441" spans="3:10" x14ac:dyDescent="0.2">
      <c r="C1441" s="333"/>
      <c r="D1441" s="333"/>
      <c r="F1441" s="333"/>
      <c r="G1441" s="333"/>
      <c r="H1441" s="333"/>
      <c r="I1441" s="333"/>
      <c r="J1441" s="333"/>
    </row>
    <row r="1442" spans="3:10" x14ac:dyDescent="0.2">
      <c r="C1442" s="333"/>
      <c r="D1442" s="333"/>
      <c r="F1442" s="333"/>
      <c r="G1442" s="333"/>
      <c r="H1442" s="333"/>
      <c r="I1442" s="333"/>
      <c r="J1442" s="333"/>
    </row>
    <row r="1443" spans="3:10" x14ac:dyDescent="0.2">
      <c r="C1443" s="333"/>
      <c r="D1443" s="333"/>
      <c r="F1443" s="333"/>
      <c r="G1443" s="333"/>
      <c r="H1443" s="333"/>
      <c r="I1443" s="333"/>
      <c r="J1443" s="333"/>
    </row>
    <row r="1444" spans="3:10" x14ac:dyDescent="0.2">
      <c r="C1444" s="333"/>
      <c r="D1444" s="333"/>
      <c r="F1444" s="333"/>
      <c r="G1444" s="333"/>
      <c r="H1444" s="333"/>
      <c r="I1444" s="333"/>
      <c r="J1444" s="333"/>
    </row>
    <row r="1445" spans="3:10" x14ac:dyDescent="0.2">
      <c r="C1445" s="333"/>
      <c r="D1445" s="333"/>
      <c r="F1445" s="333"/>
      <c r="G1445" s="333"/>
      <c r="H1445" s="333"/>
      <c r="I1445" s="333"/>
      <c r="J1445" s="333"/>
    </row>
    <row r="1446" spans="3:10" x14ac:dyDescent="0.2">
      <c r="C1446" s="333"/>
      <c r="D1446" s="333"/>
      <c r="F1446" s="333"/>
      <c r="G1446" s="333"/>
      <c r="H1446" s="333"/>
      <c r="I1446" s="333"/>
      <c r="J1446" s="333"/>
    </row>
    <row r="1447" spans="3:10" x14ac:dyDescent="0.2">
      <c r="C1447" s="333"/>
      <c r="D1447" s="333"/>
      <c r="F1447" s="333"/>
      <c r="G1447" s="333"/>
      <c r="H1447" s="333"/>
      <c r="I1447" s="333"/>
      <c r="J1447" s="333"/>
    </row>
    <row r="1448" spans="3:10" x14ac:dyDescent="0.2">
      <c r="C1448" s="333"/>
      <c r="D1448" s="333"/>
      <c r="F1448" s="333"/>
      <c r="G1448" s="333"/>
      <c r="H1448" s="333"/>
      <c r="I1448" s="333"/>
      <c r="J1448" s="333"/>
    </row>
    <row r="1449" spans="3:10" x14ac:dyDescent="0.2">
      <c r="C1449" s="333"/>
      <c r="D1449" s="333"/>
      <c r="F1449" s="333"/>
      <c r="G1449" s="333"/>
      <c r="H1449" s="333"/>
      <c r="I1449" s="333"/>
      <c r="J1449" s="333"/>
    </row>
    <row r="1450" spans="3:10" x14ac:dyDescent="0.2">
      <c r="C1450" s="333"/>
      <c r="D1450" s="333"/>
      <c r="F1450" s="333"/>
      <c r="G1450" s="333"/>
      <c r="H1450" s="333"/>
      <c r="I1450" s="333"/>
      <c r="J1450" s="333"/>
    </row>
    <row r="1451" spans="3:10" x14ac:dyDescent="0.2">
      <c r="C1451" s="333"/>
      <c r="D1451" s="333"/>
      <c r="F1451" s="333"/>
      <c r="G1451" s="333"/>
      <c r="H1451" s="333"/>
      <c r="I1451" s="333"/>
      <c r="J1451" s="333"/>
    </row>
    <row r="1452" spans="3:10" x14ac:dyDescent="0.2">
      <c r="C1452" s="333"/>
      <c r="D1452" s="333"/>
      <c r="F1452" s="333"/>
      <c r="G1452" s="333"/>
      <c r="H1452" s="333"/>
      <c r="I1452" s="333"/>
      <c r="J1452" s="333"/>
    </row>
    <row r="1453" spans="3:10" x14ac:dyDescent="0.2">
      <c r="C1453" s="333"/>
      <c r="D1453" s="333"/>
      <c r="F1453" s="333"/>
      <c r="G1453" s="333"/>
      <c r="H1453" s="333"/>
      <c r="I1453" s="333"/>
      <c r="J1453" s="333"/>
    </row>
    <row r="1454" spans="3:10" x14ac:dyDescent="0.2">
      <c r="C1454" s="333"/>
      <c r="D1454" s="333"/>
      <c r="F1454" s="333"/>
      <c r="G1454" s="333"/>
      <c r="H1454" s="333"/>
      <c r="I1454" s="333"/>
      <c r="J1454" s="333"/>
    </row>
    <row r="1455" spans="3:10" x14ac:dyDescent="0.2">
      <c r="C1455" s="333"/>
      <c r="D1455" s="333"/>
      <c r="F1455" s="333"/>
      <c r="G1455" s="333"/>
      <c r="H1455" s="333"/>
      <c r="I1455" s="333"/>
      <c r="J1455" s="333"/>
    </row>
    <row r="1456" spans="3:10" x14ac:dyDescent="0.2">
      <c r="C1456" s="333"/>
      <c r="D1456" s="333"/>
      <c r="F1456" s="333"/>
      <c r="G1456" s="333"/>
      <c r="H1456" s="333"/>
      <c r="I1456" s="333"/>
      <c r="J1456" s="333"/>
    </row>
    <row r="1457" spans="3:10" x14ac:dyDescent="0.2">
      <c r="C1457" s="333"/>
      <c r="D1457" s="333"/>
      <c r="F1457" s="333"/>
      <c r="G1457" s="333"/>
      <c r="H1457" s="333"/>
      <c r="I1457" s="333"/>
      <c r="J1457" s="333"/>
    </row>
    <row r="1458" spans="3:10" x14ac:dyDescent="0.2">
      <c r="C1458" s="333"/>
      <c r="D1458" s="333"/>
      <c r="F1458" s="333"/>
      <c r="G1458" s="333"/>
      <c r="H1458" s="333"/>
      <c r="I1458" s="333"/>
      <c r="J1458" s="333"/>
    </row>
    <row r="1459" spans="3:10" x14ac:dyDescent="0.2">
      <c r="C1459" s="333"/>
      <c r="D1459" s="333"/>
      <c r="F1459" s="333"/>
      <c r="G1459" s="333"/>
      <c r="H1459" s="333"/>
      <c r="I1459" s="333"/>
      <c r="J1459" s="333"/>
    </row>
    <row r="1460" spans="3:10" x14ac:dyDescent="0.2">
      <c r="C1460" s="333"/>
      <c r="D1460" s="333"/>
      <c r="F1460" s="333"/>
      <c r="G1460" s="333"/>
      <c r="H1460" s="333"/>
      <c r="I1460" s="333"/>
      <c r="J1460" s="333"/>
    </row>
    <row r="1461" spans="3:10" x14ac:dyDescent="0.2">
      <c r="C1461" s="333"/>
      <c r="D1461" s="333"/>
      <c r="F1461" s="333"/>
      <c r="G1461" s="333"/>
      <c r="H1461" s="333"/>
      <c r="I1461" s="333"/>
      <c r="J1461" s="333"/>
    </row>
    <row r="1462" spans="3:10" x14ac:dyDescent="0.2">
      <c r="C1462" s="333"/>
      <c r="D1462" s="333"/>
      <c r="F1462" s="333"/>
      <c r="G1462" s="333"/>
      <c r="H1462" s="333"/>
      <c r="I1462" s="333"/>
      <c r="J1462" s="333"/>
    </row>
    <row r="1463" spans="3:10" x14ac:dyDescent="0.2">
      <c r="C1463" s="333"/>
      <c r="D1463" s="333"/>
      <c r="F1463" s="333"/>
      <c r="G1463" s="333"/>
      <c r="H1463" s="333"/>
      <c r="I1463" s="333"/>
      <c r="J1463" s="333"/>
    </row>
    <row r="1464" spans="3:10" x14ac:dyDescent="0.2">
      <c r="C1464" s="333"/>
      <c r="D1464" s="333"/>
      <c r="F1464" s="333"/>
      <c r="G1464" s="333"/>
      <c r="H1464" s="333"/>
      <c r="I1464" s="333"/>
      <c r="J1464" s="333"/>
    </row>
    <row r="1465" spans="3:10" x14ac:dyDescent="0.2">
      <c r="C1465" s="333"/>
      <c r="D1465" s="333"/>
      <c r="F1465" s="333"/>
      <c r="G1465" s="333"/>
      <c r="H1465" s="333"/>
      <c r="I1465" s="333"/>
      <c r="J1465" s="333"/>
    </row>
    <row r="1466" spans="3:10" x14ac:dyDescent="0.2">
      <c r="C1466" s="333"/>
      <c r="D1466" s="333"/>
      <c r="F1466" s="333"/>
      <c r="G1466" s="333"/>
      <c r="H1466" s="333"/>
      <c r="I1466" s="333"/>
      <c r="J1466" s="333"/>
    </row>
    <row r="1467" spans="3:10" x14ac:dyDescent="0.2">
      <c r="C1467" s="333"/>
      <c r="D1467" s="333"/>
      <c r="F1467" s="333"/>
      <c r="G1467" s="333"/>
      <c r="H1467" s="333"/>
      <c r="I1467" s="333"/>
      <c r="J1467" s="333"/>
    </row>
    <row r="1468" spans="3:10" x14ac:dyDescent="0.2">
      <c r="C1468" s="333"/>
      <c r="D1468" s="333"/>
      <c r="F1468" s="333"/>
      <c r="G1468" s="333"/>
      <c r="H1468" s="333"/>
      <c r="I1468" s="333"/>
      <c r="J1468" s="333"/>
    </row>
    <row r="1469" spans="3:10" x14ac:dyDescent="0.2">
      <c r="C1469" s="333"/>
      <c r="D1469" s="333"/>
      <c r="F1469" s="333"/>
      <c r="G1469" s="333"/>
      <c r="H1469" s="333"/>
      <c r="I1469" s="333"/>
      <c r="J1469" s="333"/>
    </row>
    <row r="1470" spans="3:10" x14ac:dyDescent="0.2">
      <c r="C1470" s="333"/>
      <c r="D1470" s="333"/>
      <c r="F1470" s="333"/>
      <c r="G1470" s="333"/>
      <c r="H1470" s="333"/>
      <c r="I1470" s="333"/>
      <c r="J1470" s="333"/>
    </row>
    <row r="1471" spans="3:10" x14ac:dyDescent="0.2">
      <c r="C1471" s="333"/>
      <c r="D1471" s="333"/>
      <c r="F1471" s="333"/>
      <c r="G1471" s="333"/>
      <c r="H1471" s="333"/>
      <c r="I1471" s="333"/>
      <c r="J1471" s="333"/>
    </row>
    <row r="1472" spans="3:10" x14ac:dyDescent="0.2">
      <c r="C1472" s="333"/>
      <c r="D1472" s="333"/>
      <c r="F1472" s="333"/>
      <c r="G1472" s="333"/>
      <c r="H1472" s="333"/>
      <c r="I1472" s="333"/>
      <c r="J1472" s="333"/>
    </row>
    <row r="1473" spans="3:10" x14ac:dyDescent="0.2">
      <c r="C1473" s="333"/>
      <c r="D1473" s="333"/>
      <c r="F1473" s="333"/>
      <c r="G1473" s="333"/>
      <c r="H1473" s="333"/>
      <c r="I1473" s="333"/>
      <c r="J1473" s="333"/>
    </row>
    <row r="1474" spans="3:10" x14ac:dyDescent="0.2">
      <c r="C1474" s="333"/>
      <c r="D1474" s="333"/>
      <c r="F1474" s="333"/>
      <c r="G1474" s="333"/>
      <c r="H1474" s="333"/>
      <c r="I1474" s="333"/>
      <c r="J1474" s="333"/>
    </row>
    <row r="1475" spans="3:10" x14ac:dyDescent="0.2">
      <c r="C1475" s="333"/>
      <c r="D1475" s="333"/>
      <c r="F1475" s="333"/>
      <c r="G1475" s="333"/>
      <c r="H1475" s="333"/>
      <c r="I1475" s="333"/>
      <c r="J1475" s="333"/>
    </row>
    <row r="1476" spans="3:10" x14ac:dyDescent="0.2">
      <c r="C1476" s="333"/>
      <c r="D1476" s="333"/>
      <c r="F1476" s="333"/>
      <c r="G1476" s="333"/>
      <c r="H1476" s="333"/>
      <c r="I1476" s="333"/>
      <c r="J1476" s="333"/>
    </row>
    <row r="1477" spans="3:10" x14ac:dyDescent="0.2">
      <c r="C1477" s="333"/>
      <c r="D1477" s="333"/>
      <c r="F1477" s="333"/>
      <c r="G1477" s="333"/>
      <c r="H1477" s="333"/>
      <c r="I1477" s="333"/>
      <c r="J1477" s="333"/>
    </row>
    <row r="1478" spans="3:10" x14ac:dyDescent="0.2">
      <c r="C1478" s="333"/>
      <c r="D1478" s="333"/>
      <c r="F1478" s="333"/>
      <c r="G1478" s="333"/>
      <c r="H1478" s="333"/>
      <c r="I1478" s="333"/>
      <c r="J1478" s="333"/>
    </row>
    <row r="1479" spans="3:10" x14ac:dyDescent="0.2">
      <c r="C1479" s="333"/>
      <c r="D1479" s="333"/>
      <c r="F1479" s="333"/>
      <c r="G1479" s="333"/>
      <c r="H1479" s="333"/>
      <c r="I1479" s="333"/>
      <c r="J1479" s="333"/>
    </row>
    <row r="1480" spans="3:10" x14ac:dyDescent="0.2">
      <c r="C1480" s="333"/>
      <c r="D1480" s="333"/>
      <c r="F1480" s="333"/>
      <c r="G1480" s="333"/>
      <c r="H1480" s="333"/>
      <c r="I1480" s="333"/>
      <c r="J1480" s="333"/>
    </row>
    <row r="1481" spans="3:10" x14ac:dyDescent="0.2">
      <c r="C1481" s="333"/>
      <c r="D1481" s="333"/>
      <c r="F1481" s="333"/>
      <c r="G1481" s="333"/>
      <c r="H1481" s="333"/>
      <c r="I1481" s="333"/>
      <c r="J1481" s="333"/>
    </row>
    <row r="1482" spans="3:10" x14ac:dyDescent="0.2">
      <c r="C1482" s="333"/>
      <c r="D1482" s="333"/>
      <c r="F1482" s="333"/>
      <c r="G1482" s="333"/>
      <c r="H1482" s="333"/>
      <c r="I1482" s="333"/>
      <c r="J1482" s="333"/>
    </row>
    <row r="1483" spans="3:10" x14ac:dyDescent="0.2">
      <c r="C1483" s="333"/>
      <c r="D1483" s="333"/>
      <c r="F1483" s="333"/>
      <c r="G1483" s="333"/>
      <c r="H1483" s="333"/>
      <c r="I1483" s="333"/>
      <c r="J1483" s="333"/>
    </row>
    <row r="1484" spans="3:10" x14ac:dyDescent="0.2">
      <c r="C1484" s="333"/>
      <c r="D1484" s="333"/>
      <c r="F1484" s="333"/>
      <c r="G1484" s="333"/>
      <c r="H1484" s="333"/>
      <c r="I1484" s="333"/>
      <c r="J1484" s="333"/>
    </row>
    <row r="1485" spans="3:10" x14ac:dyDescent="0.2">
      <c r="C1485" s="333"/>
      <c r="D1485" s="333"/>
      <c r="F1485" s="333"/>
      <c r="G1485" s="333"/>
      <c r="H1485" s="333"/>
      <c r="I1485" s="333"/>
      <c r="J1485" s="333"/>
    </row>
    <row r="1486" spans="3:10" x14ac:dyDescent="0.2">
      <c r="C1486" s="333"/>
      <c r="D1486" s="333"/>
      <c r="F1486" s="333"/>
      <c r="G1486" s="333"/>
      <c r="H1486" s="333"/>
      <c r="I1486" s="333"/>
      <c r="J1486" s="333"/>
    </row>
    <row r="1487" spans="3:10" x14ac:dyDescent="0.2">
      <c r="C1487" s="333"/>
      <c r="D1487" s="333"/>
      <c r="F1487" s="333"/>
      <c r="G1487" s="333"/>
      <c r="H1487" s="333"/>
      <c r="I1487" s="333"/>
      <c r="J1487" s="333"/>
    </row>
    <row r="1488" spans="3:10" x14ac:dyDescent="0.2">
      <c r="C1488" s="333"/>
      <c r="D1488" s="333"/>
      <c r="F1488" s="333"/>
      <c r="G1488" s="333"/>
      <c r="H1488" s="333"/>
      <c r="I1488" s="333"/>
      <c r="J1488" s="333"/>
    </row>
    <row r="1489" spans="3:10" x14ac:dyDescent="0.2">
      <c r="C1489" s="333"/>
      <c r="D1489" s="333"/>
      <c r="F1489" s="333"/>
      <c r="G1489" s="333"/>
      <c r="H1489" s="333"/>
      <c r="I1489" s="333"/>
      <c r="J1489" s="333"/>
    </row>
    <row r="1490" spans="3:10" x14ac:dyDescent="0.2">
      <c r="C1490" s="333"/>
      <c r="D1490" s="333"/>
      <c r="F1490" s="333"/>
      <c r="G1490" s="333"/>
      <c r="H1490" s="333"/>
      <c r="I1490" s="333"/>
      <c r="J1490" s="333"/>
    </row>
    <row r="1491" spans="3:10" x14ac:dyDescent="0.2">
      <c r="C1491" s="333"/>
      <c r="D1491" s="333"/>
      <c r="F1491" s="333"/>
      <c r="G1491" s="333"/>
      <c r="H1491" s="333"/>
      <c r="I1491" s="333"/>
      <c r="J1491" s="333"/>
    </row>
    <row r="1492" spans="3:10" x14ac:dyDescent="0.2">
      <c r="C1492" s="333"/>
      <c r="D1492" s="333"/>
      <c r="F1492" s="333"/>
      <c r="G1492" s="333"/>
      <c r="H1492" s="333"/>
      <c r="I1492" s="333"/>
      <c r="J1492" s="333"/>
    </row>
    <row r="1493" spans="3:10" x14ac:dyDescent="0.2">
      <c r="C1493" s="333"/>
      <c r="D1493" s="333"/>
      <c r="F1493" s="333"/>
      <c r="G1493" s="333"/>
      <c r="H1493" s="333"/>
      <c r="I1493" s="333"/>
      <c r="J1493" s="333"/>
    </row>
    <row r="1494" spans="3:10" x14ac:dyDescent="0.2">
      <c r="C1494" s="333"/>
      <c r="D1494" s="333"/>
      <c r="F1494" s="333"/>
      <c r="G1494" s="333"/>
      <c r="H1494" s="333"/>
      <c r="I1494" s="333"/>
      <c r="J1494" s="333"/>
    </row>
    <row r="1495" spans="3:10" x14ac:dyDescent="0.2">
      <c r="C1495" s="333"/>
      <c r="D1495" s="333"/>
      <c r="F1495" s="333"/>
      <c r="G1495" s="333"/>
      <c r="H1495" s="333"/>
      <c r="I1495" s="333"/>
      <c r="J1495" s="333"/>
    </row>
    <row r="1496" spans="3:10" x14ac:dyDescent="0.2">
      <c r="C1496" s="333"/>
      <c r="D1496" s="333"/>
      <c r="F1496" s="333"/>
      <c r="G1496" s="333"/>
      <c r="H1496" s="333"/>
      <c r="I1496" s="333"/>
      <c r="J1496" s="333"/>
    </row>
    <row r="1497" spans="3:10" x14ac:dyDescent="0.2">
      <c r="C1497" s="333"/>
      <c r="D1497" s="333"/>
      <c r="F1497" s="333"/>
      <c r="G1497" s="333"/>
      <c r="H1497" s="333"/>
      <c r="I1497" s="333"/>
      <c r="J1497" s="333"/>
    </row>
    <row r="1498" spans="3:10" x14ac:dyDescent="0.2">
      <c r="C1498" s="333"/>
      <c r="D1498" s="333"/>
      <c r="F1498" s="333"/>
      <c r="G1498" s="333"/>
      <c r="H1498" s="333"/>
      <c r="I1498" s="333"/>
      <c r="J1498" s="333"/>
    </row>
    <row r="1499" spans="3:10" x14ac:dyDescent="0.2">
      <c r="C1499" s="333"/>
      <c r="D1499" s="333"/>
      <c r="F1499" s="333"/>
      <c r="G1499" s="333"/>
      <c r="H1499" s="333"/>
      <c r="I1499" s="333"/>
      <c r="J1499" s="333"/>
    </row>
    <row r="1500" spans="3:10" x14ac:dyDescent="0.2">
      <c r="C1500" s="333"/>
      <c r="D1500" s="333"/>
      <c r="F1500" s="333"/>
      <c r="G1500" s="333"/>
      <c r="H1500" s="333"/>
      <c r="I1500" s="333"/>
      <c r="J1500" s="333"/>
    </row>
    <row r="1501" spans="3:10" x14ac:dyDescent="0.2">
      <c r="C1501" s="333"/>
      <c r="D1501" s="333"/>
      <c r="F1501" s="333"/>
      <c r="G1501" s="333"/>
      <c r="H1501" s="333"/>
      <c r="I1501" s="333"/>
      <c r="J1501" s="333"/>
    </row>
    <row r="1502" spans="3:10" x14ac:dyDescent="0.2">
      <c r="C1502" s="333"/>
      <c r="D1502" s="333"/>
      <c r="F1502" s="333"/>
      <c r="G1502" s="333"/>
      <c r="H1502" s="333"/>
      <c r="I1502" s="333"/>
      <c r="J1502" s="333"/>
    </row>
    <row r="1503" spans="3:10" x14ac:dyDescent="0.2">
      <c r="C1503" s="333"/>
      <c r="D1503" s="333"/>
      <c r="F1503" s="333"/>
      <c r="G1503" s="333"/>
      <c r="H1503" s="333"/>
      <c r="I1503" s="333"/>
      <c r="J1503" s="333"/>
    </row>
    <row r="1504" spans="3:10" x14ac:dyDescent="0.2">
      <c r="C1504" s="333"/>
      <c r="D1504" s="333"/>
      <c r="F1504" s="333"/>
      <c r="G1504" s="333"/>
      <c r="H1504" s="333"/>
      <c r="I1504" s="333"/>
      <c r="J1504" s="333"/>
    </row>
    <row r="1505" spans="3:10" x14ac:dyDescent="0.2">
      <c r="C1505" s="333"/>
      <c r="D1505" s="333"/>
      <c r="F1505" s="333"/>
      <c r="G1505" s="333"/>
      <c r="H1505" s="333"/>
      <c r="I1505" s="333"/>
      <c r="J1505" s="333"/>
    </row>
    <row r="1506" spans="3:10" x14ac:dyDescent="0.2">
      <c r="C1506" s="333"/>
      <c r="D1506" s="333"/>
      <c r="F1506" s="333"/>
      <c r="G1506" s="333"/>
      <c r="H1506" s="333"/>
      <c r="I1506" s="333"/>
      <c r="J1506" s="333"/>
    </row>
    <row r="1507" spans="3:10" x14ac:dyDescent="0.2">
      <c r="C1507" s="333"/>
      <c r="D1507" s="333"/>
      <c r="F1507" s="333"/>
      <c r="G1507" s="333"/>
      <c r="H1507" s="333"/>
      <c r="I1507" s="333"/>
      <c r="J1507" s="333"/>
    </row>
    <row r="1508" spans="3:10" x14ac:dyDescent="0.2">
      <c r="C1508" s="333"/>
      <c r="D1508" s="333"/>
      <c r="F1508" s="333"/>
      <c r="G1508" s="333"/>
      <c r="H1508" s="333"/>
      <c r="I1508" s="333"/>
      <c r="J1508" s="333"/>
    </row>
    <row r="1509" spans="3:10" x14ac:dyDescent="0.2">
      <c r="C1509" s="333"/>
      <c r="D1509" s="333"/>
      <c r="F1509" s="333"/>
      <c r="G1509" s="333"/>
      <c r="H1509" s="333"/>
      <c r="I1509" s="333"/>
      <c r="J1509" s="333"/>
    </row>
    <row r="1510" spans="3:10" x14ac:dyDescent="0.2">
      <c r="C1510" s="333"/>
      <c r="D1510" s="333"/>
      <c r="F1510" s="333"/>
      <c r="G1510" s="333"/>
      <c r="H1510" s="333"/>
      <c r="I1510" s="333"/>
      <c r="J1510" s="333"/>
    </row>
    <row r="1511" spans="3:10" x14ac:dyDescent="0.2">
      <c r="C1511" s="333"/>
      <c r="D1511" s="333"/>
      <c r="F1511" s="333"/>
      <c r="G1511" s="333"/>
      <c r="H1511" s="333"/>
      <c r="I1511" s="333"/>
      <c r="J1511" s="333"/>
    </row>
    <row r="1512" spans="3:10" x14ac:dyDescent="0.2">
      <c r="C1512" s="333"/>
      <c r="D1512" s="333"/>
      <c r="F1512" s="333"/>
      <c r="G1512" s="333"/>
      <c r="H1512" s="333"/>
      <c r="I1512" s="333"/>
      <c r="J1512" s="333"/>
    </row>
    <row r="1513" spans="3:10" x14ac:dyDescent="0.2">
      <c r="C1513" s="333"/>
      <c r="D1513" s="333"/>
      <c r="F1513" s="333"/>
      <c r="G1513" s="333"/>
      <c r="H1513" s="333"/>
      <c r="I1513" s="333"/>
      <c r="J1513" s="333"/>
    </row>
    <row r="1514" spans="3:10" x14ac:dyDescent="0.2">
      <c r="C1514" s="333"/>
      <c r="D1514" s="333"/>
      <c r="F1514" s="333"/>
      <c r="G1514" s="333"/>
      <c r="H1514" s="333"/>
      <c r="I1514" s="333"/>
      <c r="J1514" s="333"/>
    </row>
    <row r="1515" spans="3:10" x14ac:dyDescent="0.2">
      <c r="C1515" s="333"/>
      <c r="D1515" s="333"/>
      <c r="F1515" s="333"/>
      <c r="G1515" s="333"/>
      <c r="H1515" s="333"/>
      <c r="I1515" s="333"/>
      <c r="J1515" s="333"/>
    </row>
    <row r="1516" spans="3:10" x14ac:dyDescent="0.2">
      <c r="C1516" s="333"/>
      <c r="D1516" s="333"/>
      <c r="F1516" s="333"/>
      <c r="G1516" s="333"/>
      <c r="H1516" s="333"/>
      <c r="I1516" s="333"/>
      <c r="J1516" s="333"/>
    </row>
    <row r="1517" spans="3:10" x14ac:dyDescent="0.2">
      <c r="C1517" s="333"/>
      <c r="D1517" s="333"/>
      <c r="F1517" s="333"/>
      <c r="G1517" s="333"/>
      <c r="H1517" s="333"/>
      <c r="I1517" s="333"/>
      <c r="J1517" s="333"/>
    </row>
    <row r="1518" spans="3:10" x14ac:dyDescent="0.2">
      <c r="C1518" s="333"/>
      <c r="D1518" s="333"/>
      <c r="F1518" s="333"/>
      <c r="G1518" s="333"/>
      <c r="H1518" s="333"/>
      <c r="I1518" s="333"/>
      <c r="J1518" s="333"/>
    </row>
    <row r="1519" spans="3:10" x14ac:dyDescent="0.2">
      <c r="C1519" s="333"/>
      <c r="D1519" s="333"/>
      <c r="F1519" s="333"/>
      <c r="G1519" s="333"/>
      <c r="H1519" s="333"/>
      <c r="I1519" s="333"/>
      <c r="J1519" s="333"/>
    </row>
    <row r="1520" spans="3:10" x14ac:dyDescent="0.2">
      <c r="C1520" s="333"/>
      <c r="D1520" s="333"/>
      <c r="F1520" s="333"/>
      <c r="G1520" s="333"/>
      <c r="H1520" s="333"/>
      <c r="I1520" s="333"/>
      <c r="J1520" s="333"/>
    </row>
    <row r="1521" spans="3:10" x14ac:dyDescent="0.2">
      <c r="C1521" s="333"/>
      <c r="D1521" s="333"/>
      <c r="F1521" s="333"/>
      <c r="G1521" s="333"/>
      <c r="H1521" s="333"/>
      <c r="I1521" s="333"/>
      <c r="J1521" s="333"/>
    </row>
    <row r="1522" spans="3:10" x14ac:dyDescent="0.2">
      <c r="C1522" s="333"/>
      <c r="D1522" s="333"/>
      <c r="F1522" s="333"/>
      <c r="G1522" s="333"/>
      <c r="H1522" s="333"/>
      <c r="I1522" s="333"/>
      <c r="J1522" s="333"/>
    </row>
    <row r="1523" spans="3:10" x14ac:dyDescent="0.2">
      <c r="C1523" s="333"/>
      <c r="D1523" s="333"/>
      <c r="F1523" s="333"/>
      <c r="G1523" s="333"/>
      <c r="H1523" s="333"/>
      <c r="I1523" s="333"/>
      <c r="J1523" s="333"/>
    </row>
    <row r="1524" spans="3:10" x14ac:dyDescent="0.2">
      <c r="C1524" s="333"/>
      <c r="D1524" s="333"/>
      <c r="F1524" s="333"/>
      <c r="G1524" s="333"/>
      <c r="H1524" s="333"/>
      <c r="I1524" s="333"/>
      <c r="J1524" s="333"/>
    </row>
    <row r="1525" spans="3:10" x14ac:dyDescent="0.2">
      <c r="C1525" s="333"/>
      <c r="D1525" s="333"/>
      <c r="F1525" s="333"/>
      <c r="G1525" s="333"/>
      <c r="H1525" s="333"/>
      <c r="I1525" s="333"/>
      <c r="J1525" s="333"/>
    </row>
    <row r="1526" spans="3:10" x14ac:dyDescent="0.2">
      <c r="C1526" s="333"/>
      <c r="D1526" s="333"/>
      <c r="F1526" s="333"/>
      <c r="G1526" s="333"/>
      <c r="H1526" s="333"/>
      <c r="I1526" s="333"/>
      <c r="J1526" s="333"/>
    </row>
    <row r="1527" spans="3:10" x14ac:dyDescent="0.2">
      <c r="C1527" s="333"/>
      <c r="D1527" s="333"/>
      <c r="F1527" s="333"/>
      <c r="G1527" s="333"/>
      <c r="H1527" s="333"/>
      <c r="I1527" s="333"/>
      <c r="J1527" s="333"/>
    </row>
    <row r="1528" spans="3:10" x14ac:dyDescent="0.2">
      <c r="C1528" s="333"/>
      <c r="D1528" s="333"/>
      <c r="F1528" s="333"/>
      <c r="G1528" s="333"/>
      <c r="H1528" s="333"/>
      <c r="I1528" s="333"/>
      <c r="J1528" s="333"/>
    </row>
    <row r="1529" spans="3:10" x14ac:dyDescent="0.2">
      <c r="C1529" s="333"/>
      <c r="D1529" s="333"/>
      <c r="F1529" s="333"/>
      <c r="G1529" s="333"/>
      <c r="H1529" s="333"/>
      <c r="I1529" s="333"/>
      <c r="J1529" s="333"/>
    </row>
    <row r="1530" spans="3:10" x14ac:dyDescent="0.2">
      <c r="C1530" s="333"/>
      <c r="D1530" s="333"/>
      <c r="F1530" s="333"/>
      <c r="G1530" s="333"/>
      <c r="H1530" s="333"/>
      <c r="I1530" s="333"/>
      <c r="J1530" s="333"/>
    </row>
    <row r="1531" spans="3:10" x14ac:dyDescent="0.2">
      <c r="C1531" s="333"/>
      <c r="D1531" s="333"/>
      <c r="F1531" s="333"/>
      <c r="G1531" s="333"/>
      <c r="H1531" s="333"/>
      <c r="I1531" s="333"/>
      <c r="J1531" s="333"/>
    </row>
    <row r="1532" spans="3:10" x14ac:dyDescent="0.2">
      <c r="C1532" s="333"/>
      <c r="D1532" s="333"/>
      <c r="F1532" s="333"/>
      <c r="G1532" s="333"/>
      <c r="H1532" s="333"/>
      <c r="I1532" s="333"/>
      <c r="J1532" s="333"/>
    </row>
    <row r="1533" spans="3:10" x14ac:dyDescent="0.2">
      <c r="C1533" s="333"/>
      <c r="D1533" s="333"/>
      <c r="F1533" s="333"/>
      <c r="G1533" s="333"/>
      <c r="H1533" s="333"/>
      <c r="I1533" s="333"/>
      <c r="J1533" s="333"/>
    </row>
    <row r="1534" spans="3:10" x14ac:dyDescent="0.2">
      <c r="C1534" s="333"/>
      <c r="D1534" s="333"/>
      <c r="F1534" s="333"/>
      <c r="G1534" s="333"/>
      <c r="H1534" s="333"/>
      <c r="I1534" s="333"/>
      <c r="J1534" s="333"/>
    </row>
    <row r="1535" spans="3:10" x14ac:dyDescent="0.2">
      <c r="C1535" s="333"/>
      <c r="D1535" s="333"/>
      <c r="F1535" s="333"/>
      <c r="G1535" s="333"/>
      <c r="H1535" s="333"/>
      <c r="I1535" s="333"/>
      <c r="J1535" s="333"/>
    </row>
    <row r="1536" spans="3:10" x14ac:dyDescent="0.2">
      <c r="C1536" s="333"/>
      <c r="D1536" s="333"/>
      <c r="F1536" s="333"/>
      <c r="G1536" s="333"/>
      <c r="H1536" s="333"/>
      <c r="I1536" s="333"/>
      <c r="J1536" s="333"/>
    </row>
    <row r="1537" spans="3:10" x14ac:dyDescent="0.2">
      <c r="C1537" s="333"/>
      <c r="D1537" s="333"/>
      <c r="F1537" s="333"/>
      <c r="G1537" s="333"/>
      <c r="H1537" s="333"/>
      <c r="I1537" s="333"/>
      <c r="J1537" s="333"/>
    </row>
    <row r="1538" spans="3:10" x14ac:dyDescent="0.2">
      <c r="C1538" s="333"/>
      <c r="D1538" s="333"/>
      <c r="F1538" s="333"/>
      <c r="G1538" s="333"/>
      <c r="H1538" s="333"/>
      <c r="I1538" s="333"/>
      <c r="J1538" s="333"/>
    </row>
    <row r="1539" spans="3:10" x14ac:dyDescent="0.2">
      <c r="C1539" s="333"/>
      <c r="D1539" s="333"/>
      <c r="F1539" s="333"/>
      <c r="G1539" s="333"/>
      <c r="H1539" s="333"/>
      <c r="I1539" s="333"/>
      <c r="J1539" s="333"/>
    </row>
    <row r="1540" spans="3:10" x14ac:dyDescent="0.2">
      <c r="C1540" s="333"/>
      <c r="D1540" s="333"/>
      <c r="F1540" s="333"/>
      <c r="G1540" s="333"/>
      <c r="H1540" s="333"/>
      <c r="I1540" s="333"/>
      <c r="J1540" s="333"/>
    </row>
    <row r="1541" spans="3:10" x14ac:dyDescent="0.2">
      <c r="C1541" s="333"/>
      <c r="D1541" s="333"/>
      <c r="F1541" s="333"/>
      <c r="G1541" s="333"/>
      <c r="H1541" s="333"/>
      <c r="I1541" s="333"/>
      <c r="J1541" s="333"/>
    </row>
    <row r="1542" spans="3:10" x14ac:dyDescent="0.2">
      <c r="C1542" s="333"/>
      <c r="D1542" s="333"/>
      <c r="F1542" s="333"/>
      <c r="G1542" s="333"/>
      <c r="H1542" s="333"/>
      <c r="I1542" s="333"/>
      <c r="J1542" s="333"/>
    </row>
    <row r="1543" spans="3:10" x14ac:dyDescent="0.2">
      <c r="C1543" s="333"/>
      <c r="D1543" s="333"/>
      <c r="F1543" s="333"/>
      <c r="G1543" s="333"/>
      <c r="H1543" s="333"/>
      <c r="I1543" s="333"/>
      <c r="J1543" s="333"/>
    </row>
    <row r="1544" spans="3:10" x14ac:dyDescent="0.2">
      <c r="C1544" s="333"/>
      <c r="D1544" s="333"/>
      <c r="F1544" s="333"/>
      <c r="G1544" s="333"/>
      <c r="H1544" s="333"/>
      <c r="I1544" s="333"/>
      <c r="J1544" s="333"/>
    </row>
    <row r="1545" spans="3:10" x14ac:dyDescent="0.2">
      <c r="C1545" s="333"/>
      <c r="D1545" s="333"/>
      <c r="F1545" s="333"/>
      <c r="G1545" s="333"/>
      <c r="H1545" s="333"/>
      <c r="I1545" s="333"/>
      <c r="J1545" s="333"/>
    </row>
    <row r="1546" spans="3:10" x14ac:dyDescent="0.2">
      <c r="C1546" s="333"/>
      <c r="D1546" s="333"/>
      <c r="F1546" s="333"/>
      <c r="G1546" s="333"/>
      <c r="H1546" s="333"/>
      <c r="I1546" s="333"/>
      <c r="J1546" s="333"/>
    </row>
    <row r="1547" spans="3:10" x14ac:dyDescent="0.2">
      <c r="C1547" s="333"/>
      <c r="D1547" s="333"/>
      <c r="F1547" s="333"/>
      <c r="G1547" s="333"/>
      <c r="H1547" s="333"/>
      <c r="I1547" s="333"/>
      <c r="J1547" s="333"/>
    </row>
    <row r="1548" spans="3:10" x14ac:dyDescent="0.2">
      <c r="C1548" s="333"/>
      <c r="D1548" s="333"/>
      <c r="F1548" s="333"/>
      <c r="G1548" s="333"/>
      <c r="H1548" s="333"/>
      <c r="I1548" s="333"/>
      <c r="J1548" s="333"/>
    </row>
    <row r="1549" spans="3:10" x14ac:dyDescent="0.2">
      <c r="C1549" s="333"/>
      <c r="D1549" s="333"/>
      <c r="F1549" s="333"/>
      <c r="G1549" s="333"/>
      <c r="H1549" s="333"/>
      <c r="I1549" s="333"/>
      <c r="J1549" s="333"/>
    </row>
    <row r="1550" spans="3:10" x14ac:dyDescent="0.2">
      <c r="C1550" s="333"/>
      <c r="D1550" s="333"/>
      <c r="F1550" s="333"/>
      <c r="G1550" s="333"/>
      <c r="H1550" s="333"/>
      <c r="I1550" s="333"/>
      <c r="J1550" s="333"/>
    </row>
    <row r="1551" spans="3:10" x14ac:dyDescent="0.2">
      <c r="C1551" s="333"/>
      <c r="D1551" s="333"/>
      <c r="F1551" s="333"/>
      <c r="G1551" s="333"/>
      <c r="H1551" s="333"/>
      <c r="I1551" s="333"/>
      <c r="J1551" s="333"/>
    </row>
    <row r="1552" spans="3:10" x14ac:dyDescent="0.2">
      <c r="C1552" s="333"/>
      <c r="D1552" s="333"/>
      <c r="F1552" s="333"/>
      <c r="G1552" s="333"/>
      <c r="H1552" s="333"/>
      <c r="I1552" s="333"/>
      <c r="J1552" s="333"/>
    </row>
    <row r="1553" spans="3:10" x14ac:dyDescent="0.2">
      <c r="C1553" s="333"/>
      <c r="D1553" s="333"/>
      <c r="F1553" s="333"/>
      <c r="G1553" s="333"/>
      <c r="H1553" s="333"/>
      <c r="I1553" s="333"/>
      <c r="J1553" s="333"/>
    </row>
    <row r="1554" spans="3:10" x14ac:dyDescent="0.2">
      <c r="C1554" s="333"/>
      <c r="D1554" s="333"/>
      <c r="F1554" s="333"/>
      <c r="G1554" s="333"/>
      <c r="H1554" s="333"/>
      <c r="I1554" s="333"/>
      <c r="J1554" s="333"/>
    </row>
    <row r="1555" spans="3:10" x14ac:dyDescent="0.2">
      <c r="C1555" s="333"/>
      <c r="D1555" s="333"/>
      <c r="F1555" s="333"/>
      <c r="G1555" s="333"/>
      <c r="H1555" s="333"/>
      <c r="I1555" s="333"/>
      <c r="J1555" s="333"/>
    </row>
    <row r="1556" spans="3:10" x14ac:dyDescent="0.2">
      <c r="C1556" s="333"/>
      <c r="D1556" s="333"/>
      <c r="F1556" s="333"/>
      <c r="G1556" s="333"/>
      <c r="H1556" s="333"/>
      <c r="I1556" s="333"/>
      <c r="J1556" s="333"/>
    </row>
    <row r="1557" spans="3:10" x14ac:dyDescent="0.2">
      <c r="C1557" s="333"/>
      <c r="D1557" s="333"/>
      <c r="F1557" s="333"/>
      <c r="G1557" s="333"/>
      <c r="H1557" s="333"/>
      <c r="I1557" s="333"/>
      <c r="J1557" s="333"/>
    </row>
    <row r="1558" spans="3:10" x14ac:dyDescent="0.2">
      <c r="C1558" s="333"/>
      <c r="D1558" s="333"/>
      <c r="F1558" s="333"/>
      <c r="G1558" s="333"/>
      <c r="H1558" s="333"/>
      <c r="I1558" s="333"/>
      <c r="J1558" s="333"/>
    </row>
    <row r="1559" spans="3:10" x14ac:dyDescent="0.2">
      <c r="C1559" s="333"/>
      <c r="D1559" s="333"/>
      <c r="F1559" s="333"/>
      <c r="G1559" s="333"/>
      <c r="H1559" s="333"/>
      <c r="I1559" s="333"/>
      <c r="J1559" s="333"/>
    </row>
    <row r="1560" spans="3:10" x14ac:dyDescent="0.2">
      <c r="C1560" s="333"/>
      <c r="D1560" s="333"/>
      <c r="F1560" s="333"/>
      <c r="G1560" s="333"/>
      <c r="H1560" s="333"/>
      <c r="I1560" s="333"/>
      <c r="J1560" s="333"/>
    </row>
    <row r="1561" spans="3:10" x14ac:dyDescent="0.2">
      <c r="C1561" s="333"/>
      <c r="D1561" s="333"/>
      <c r="F1561" s="333"/>
      <c r="G1561" s="333"/>
      <c r="H1561" s="333"/>
      <c r="I1561" s="333"/>
      <c r="J1561" s="333"/>
    </row>
    <row r="1562" spans="3:10" x14ac:dyDescent="0.2">
      <c r="C1562" s="333"/>
      <c r="D1562" s="333"/>
      <c r="F1562" s="333"/>
      <c r="G1562" s="333"/>
      <c r="H1562" s="333"/>
      <c r="I1562" s="333"/>
      <c r="J1562" s="333"/>
    </row>
    <row r="1563" spans="3:10" x14ac:dyDescent="0.2">
      <c r="C1563" s="333"/>
      <c r="D1563" s="333"/>
      <c r="F1563" s="333"/>
      <c r="G1563" s="333"/>
      <c r="H1563" s="333"/>
      <c r="I1563" s="333"/>
      <c r="J1563" s="333"/>
    </row>
    <row r="1564" spans="3:10" x14ac:dyDescent="0.2">
      <c r="C1564" s="333"/>
      <c r="D1564" s="333"/>
      <c r="F1564" s="333"/>
      <c r="G1564" s="333"/>
      <c r="H1564" s="333"/>
      <c r="I1564" s="333"/>
      <c r="J1564" s="333"/>
    </row>
    <row r="1565" spans="3:10" x14ac:dyDescent="0.2">
      <c r="C1565" s="333"/>
      <c r="D1565" s="333"/>
      <c r="F1565" s="333"/>
      <c r="G1565" s="333"/>
      <c r="H1565" s="333"/>
      <c r="I1565" s="333"/>
      <c r="J1565" s="333"/>
    </row>
    <row r="1566" spans="3:10" x14ac:dyDescent="0.2">
      <c r="C1566" s="333"/>
      <c r="D1566" s="333"/>
      <c r="F1566" s="333"/>
      <c r="G1566" s="333"/>
      <c r="H1566" s="333"/>
      <c r="I1566" s="333"/>
      <c r="J1566" s="333"/>
    </row>
    <row r="1567" spans="3:10" x14ac:dyDescent="0.2">
      <c r="C1567" s="333"/>
      <c r="D1567" s="333"/>
      <c r="F1567" s="333"/>
      <c r="G1567" s="333"/>
      <c r="H1567" s="333"/>
      <c r="I1567" s="333"/>
      <c r="J1567" s="333"/>
    </row>
    <row r="1568" spans="3:10" x14ac:dyDescent="0.2">
      <c r="C1568" s="333"/>
      <c r="D1568" s="333"/>
      <c r="F1568" s="333"/>
      <c r="G1568" s="333"/>
      <c r="H1568" s="333"/>
      <c r="I1568" s="333"/>
      <c r="J1568" s="333"/>
    </row>
    <row r="1569" spans="3:10" x14ac:dyDescent="0.2">
      <c r="C1569" s="333"/>
      <c r="D1569" s="333"/>
      <c r="F1569" s="333"/>
      <c r="G1569" s="333"/>
      <c r="H1569" s="333"/>
      <c r="I1569" s="333"/>
      <c r="J1569" s="333"/>
    </row>
    <row r="1570" spans="3:10" x14ac:dyDescent="0.2">
      <c r="C1570" s="333"/>
      <c r="D1570" s="333"/>
      <c r="F1570" s="333"/>
      <c r="G1570" s="333"/>
      <c r="H1570" s="333"/>
      <c r="I1570" s="333"/>
      <c r="J1570" s="333"/>
    </row>
    <row r="1571" spans="3:10" x14ac:dyDescent="0.2">
      <c r="C1571" s="333"/>
      <c r="D1571" s="333"/>
      <c r="F1571" s="333"/>
      <c r="G1571" s="333"/>
      <c r="H1571" s="333"/>
      <c r="I1571" s="333"/>
      <c r="J1571" s="333"/>
    </row>
    <row r="1572" spans="3:10" x14ac:dyDescent="0.2">
      <c r="C1572" s="333"/>
      <c r="D1572" s="333"/>
      <c r="F1572" s="333"/>
      <c r="G1572" s="333"/>
      <c r="H1572" s="333"/>
      <c r="I1572" s="333"/>
      <c r="J1572" s="333"/>
    </row>
    <row r="1573" spans="3:10" x14ac:dyDescent="0.2">
      <c r="C1573" s="333"/>
      <c r="D1573" s="333"/>
      <c r="F1573" s="333"/>
      <c r="G1573" s="333"/>
      <c r="H1573" s="333"/>
      <c r="I1573" s="333"/>
      <c r="J1573" s="333"/>
    </row>
    <row r="1574" spans="3:10" x14ac:dyDescent="0.2">
      <c r="C1574" s="333"/>
      <c r="D1574" s="333"/>
      <c r="F1574" s="333"/>
      <c r="G1574" s="333"/>
      <c r="H1574" s="333"/>
      <c r="I1574" s="333"/>
      <c r="J1574" s="333"/>
    </row>
    <row r="1575" spans="3:10" x14ac:dyDescent="0.2">
      <c r="C1575" s="333"/>
      <c r="D1575" s="333"/>
      <c r="F1575" s="333"/>
      <c r="G1575" s="333"/>
      <c r="H1575" s="333"/>
      <c r="I1575" s="333"/>
      <c r="J1575" s="333"/>
    </row>
    <row r="1576" spans="3:10" x14ac:dyDescent="0.2">
      <c r="C1576" s="333"/>
      <c r="D1576" s="333"/>
      <c r="F1576" s="333"/>
      <c r="G1576" s="333"/>
      <c r="H1576" s="333"/>
      <c r="I1576" s="333"/>
      <c r="J1576" s="333"/>
    </row>
    <row r="1577" spans="3:10" x14ac:dyDescent="0.2">
      <c r="C1577" s="333"/>
      <c r="D1577" s="333"/>
      <c r="F1577" s="333"/>
      <c r="G1577" s="333"/>
      <c r="H1577" s="333"/>
      <c r="I1577" s="333"/>
      <c r="J1577" s="333"/>
    </row>
    <row r="1578" spans="3:10" x14ac:dyDescent="0.2">
      <c r="C1578" s="333"/>
      <c r="D1578" s="333"/>
      <c r="F1578" s="333"/>
      <c r="G1578" s="333"/>
      <c r="H1578" s="333"/>
      <c r="I1578" s="333"/>
      <c r="J1578" s="333"/>
    </row>
    <row r="1579" spans="3:10" x14ac:dyDescent="0.2">
      <c r="C1579" s="333"/>
      <c r="D1579" s="333"/>
      <c r="F1579" s="333"/>
      <c r="G1579" s="333"/>
      <c r="H1579" s="333"/>
      <c r="I1579" s="333"/>
      <c r="J1579" s="333"/>
    </row>
    <row r="1580" spans="3:10" x14ac:dyDescent="0.2">
      <c r="C1580" s="333"/>
      <c r="D1580" s="333"/>
      <c r="F1580" s="333"/>
      <c r="G1580" s="333"/>
      <c r="H1580" s="333"/>
      <c r="I1580" s="333"/>
      <c r="J1580" s="333"/>
    </row>
    <row r="1581" spans="3:10" x14ac:dyDescent="0.2">
      <c r="C1581" s="333"/>
      <c r="D1581" s="333"/>
      <c r="F1581" s="333"/>
      <c r="G1581" s="333"/>
      <c r="H1581" s="333"/>
      <c r="I1581" s="333"/>
      <c r="J1581" s="333"/>
    </row>
    <row r="1582" spans="3:10" x14ac:dyDescent="0.2">
      <c r="C1582" s="333"/>
      <c r="D1582" s="333"/>
      <c r="F1582" s="333"/>
      <c r="G1582" s="333"/>
      <c r="H1582" s="333"/>
      <c r="I1582" s="333"/>
      <c r="J1582" s="333"/>
    </row>
    <row r="1583" spans="3:10" x14ac:dyDescent="0.2">
      <c r="C1583" s="333"/>
      <c r="D1583" s="333"/>
      <c r="F1583" s="333"/>
      <c r="G1583" s="333"/>
      <c r="H1583" s="333"/>
      <c r="I1583" s="333"/>
      <c r="J1583" s="333"/>
    </row>
    <row r="1584" spans="3:10" x14ac:dyDescent="0.2">
      <c r="C1584" s="333"/>
      <c r="D1584" s="333"/>
      <c r="F1584" s="333"/>
      <c r="G1584" s="333"/>
      <c r="H1584" s="333"/>
      <c r="I1584" s="333"/>
      <c r="J1584" s="333"/>
    </row>
    <row r="1585" spans="3:10" x14ac:dyDescent="0.2">
      <c r="C1585" s="333"/>
      <c r="D1585" s="333"/>
      <c r="F1585" s="333"/>
      <c r="G1585" s="333"/>
      <c r="H1585" s="333"/>
      <c r="I1585" s="333"/>
      <c r="J1585" s="333"/>
    </row>
    <row r="1586" spans="3:10" x14ac:dyDescent="0.2">
      <c r="C1586" s="333"/>
      <c r="D1586" s="333"/>
      <c r="F1586" s="333"/>
      <c r="G1586" s="333"/>
      <c r="H1586" s="333"/>
      <c r="I1586" s="333"/>
      <c r="J1586" s="333"/>
    </row>
    <row r="1587" spans="3:10" x14ac:dyDescent="0.2">
      <c r="C1587" s="333"/>
      <c r="D1587" s="333"/>
      <c r="F1587" s="333"/>
      <c r="G1587" s="333"/>
      <c r="H1587" s="333"/>
      <c r="I1587" s="333"/>
      <c r="J1587" s="333"/>
    </row>
    <row r="1588" spans="3:10" x14ac:dyDescent="0.2">
      <c r="C1588" s="333"/>
      <c r="D1588" s="333"/>
      <c r="F1588" s="333"/>
      <c r="G1588" s="333"/>
      <c r="H1588" s="333"/>
      <c r="I1588" s="333"/>
      <c r="J1588" s="333"/>
    </row>
    <row r="1589" spans="3:10" x14ac:dyDescent="0.2">
      <c r="C1589" s="333"/>
      <c r="D1589" s="333"/>
      <c r="F1589" s="333"/>
      <c r="G1589" s="333"/>
      <c r="H1589" s="333"/>
      <c r="I1589" s="333"/>
      <c r="J1589" s="333"/>
    </row>
    <row r="1590" spans="3:10" x14ac:dyDescent="0.2">
      <c r="C1590" s="333"/>
      <c r="D1590" s="333"/>
      <c r="F1590" s="333"/>
      <c r="G1590" s="333"/>
      <c r="H1590" s="333"/>
      <c r="I1590" s="333"/>
      <c r="J1590" s="333"/>
    </row>
    <row r="1591" spans="3:10" x14ac:dyDescent="0.2">
      <c r="C1591" s="333"/>
      <c r="D1591" s="333"/>
      <c r="F1591" s="333"/>
      <c r="G1591" s="333"/>
      <c r="H1591" s="333"/>
      <c r="I1591" s="333"/>
      <c r="J1591" s="333"/>
    </row>
    <row r="1592" spans="3:10" x14ac:dyDescent="0.2">
      <c r="C1592" s="333"/>
      <c r="D1592" s="333"/>
      <c r="F1592" s="333"/>
      <c r="G1592" s="333"/>
      <c r="H1592" s="333"/>
      <c r="I1592" s="333"/>
      <c r="J1592" s="333"/>
    </row>
    <row r="1593" spans="3:10" x14ac:dyDescent="0.2">
      <c r="C1593" s="333"/>
      <c r="D1593" s="333"/>
      <c r="F1593" s="333"/>
      <c r="G1593" s="333"/>
      <c r="H1593" s="333"/>
      <c r="I1593" s="333"/>
      <c r="J1593" s="333"/>
    </row>
    <row r="1594" spans="3:10" x14ac:dyDescent="0.2">
      <c r="C1594" s="333"/>
      <c r="D1594" s="333"/>
      <c r="F1594" s="333"/>
      <c r="G1594" s="333"/>
      <c r="H1594" s="333"/>
      <c r="I1594" s="333"/>
      <c r="J1594" s="333"/>
    </row>
    <row r="1595" spans="3:10" x14ac:dyDescent="0.2">
      <c r="C1595" s="333"/>
      <c r="D1595" s="333"/>
      <c r="F1595" s="333"/>
      <c r="G1595" s="333"/>
      <c r="H1595" s="333"/>
      <c r="I1595" s="333"/>
      <c r="J1595" s="333"/>
    </row>
    <row r="1596" spans="3:10" x14ac:dyDescent="0.2">
      <c r="C1596" s="333"/>
      <c r="D1596" s="333"/>
      <c r="F1596" s="333"/>
      <c r="G1596" s="333"/>
      <c r="H1596" s="333"/>
      <c r="I1596" s="333"/>
      <c r="J1596" s="333"/>
    </row>
    <row r="1597" spans="3:10" x14ac:dyDescent="0.2">
      <c r="C1597" s="333"/>
      <c r="D1597" s="333"/>
      <c r="F1597" s="333"/>
      <c r="G1597" s="333"/>
      <c r="H1597" s="333"/>
      <c r="I1597" s="333"/>
      <c r="J1597" s="333"/>
    </row>
    <row r="1598" spans="3:10" x14ac:dyDescent="0.2">
      <c r="C1598" s="333"/>
      <c r="D1598" s="333"/>
      <c r="F1598" s="333"/>
      <c r="G1598" s="333"/>
      <c r="H1598" s="333"/>
      <c r="I1598" s="333"/>
      <c r="J1598" s="333"/>
    </row>
    <row r="1599" spans="3:10" x14ac:dyDescent="0.2">
      <c r="C1599" s="333"/>
      <c r="D1599" s="333"/>
      <c r="F1599" s="333"/>
      <c r="G1599" s="333"/>
      <c r="H1599" s="333"/>
      <c r="I1599" s="333"/>
      <c r="J1599" s="333"/>
    </row>
    <row r="1600" spans="3:10" x14ac:dyDescent="0.2">
      <c r="C1600" s="333"/>
      <c r="D1600" s="333"/>
      <c r="F1600" s="333"/>
      <c r="G1600" s="333"/>
      <c r="H1600" s="333"/>
      <c r="I1600" s="333"/>
      <c r="J1600" s="333"/>
    </row>
    <row r="1601" spans="3:10" x14ac:dyDescent="0.2">
      <c r="C1601" s="333"/>
      <c r="D1601" s="333"/>
      <c r="F1601" s="333"/>
      <c r="G1601" s="333"/>
      <c r="H1601" s="333"/>
      <c r="I1601" s="333"/>
      <c r="J1601" s="333"/>
    </row>
    <row r="1602" spans="3:10" x14ac:dyDescent="0.2">
      <c r="C1602" s="333"/>
      <c r="D1602" s="333"/>
      <c r="F1602" s="333"/>
      <c r="G1602" s="333"/>
      <c r="H1602" s="333"/>
      <c r="I1602" s="333"/>
      <c r="J1602" s="333"/>
    </row>
    <row r="1603" spans="3:10" x14ac:dyDescent="0.2">
      <c r="C1603" s="333"/>
      <c r="D1603" s="333"/>
      <c r="F1603" s="333"/>
      <c r="G1603" s="333"/>
      <c r="H1603" s="333"/>
      <c r="I1603" s="333"/>
      <c r="J1603" s="333"/>
    </row>
    <row r="1604" spans="3:10" x14ac:dyDescent="0.2">
      <c r="C1604" s="333"/>
      <c r="D1604" s="333"/>
      <c r="F1604" s="333"/>
      <c r="G1604" s="333"/>
      <c r="H1604" s="333"/>
      <c r="I1604" s="333"/>
      <c r="J1604" s="333"/>
    </row>
    <row r="1605" spans="3:10" x14ac:dyDescent="0.2">
      <c r="C1605" s="333"/>
      <c r="D1605" s="333"/>
      <c r="F1605" s="333"/>
      <c r="G1605" s="333"/>
      <c r="H1605" s="333"/>
      <c r="I1605" s="333"/>
      <c r="J1605" s="333"/>
    </row>
    <row r="1606" spans="3:10" x14ac:dyDescent="0.2">
      <c r="C1606" s="333"/>
      <c r="D1606" s="333"/>
      <c r="F1606" s="333"/>
      <c r="G1606" s="333"/>
      <c r="H1606" s="333"/>
      <c r="I1606" s="333"/>
      <c r="J1606" s="333"/>
    </row>
    <row r="1607" spans="3:10" x14ac:dyDescent="0.2">
      <c r="C1607" s="333"/>
      <c r="D1607" s="333"/>
      <c r="F1607" s="333"/>
      <c r="G1607" s="333"/>
      <c r="H1607" s="333"/>
      <c r="I1607" s="333"/>
      <c r="J1607" s="333"/>
    </row>
    <row r="1608" spans="3:10" x14ac:dyDescent="0.2">
      <c r="C1608" s="333"/>
      <c r="D1608" s="333"/>
      <c r="F1608" s="333"/>
      <c r="G1608" s="333"/>
      <c r="H1608" s="333"/>
      <c r="I1608" s="333"/>
      <c r="J1608" s="333"/>
    </row>
    <row r="1609" spans="3:10" x14ac:dyDescent="0.2">
      <c r="C1609" s="333"/>
      <c r="D1609" s="333"/>
      <c r="F1609" s="333"/>
      <c r="G1609" s="333"/>
      <c r="H1609" s="333"/>
      <c r="I1609" s="333"/>
      <c r="J1609" s="333"/>
    </row>
    <row r="1610" spans="3:10" x14ac:dyDescent="0.2">
      <c r="C1610" s="333"/>
      <c r="D1610" s="333"/>
      <c r="F1610" s="333"/>
      <c r="G1610" s="333"/>
      <c r="H1610" s="333"/>
      <c r="I1610" s="333"/>
      <c r="J1610" s="333"/>
    </row>
    <row r="1611" spans="3:10" x14ac:dyDescent="0.2">
      <c r="C1611" s="333"/>
      <c r="D1611" s="333"/>
      <c r="F1611" s="333"/>
      <c r="G1611" s="333"/>
      <c r="H1611" s="333"/>
      <c r="I1611" s="333"/>
      <c r="J1611" s="333"/>
    </row>
    <row r="1612" spans="3:10" x14ac:dyDescent="0.2">
      <c r="C1612" s="333"/>
      <c r="D1612" s="333"/>
      <c r="F1612" s="333"/>
      <c r="G1612" s="333"/>
      <c r="H1612" s="333"/>
      <c r="I1612" s="333"/>
      <c r="J1612" s="333"/>
    </row>
    <row r="1613" spans="3:10" x14ac:dyDescent="0.2">
      <c r="C1613" s="333"/>
      <c r="D1613" s="333"/>
      <c r="F1613" s="333"/>
      <c r="G1613" s="333"/>
      <c r="H1613" s="333"/>
      <c r="I1613" s="333"/>
      <c r="J1613" s="333"/>
    </row>
    <row r="1614" spans="3:10" x14ac:dyDescent="0.2">
      <c r="C1614" s="333"/>
      <c r="D1614" s="333"/>
      <c r="F1614" s="333"/>
      <c r="G1614" s="333"/>
      <c r="H1614" s="333"/>
      <c r="I1614" s="333"/>
      <c r="J1614" s="333"/>
    </row>
    <row r="1615" spans="3:10" x14ac:dyDescent="0.2">
      <c r="C1615" s="333"/>
      <c r="D1615" s="333"/>
      <c r="F1615" s="333"/>
      <c r="G1615" s="333"/>
      <c r="H1615" s="333"/>
      <c r="I1615" s="333"/>
      <c r="J1615" s="333"/>
    </row>
    <row r="1616" spans="3:10" x14ac:dyDescent="0.2">
      <c r="C1616" s="333"/>
      <c r="D1616" s="333"/>
      <c r="F1616" s="333"/>
      <c r="G1616" s="333"/>
      <c r="H1616" s="333"/>
      <c r="I1616" s="333"/>
      <c r="J1616" s="333"/>
    </row>
    <row r="1617" spans="3:10" x14ac:dyDescent="0.2">
      <c r="C1617" s="333"/>
      <c r="D1617" s="333"/>
      <c r="F1617" s="333"/>
      <c r="G1617" s="333"/>
      <c r="H1617" s="333"/>
      <c r="I1617" s="333"/>
      <c r="J1617" s="333"/>
    </row>
    <row r="1618" spans="3:10" x14ac:dyDescent="0.2">
      <c r="C1618" s="333"/>
      <c r="D1618" s="333"/>
      <c r="F1618" s="333"/>
      <c r="G1618" s="333"/>
      <c r="H1618" s="333"/>
      <c r="I1618" s="333"/>
      <c r="J1618" s="333"/>
    </row>
    <row r="1619" spans="3:10" x14ac:dyDescent="0.2">
      <c r="C1619" s="333"/>
      <c r="D1619" s="333"/>
      <c r="F1619" s="333"/>
      <c r="G1619" s="333"/>
      <c r="H1619" s="333"/>
      <c r="I1619" s="333"/>
      <c r="J1619" s="333"/>
    </row>
    <row r="1620" spans="3:10" x14ac:dyDescent="0.2">
      <c r="C1620" s="333"/>
      <c r="D1620" s="333"/>
      <c r="F1620" s="333"/>
      <c r="G1620" s="333"/>
      <c r="H1620" s="333"/>
      <c r="I1620" s="333"/>
      <c r="J1620" s="333"/>
    </row>
    <row r="1621" spans="3:10" x14ac:dyDescent="0.2">
      <c r="C1621" s="333"/>
      <c r="D1621" s="333"/>
      <c r="F1621" s="333"/>
      <c r="G1621" s="333"/>
      <c r="H1621" s="333"/>
      <c r="I1621" s="333"/>
      <c r="J1621" s="333"/>
    </row>
    <row r="1622" spans="3:10" x14ac:dyDescent="0.2">
      <c r="C1622" s="333"/>
      <c r="D1622" s="333"/>
      <c r="F1622" s="333"/>
      <c r="G1622" s="333"/>
      <c r="H1622" s="333"/>
      <c r="I1622" s="333"/>
      <c r="J1622" s="333"/>
    </row>
    <row r="1623" spans="3:10" x14ac:dyDescent="0.2">
      <c r="C1623" s="333"/>
      <c r="D1623" s="333"/>
      <c r="F1623" s="333"/>
      <c r="G1623" s="333"/>
      <c r="H1623" s="333"/>
      <c r="I1623" s="333"/>
      <c r="J1623" s="333"/>
    </row>
    <row r="1624" spans="3:10" x14ac:dyDescent="0.2">
      <c r="C1624" s="333"/>
      <c r="D1624" s="333"/>
      <c r="F1624" s="333"/>
      <c r="G1624" s="333"/>
      <c r="H1624" s="333"/>
      <c r="I1624" s="333"/>
      <c r="J1624" s="333"/>
    </row>
    <row r="1625" spans="3:10" x14ac:dyDescent="0.2">
      <c r="C1625" s="333"/>
      <c r="D1625" s="333"/>
      <c r="F1625" s="333"/>
      <c r="G1625" s="333"/>
      <c r="H1625" s="333"/>
      <c r="I1625" s="333"/>
      <c r="J1625" s="333"/>
    </row>
    <row r="1626" spans="3:10" x14ac:dyDescent="0.2">
      <c r="C1626" s="333"/>
      <c r="D1626" s="333"/>
      <c r="F1626" s="333"/>
      <c r="G1626" s="333"/>
      <c r="H1626" s="333"/>
      <c r="I1626" s="333"/>
      <c r="J1626" s="333"/>
    </row>
    <row r="1627" spans="3:10" x14ac:dyDescent="0.2">
      <c r="C1627" s="333"/>
      <c r="D1627" s="333"/>
      <c r="F1627" s="333"/>
      <c r="G1627" s="333"/>
      <c r="H1627" s="333"/>
      <c r="I1627" s="333"/>
      <c r="J1627" s="333"/>
    </row>
    <row r="1628" spans="3:10" x14ac:dyDescent="0.2">
      <c r="C1628" s="333"/>
      <c r="D1628" s="333"/>
      <c r="F1628" s="333"/>
      <c r="G1628" s="333"/>
      <c r="H1628" s="333"/>
      <c r="I1628" s="333"/>
      <c r="J1628" s="333"/>
    </row>
    <row r="1629" spans="3:10" x14ac:dyDescent="0.2">
      <c r="C1629" s="333"/>
      <c r="D1629" s="333"/>
      <c r="F1629" s="333"/>
      <c r="G1629" s="333"/>
      <c r="H1629" s="333"/>
      <c r="I1629" s="333"/>
      <c r="J1629" s="333"/>
    </row>
    <row r="1630" spans="3:10" x14ac:dyDescent="0.2">
      <c r="C1630" s="333"/>
      <c r="D1630" s="333"/>
      <c r="F1630" s="333"/>
      <c r="G1630" s="333"/>
      <c r="H1630" s="333"/>
      <c r="I1630" s="333"/>
      <c r="J1630" s="333"/>
    </row>
    <row r="1631" spans="3:10" x14ac:dyDescent="0.2">
      <c r="C1631" s="333"/>
      <c r="D1631" s="333"/>
      <c r="F1631" s="333"/>
      <c r="G1631" s="333"/>
      <c r="H1631" s="333"/>
      <c r="I1631" s="333"/>
      <c r="J1631" s="333"/>
    </row>
    <row r="1632" spans="3:10" x14ac:dyDescent="0.2">
      <c r="C1632" s="333"/>
      <c r="D1632" s="333"/>
      <c r="F1632" s="333"/>
      <c r="G1632" s="333"/>
      <c r="H1632" s="333"/>
      <c r="I1632" s="333"/>
      <c r="J1632" s="333"/>
    </row>
    <row r="1633" spans="3:10" x14ac:dyDescent="0.2">
      <c r="C1633" s="333"/>
      <c r="D1633" s="333"/>
      <c r="F1633" s="333"/>
      <c r="G1633" s="333"/>
      <c r="H1633" s="333"/>
      <c r="I1633" s="333"/>
      <c r="J1633" s="333"/>
    </row>
    <row r="1634" spans="3:10" x14ac:dyDescent="0.2">
      <c r="C1634" s="333"/>
      <c r="D1634" s="333"/>
      <c r="F1634" s="333"/>
      <c r="G1634" s="333"/>
      <c r="H1634" s="333"/>
      <c r="I1634" s="333"/>
      <c r="J1634" s="333"/>
    </row>
    <row r="1635" spans="3:10" x14ac:dyDescent="0.2">
      <c r="C1635" s="333"/>
      <c r="D1635" s="333"/>
      <c r="F1635" s="333"/>
      <c r="G1635" s="333"/>
      <c r="H1635" s="333"/>
      <c r="I1635" s="333"/>
      <c r="J1635" s="333"/>
    </row>
    <row r="1636" spans="3:10" x14ac:dyDescent="0.2">
      <c r="C1636" s="333"/>
      <c r="D1636" s="333"/>
      <c r="F1636" s="333"/>
      <c r="G1636" s="333"/>
      <c r="H1636" s="333"/>
      <c r="I1636" s="333"/>
      <c r="J1636" s="333"/>
    </row>
    <row r="1637" spans="3:10" x14ac:dyDescent="0.2">
      <c r="C1637" s="333"/>
      <c r="D1637" s="333"/>
      <c r="F1637" s="333"/>
      <c r="G1637" s="333"/>
      <c r="H1637" s="333"/>
      <c r="I1637" s="333"/>
      <c r="J1637" s="333"/>
    </row>
    <row r="1638" spans="3:10" x14ac:dyDescent="0.2">
      <c r="C1638" s="333"/>
      <c r="D1638" s="333"/>
      <c r="F1638" s="333"/>
      <c r="G1638" s="333"/>
      <c r="H1638" s="333"/>
      <c r="I1638" s="333"/>
      <c r="J1638" s="333"/>
    </row>
    <row r="1639" spans="3:10" x14ac:dyDescent="0.2">
      <c r="C1639" s="333"/>
      <c r="D1639" s="333"/>
      <c r="F1639" s="333"/>
      <c r="G1639" s="333"/>
      <c r="H1639" s="333"/>
      <c r="I1639" s="333"/>
      <c r="J1639" s="333"/>
    </row>
    <row r="1640" spans="3:10" x14ac:dyDescent="0.2">
      <c r="C1640" s="333"/>
      <c r="D1640" s="333"/>
      <c r="F1640" s="333"/>
      <c r="G1640" s="333"/>
      <c r="H1640" s="333"/>
      <c r="I1640" s="333"/>
      <c r="J1640" s="333"/>
    </row>
    <row r="1641" spans="3:10" x14ac:dyDescent="0.2">
      <c r="C1641" s="333"/>
      <c r="D1641" s="333"/>
      <c r="F1641" s="333"/>
      <c r="G1641" s="333"/>
      <c r="H1641" s="333"/>
      <c r="I1641" s="333"/>
      <c r="J1641" s="333"/>
    </row>
    <row r="1642" spans="3:10" x14ac:dyDescent="0.2">
      <c r="C1642" s="333"/>
      <c r="D1642" s="333"/>
      <c r="F1642" s="333"/>
      <c r="G1642" s="333"/>
      <c r="H1642" s="333"/>
      <c r="I1642" s="333"/>
      <c r="J1642" s="333"/>
    </row>
    <row r="1643" spans="3:10" x14ac:dyDescent="0.2">
      <c r="C1643" s="333"/>
      <c r="D1643" s="333"/>
      <c r="F1643" s="333"/>
      <c r="G1643" s="333"/>
      <c r="H1643" s="333"/>
      <c r="I1643" s="333"/>
      <c r="J1643" s="333"/>
    </row>
    <row r="1644" spans="3:10" x14ac:dyDescent="0.2">
      <c r="C1644" s="333"/>
      <c r="D1644" s="333"/>
      <c r="F1644" s="333"/>
      <c r="G1644" s="333"/>
      <c r="H1644" s="333"/>
      <c r="I1644" s="333"/>
      <c r="J1644" s="333"/>
    </row>
    <row r="1645" spans="3:10" x14ac:dyDescent="0.2">
      <c r="C1645" s="333"/>
      <c r="D1645" s="333"/>
      <c r="F1645" s="333"/>
      <c r="G1645" s="333"/>
      <c r="H1645" s="333"/>
      <c r="I1645" s="333"/>
      <c r="J1645" s="333"/>
    </row>
    <row r="1646" spans="3:10" x14ac:dyDescent="0.2">
      <c r="C1646" s="333"/>
      <c r="D1646" s="333"/>
      <c r="F1646" s="333"/>
      <c r="G1646" s="333"/>
      <c r="H1646" s="333"/>
      <c r="I1646" s="333"/>
      <c r="J1646" s="333"/>
    </row>
    <row r="1647" spans="3:10" x14ac:dyDescent="0.2">
      <c r="C1647" s="333"/>
      <c r="D1647" s="333"/>
      <c r="F1647" s="333"/>
      <c r="G1647" s="333"/>
      <c r="H1647" s="333"/>
      <c r="I1647" s="333"/>
      <c r="J1647" s="333"/>
    </row>
    <row r="1648" spans="3:10" x14ac:dyDescent="0.2">
      <c r="C1648" s="333"/>
      <c r="D1648" s="333"/>
      <c r="F1648" s="333"/>
      <c r="G1648" s="333"/>
      <c r="H1648" s="333"/>
      <c r="I1648" s="333"/>
      <c r="J1648" s="333"/>
    </row>
    <row r="1649" spans="3:10" x14ac:dyDescent="0.2">
      <c r="C1649" s="333"/>
      <c r="D1649" s="333"/>
      <c r="F1649" s="333"/>
      <c r="G1649" s="333"/>
      <c r="H1649" s="333"/>
      <c r="I1649" s="333"/>
      <c r="J1649" s="333"/>
    </row>
    <row r="1650" spans="3:10" x14ac:dyDescent="0.2">
      <c r="C1650" s="333"/>
      <c r="D1650" s="333"/>
      <c r="F1650" s="333"/>
      <c r="G1650" s="333"/>
      <c r="H1650" s="333"/>
      <c r="I1650" s="333"/>
      <c r="J1650" s="333"/>
    </row>
    <row r="1651" spans="3:10" x14ac:dyDescent="0.2">
      <c r="C1651" s="333"/>
      <c r="D1651" s="333"/>
      <c r="F1651" s="333"/>
      <c r="G1651" s="333"/>
      <c r="H1651" s="333"/>
      <c r="I1651" s="333"/>
      <c r="J1651" s="333"/>
    </row>
    <row r="1652" spans="3:10" x14ac:dyDescent="0.2">
      <c r="C1652" s="333"/>
      <c r="D1652" s="333"/>
      <c r="F1652" s="333"/>
      <c r="G1652" s="333"/>
      <c r="H1652" s="333"/>
      <c r="I1652" s="333"/>
      <c r="J1652" s="333"/>
    </row>
    <row r="1653" spans="3:10" x14ac:dyDescent="0.2">
      <c r="C1653" s="333"/>
      <c r="D1653" s="333"/>
      <c r="F1653" s="333"/>
      <c r="G1653" s="333"/>
      <c r="H1653" s="333"/>
      <c r="I1653" s="333"/>
      <c r="J1653" s="333"/>
    </row>
    <row r="1654" spans="3:10" x14ac:dyDescent="0.2">
      <c r="C1654" s="333"/>
      <c r="D1654" s="333"/>
      <c r="F1654" s="333"/>
      <c r="G1654" s="333"/>
      <c r="H1654" s="333"/>
      <c r="I1654" s="333"/>
      <c r="J1654" s="333"/>
    </row>
    <row r="1655" spans="3:10" x14ac:dyDescent="0.2">
      <c r="C1655" s="333"/>
      <c r="D1655" s="333"/>
      <c r="F1655" s="333"/>
      <c r="G1655" s="333"/>
      <c r="H1655" s="333"/>
      <c r="I1655" s="333"/>
      <c r="J1655" s="333"/>
    </row>
    <row r="1656" spans="3:10" x14ac:dyDescent="0.2">
      <c r="C1656" s="333"/>
      <c r="D1656" s="333"/>
      <c r="F1656" s="333"/>
      <c r="G1656" s="333"/>
      <c r="H1656" s="333"/>
      <c r="I1656" s="333"/>
      <c r="J1656" s="333"/>
    </row>
    <row r="1657" spans="3:10" x14ac:dyDescent="0.2">
      <c r="C1657" s="333"/>
      <c r="D1657" s="333"/>
      <c r="F1657" s="333"/>
      <c r="G1657" s="333"/>
      <c r="H1657" s="333"/>
      <c r="I1657" s="333"/>
      <c r="J1657" s="333"/>
    </row>
    <row r="1658" spans="3:10" x14ac:dyDescent="0.2">
      <c r="C1658" s="333"/>
      <c r="D1658" s="333"/>
      <c r="F1658" s="333"/>
      <c r="G1658" s="333"/>
      <c r="H1658" s="333"/>
      <c r="I1658" s="333"/>
      <c r="J1658" s="333"/>
    </row>
    <row r="1659" spans="3:10" x14ac:dyDescent="0.2">
      <c r="C1659" s="333"/>
      <c r="D1659" s="333"/>
      <c r="F1659" s="333"/>
      <c r="G1659" s="333"/>
      <c r="H1659" s="333"/>
      <c r="I1659" s="333"/>
      <c r="J1659" s="333"/>
    </row>
    <row r="1660" spans="3:10" x14ac:dyDescent="0.2">
      <c r="C1660" s="333"/>
      <c r="D1660" s="333"/>
      <c r="F1660" s="333"/>
      <c r="G1660" s="333"/>
      <c r="H1660" s="333"/>
      <c r="I1660" s="333"/>
      <c r="J1660" s="333"/>
    </row>
    <row r="1661" spans="3:10" x14ac:dyDescent="0.2">
      <c r="C1661" s="333"/>
      <c r="D1661" s="333"/>
      <c r="F1661" s="333"/>
      <c r="G1661" s="333"/>
      <c r="H1661" s="333"/>
      <c r="I1661" s="333"/>
      <c r="J1661" s="333"/>
    </row>
    <row r="1662" spans="3:10" x14ac:dyDescent="0.2">
      <c r="C1662" s="333"/>
      <c r="D1662" s="333"/>
      <c r="F1662" s="333"/>
      <c r="G1662" s="333"/>
      <c r="H1662" s="333"/>
      <c r="I1662" s="333"/>
      <c r="J1662" s="333"/>
    </row>
    <row r="1663" spans="3:10" x14ac:dyDescent="0.2">
      <c r="C1663" s="333"/>
      <c r="D1663" s="333"/>
      <c r="F1663" s="333"/>
      <c r="G1663" s="333"/>
      <c r="H1663" s="333"/>
      <c r="I1663" s="333"/>
      <c r="J1663" s="333"/>
    </row>
    <row r="1664" spans="3:10" x14ac:dyDescent="0.2">
      <c r="C1664" s="333"/>
      <c r="D1664" s="333"/>
      <c r="F1664" s="333"/>
      <c r="G1664" s="333"/>
      <c r="H1664" s="333"/>
      <c r="I1664" s="333"/>
      <c r="J1664" s="333"/>
    </row>
    <row r="1665" spans="3:10" x14ac:dyDescent="0.2">
      <c r="C1665" s="333"/>
      <c r="D1665" s="333"/>
      <c r="F1665" s="333"/>
      <c r="G1665" s="333"/>
      <c r="H1665" s="333"/>
      <c r="I1665" s="333"/>
      <c r="J1665" s="333"/>
    </row>
    <row r="1666" spans="3:10" x14ac:dyDescent="0.2">
      <c r="C1666" s="333"/>
      <c r="D1666" s="333"/>
      <c r="F1666" s="333"/>
      <c r="G1666" s="333"/>
      <c r="H1666" s="333"/>
      <c r="I1666" s="333"/>
      <c r="J1666" s="333"/>
    </row>
    <row r="1667" spans="3:10" x14ac:dyDescent="0.2">
      <c r="C1667" s="333"/>
      <c r="D1667" s="333"/>
      <c r="F1667" s="333"/>
      <c r="G1667" s="333"/>
      <c r="H1667" s="333"/>
      <c r="I1667" s="333"/>
      <c r="J1667" s="333"/>
    </row>
    <row r="1668" spans="3:10" x14ac:dyDescent="0.2">
      <c r="C1668" s="333"/>
      <c r="D1668" s="333"/>
      <c r="F1668" s="333"/>
      <c r="G1668" s="333"/>
      <c r="H1668" s="333"/>
      <c r="I1668" s="333"/>
      <c r="J1668" s="333"/>
    </row>
    <row r="1669" spans="3:10" x14ac:dyDescent="0.2">
      <c r="C1669" s="333"/>
      <c r="D1669" s="333"/>
      <c r="F1669" s="333"/>
      <c r="G1669" s="333"/>
      <c r="H1669" s="333"/>
      <c r="I1669" s="333"/>
      <c r="J1669" s="333"/>
    </row>
    <row r="1670" spans="3:10" x14ac:dyDescent="0.2">
      <c r="C1670" s="333"/>
      <c r="D1670" s="333"/>
      <c r="F1670" s="333"/>
      <c r="G1670" s="333"/>
      <c r="H1670" s="333"/>
      <c r="I1670" s="333"/>
      <c r="J1670" s="333"/>
    </row>
    <row r="1671" spans="3:10" x14ac:dyDescent="0.2">
      <c r="C1671" s="333"/>
      <c r="D1671" s="333"/>
      <c r="F1671" s="333"/>
      <c r="G1671" s="333"/>
      <c r="H1671" s="333"/>
      <c r="I1671" s="333"/>
      <c r="J1671" s="333"/>
    </row>
    <row r="1672" spans="3:10" x14ac:dyDescent="0.2">
      <c r="C1672" s="333"/>
      <c r="D1672" s="333"/>
      <c r="F1672" s="333"/>
      <c r="G1672" s="333"/>
      <c r="H1672" s="333"/>
      <c r="I1672" s="333"/>
      <c r="J1672" s="333"/>
    </row>
    <row r="1673" spans="3:10" x14ac:dyDescent="0.2">
      <c r="C1673" s="333"/>
      <c r="D1673" s="333"/>
      <c r="F1673" s="333"/>
      <c r="G1673" s="333"/>
      <c r="H1673" s="333"/>
      <c r="I1673" s="333"/>
      <c r="J1673" s="333"/>
    </row>
    <row r="1674" spans="3:10" x14ac:dyDescent="0.2">
      <c r="C1674" s="333"/>
      <c r="D1674" s="333"/>
      <c r="F1674" s="333"/>
      <c r="G1674" s="333"/>
      <c r="H1674" s="333"/>
      <c r="I1674" s="333"/>
      <c r="J1674" s="333"/>
    </row>
    <row r="1675" spans="3:10" x14ac:dyDescent="0.2">
      <c r="C1675" s="333"/>
      <c r="D1675" s="333"/>
      <c r="F1675" s="333"/>
      <c r="G1675" s="333"/>
      <c r="H1675" s="333"/>
      <c r="I1675" s="333"/>
      <c r="J1675" s="333"/>
    </row>
    <row r="1676" spans="3:10" x14ac:dyDescent="0.2">
      <c r="C1676" s="333"/>
      <c r="D1676" s="333"/>
      <c r="F1676" s="333"/>
      <c r="G1676" s="333"/>
      <c r="H1676" s="333"/>
      <c r="I1676" s="333"/>
      <c r="J1676" s="333"/>
    </row>
    <row r="1677" spans="3:10" x14ac:dyDescent="0.2">
      <c r="C1677" s="333"/>
      <c r="D1677" s="333"/>
      <c r="F1677" s="333"/>
      <c r="G1677" s="333"/>
      <c r="H1677" s="333"/>
      <c r="I1677" s="333"/>
      <c r="J1677" s="333"/>
    </row>
    <row r="1678" spans="3:10" x14ac:dyDescent="0.2">
      <c r="C1678" s="333"/>
      <c r="D1678" s="333"/>
      <c r="F1678" s="333"/>
      <c r="G1678" s="333"/>
      <c r="H1678" s="333"/>
      <c r="I1678" s="333"/>
      <c r="J1678" s="333"/>
    </row>
    <row r="1679" spans="3:10" x14ac:dyDescent="0.2">
      <c r="C1679" s="333"/>
      <c r="D1679" s="333"/>
      <c r="F1679" s="333"/>
      <c r="G1679" s="333"/>
      <c r="H1679" s="333"/>
      <c r="I1679" s="333"/>
      <c r="J1679" s="333"/>
    </row>
    <row r="1680" spans="3:10" x14ac:dyDescent="0.2">
      <c r="C1680" s="333"/>
      <c r="D1680" s="333"/>
      <c r="F1680" s="333"/>
      <c r="G1680" s="333"/>
      <c r="H1680" s="333"/>
      <c r="I1680" s="333"/>
      <c r="J1680" s="333"/>
    </row>
    <row r="1681" spans="3:10" x14ac:dyDescent="0.2">
      <c r="C1681" s="333"/>
      <c r="D1681" s="333"/>
      <c r="F1681" s="333"/>
      <c r="G1681" s="333"/>
      <c r="H1681" s="333"/>
      <c r="I1681" s="333"/>
      <c r="J1681" s="333"/>
    </row>
    <row r="1682" spans="3:10" x14ac:dyDescent="0.2">
      <c r="C1682" s="333"/>
      <c r="D1682" s="333"/>
      <c r="F1682" s="333"/>
      <c r="G1682" s="333"/>
      <c r="H1682" s="333"/>
      <c r="I1682" s="333"/>
      <c r="J1682" s="333"/>
    </row>
    <row r="1683" spans="3:10" x14ac:dyDescent="0.2">
      <c r="C1683" s="333"/>
      <c r="D1683" s="333"/>
      <c r="F1683" s="333"/>
      <c r="G1683" s="333"/>
      <c r="H1683" s="333"/>
      <c r="I1683" s="333"/>
      <c r="J1683" s="333"/>
    </row>
    <row r="1684" spans="3:10" x14ac:dyDescent="0.2">
      <c r="C1684" s="333"/>
      <c r="D1684" s="333"/>
      <c r="F1684" s="333"/>
      <c r="G1684" s="333"/>
      <c r="H1684" s="333"/>
      <c r="I1684" s="333"/>
      <c r="J1684" s="333"/>
    </row>
    <row r="1685" spans="3:10" x14ac:dyDescent="0.2">
      <c r="C1685" s="333"/>
      <c r="D1685" s="333"/>
      <c r="F1685" s="333"/>
      <c r="G1685" s="333"/>
      <c r="H1685" s="333"/>
      <c r="I1685" s="333"/>
      <c r="J1685" s="333"/>
    </row>
    <row r="1686" spans="3:10" x14ac:dyDescent="0.2">
      <c r="C1686" s="333"/>
      <c r="D1686" s="333"/>
      <c r="F1686" s="333"/>
      <c r="G1686" s="333"/>
      <c r="H1686" s="333"/>
      <c r="I1686" s="333"/>
      <c r="J1686" s="333"/>
    </row>
    <row r="1687" spans="3:10" x14ac:dyDescent="0.2">
      <c r="C1687" s="333"/>
      <c r="D1687" s="333"/>
      <c r="F1687" s="333"/>
      <c r="G1687" s="333"/>
      <c r="H1687" s="333"/>
      <c r="I1687" s="333"/>
      <c r="J1687" s="333"/>
    </row>
    <row r="1688" spans="3:10" x14ac:dyDescent="0.2">
      <c r="C1688" s="333"/>
      <c r="D1688" s="333"/>
      <c r="F1688" s="333"/>
      <c r="G1688" s="333"/>
      <c r="H1688" s="333"/>
      <c r="I1688" s="333"/>
      <c r="J1688" s="333"/>
    </row>
    <row r="1689" spans="3:10" x14ac:dyDescent="0.2">
      <c r="C1689" s="333"/>
      <c r="D1689" s="333"/>
      <c r="F1689" s="333"/>
      <c r="G1689" s="333"/>
      <c r="H1689" s="333"/>
      <c r="I1689" s="333"/>
      <c r="J1689" s="333"/>
    </row>
    <row r="1690" spans="3:10" x14ac:dyDescent="0.2">
      <c r="C1690" s="333"/>
      <c r="D1690" s="333"/>
      <c r="F1690" s="333"/>
      <c r="G1690" s="333"/>
      <c r="H1690" s="333"/>
      <c r="I1690" s="333"/>
      <c r="J1690" s="333"/>
    </row>
    <row r="1691" spans="3:10" x14ac:dyDescent="0.2">
      <c r="C1691" s="333"/>
      <c r="D1691" s="333"/>
      <c r="F1691" s="333"/>
      <c r="G1691" s="333"/>
      <c r="H1691" s="333"/>
      <c r="I1691" s="333"/>
      <c r="J1691" s="333"/>
    </row>
    <row r="1692" spans="3:10" x14ac:dyDescent="0.2">
      <c r="C1692" s="333"/>
      <c r="D1692" s="333"/>
      <c r="F1692" s="333"/>
      <c r="G1692" s="333"/>
      <c r="H1692" s="333"/>
      <c r="I1692" s="333"/>
      <c r="J1692" s="333"/>
    </row>
    <row r="1693" spans="3:10" x14ac:dyDescent="0.2">
      <c r="C1693" s="333"/>
      <c r="D1693" s="333"/>
      <c r="F1693" s="333"/>
      <c r="G1693" s="333"/>
      <c r="H1693" s="333"/>
      <c r="I1693" s="333"/>
      <c r="J1693" s="333"/>
    </row>
    <row r="1694" spans="3:10" x14ac:dyDescent="0.2">
      <c r="C1694" s="333"/>
      <c r="D1694" s="333"/>
      <c r="F1694" s="333"/>
      <c r="G1694" s="333"/>
      <c r="H1694" s="333"/>
      <c r="I1694" s="333"/>
      <c r="J1694" s="333"/>
    </row>
    <row r="1695" spans="3:10" x14ac:dyDescent="0.2">
      <c r="C1695" s="333"/>
      <c r="D1695" s="333"/>
      <c r="F1695" s="333"/>
      <c r="G1695" s="333"/>
      <c r="H1695" s="333"/>
      <c r="I1695" s="333"/>
      <c r="J1695" s="333"/>
    </row>
    <row r="1696" spans="3:10" x14ac:dyDescent="0.2">
      <c r="C1696" s="333"/>
      <c r="D1696" s="333"/>
      <c r="F1696" s="333"/>
      <c r="G1696" s="333"/>
      <c r="H1696" s="333"/>
      <c r="I1696" s="333"/>
      <c r="J1696" s="333"/>
    </row>
    <row r="1697" spans="3:10" x14ac:dyDescent="0.2">
      <c r="C1697" s="333"/>
      <c r="D1697" s="333"/>
      <c r="F1697" s="333"/>
      <c r="G1697" s="333"/>
      <c r="H1697" s="333"/>
      <c r="I1697" s="333"/>
      <c r="J1697" s="333"/>
    </row>
    <row r="1698" spans="3:10" x14ac:dyDescent="0.2">
      <c r="C1698" s="333"/>
      <c r="D1698" s="333"/>
      <c r="F1698" s="333"/>
      <c r="G1698" s="333"/>
      <c r="H1698" s="333"/>
      <c r="I1698" s="333"/>
      <c r="J1698" s="333"/>
    </row>
    <row r="1699" spans="3:10" x14ac:dyDescent="0.2">
      <c r="C1699" s="333"/>
      <c r="D1699" s="333"/>
      <c r="F1699" s="333"/>
      <c r="G1699" s="333"/>
      <c r="H1699" s="333"/>
      <c r="I1699" s="333"/>
      <c r="J1699" s="333"/>
    </row>
    <row r="1700" spans="3:10" x14ac:dyDescent="0.2">
      <c r="C1700" s="333"/>
      <c r="D1700" s="333"/>
      <c r="F1700" s="333"/>
      <c r="G1700" s="333"/>
      <c r="H1700" s="333"/>
      <c r="I1700" s="333"/>
      <c r="J1700" s="333"/>
    </row>
    <row r="1701" spans="3:10" x14ac:dyDescent="0.2">
      <c r="C1701" s="333"/>
      <c r="D1701" s="333"/>
      <c r="F1701" s="333"/>
      <c r="G1701" s="333"/>
      <c r="H1701" s="333"/>
      <c r="I1701" s="333"/>
      <c r="J1701" s="333"/>
    </row>
    <row r="1702" spans="3:10" x14ac:dyDescent="0.2">
      <c r="C1702" s="333"/>
      <c r="D1702" s="333"/>
      <c r="F1702" s="333"/>
      <c r="G1702" s="333"/>
      <c r="H1702" s="333"/>
      <c r="I1702" s="333"/>
      <c r="J1702" s="333"/>
    </row>
    <row r="1703" spans="3:10" x14ac:dyDescent="0.2">
      <c r="C1703" s="333"/>
      <c r="D1703" s="333"/>
      <c r="F1703" s="333"/>
      <c r="G1703" s="333"/>
      <c r="H1703" s="333"/>
      <c r="I1703" s="333"/>
      <c r="J1703" s="333"/>
    </row>
    <row r="1704" spans="3:10" x14ac:dyDescent="0.2">
      <c r="C1704" s="333"/>
      <c r="D1704" s="333"/>
      <c r="F1704" s="333"/>
      <c r="G1704" s="333"/>
      <c r="H1704" s="333"/>
      <c r="I1704" s="333"/>
      <c r="J1704" s="333"/>
    </row>
    <row r="1705" spans="3:10" x14ac:dyDescent="0.2">
      <c r="C1705" s="333"/>
      <c r="D1705" s="333"/>
      <c r="F1705" s="333"/>
      <c r="G1705" s="333"/>
      <c r="H1705" s="333"/>
      <c r="I1705" s="333"/>
      <c r="J1705" s="333"/>
    </row>
    <row r="1706" spans="3:10" x14ac:dyDescent="0.2">
      <c r="C1706" s="333"/>
      <c r="D1706" s="333"/>
      <c r="F1706" s="333"/>
      <c r="G1706" s="333"/>
      <c r="H1706" s="333"/>
      <c r="I1706" s="333"/>
      <c r="J1706" s="333"/>
    </row>
    <row r="1707" spans="3:10" x14ac:dyDescent="0.2">
      <c r="C1707" s="333"/>
      <c r="D1707" s="333"/>
      <c r="F1707" s="333"/>
      <c r="G1707" s="333"/>
      <c r="H1707" s="333"/>
      <c r="I1707" s="333"/>
      <c r="J1707" s="333"/>
    </row>
    <row r="1708" spans="3:10" x14ac:dyDescent="0.2">
      <c r="C1708" s="333"/>
      <c r="D1708" s="333"/>
      <c r="F1708" s="333"/>
      <c r="G1708" s="333"/>
      <c r="H1708" s="333"/>
      <c r="I1708" s="333"/>
      <c r="J1708" s="333"/>
    </row>
    <row r="1709" spans="3:10" x14ac:dyDescent="0.2">
      <c r="C1709" s="333"/>
      <c r="D1709" s="333"/>
      <c r="F1709" s="333"/>
      <c r="G1709" s="333"/>
      <c r="H1709" s="333"/>
      <c r="I1709" s="333"/>
      <c r="J1709" s="333"/>
    </row>
    <row r="1710" spans="3:10" x14ac:dyDescent="0.2">
      <c r="C1710" s="333"/>
      <c r="D1710" s="333"/>
      <c r="F1710" s="333"/>
      <c r="G1710" s="333"/>
      <c r="H1710" s="333"/>
      <c r="I1710" s="333"/>
      <c r="J1710" s="333"/>
    </row>
    <row r="1711" spans="3:10" x14ac:dyDescent="0.2">
      <c r="C1711" s="333"/>
      <c r="D1711" s="333"/>
      <c r="F1711" s="333"/>
      <c r="G1711" s="333"/>
      <c r="H1711" s="333"/>
      <c r="I1711" s="333"/>
      <c r="J1711" s="333"/>
    </row>
    <row r="1712" spans="3:10" x14ac:dyDescent="0.2">
      <c r="C1712" s="333"/>
      <c r="D1712" s="333"/>
      <c r="F1712" s="333"/>
      <c r="G1712" s="333"/>
      <c r="H1712" s="333"/>
      <c r="I1712" s="333"/>
      <c r="J1712" s="333"/>
    </row>
    <row r="1713" spans="3:10" x14ac:dyDescent="0.2">
      <c r="C1713" s="333"/>
      <c r="D1713" s="333"/>
      <c r="F1713" s="333"/>
      <c r="G1713" s="333"/>
      <c r="H1713" s="333"/>
      <c r="I1713" s="333"/>
      <c r="J1713" s="333"/>
    </row>
    <row r="1714" spans="3:10" x14ac:dyDescent="0.2">
      <c r="C1714" s="333"/>
      <c r="D1714" s="333"/>
      <c r="F1714" s="333"/>
      <c r="G1714" s="333"/>
      <c r="H1714" s="333"/>
      <c r="I1714" s="333"/>
      <c r="J1714" s="333"/>
    </row>
    <row r="1715" spans="3:10" x14ac:dyDescent="0.2">
      <c r="C1715" s="333"/>
      <c r="D1715" s="333"/>
      <c r="F1715" s="333"/>
      <c r="G1715" s="333"/>
      <c r="H1715" s="333"/>
      <c r="I1715" s="333"/>
      <c r="J1715" s="333"/>
    </row>
    <row r="1716" spans="3:10" x14ac:dyDescent="0.2">
      <c r="C1716" s="333"/>
      <c r="D1716" s="333"/>
      <c r="F1716" s="333"/>
      <c r="G1716" s="333"/>
      <c r="H1716" s="333"/>
      <c r="I1716" s="333"/>
      <c r="J1716" s="333"/>
    </row>
    <row r="1717" spans="3:10" x14ac:dyDescent="0.2">
      <c r="C1717" s="333"/>
      <c r="D1717" s="333"/>
      <c r="F1717" s="333"/>
      <c r="G1717" s="333"/>
      <c r="H1717" s="333"/>
      <c r="I1717" s="333"/>
      <c r="J1717" s="333"/>
    </row>
    <row r="1718" spans="3:10" x14ac:dyDescent="0.2">
      <c r="C1718" s="333"/>
      <c r="D1718" s="333"/>
      <c r="F1718" s="333"/>
      <c r="G1718" s="333"/>
      <c r="H1718" s="333"/>
      <c r="I1718" s="333"/>
      <c r="J1718" s="333"/>
    </row>
    <row r="1719" spans="3:10" x14ac:dyDescent="0.2">
      <c r="C1719" s="333"/>
      <c r="D1719" s="333"/>
      <c r="F1719" s="333"/>
      <c r="G1719" s="333"/>
      <c r="H1719" s="333"/>
      <c r="I1719" s="333"/>
      <c r="J1719" s="333"/>
    </row>
    <row r="1720" spans="3:10" x14ac:dyDescent="0.2">
      <c r="C1720" s="333"/>
      <c r="D1720" s="333"/>
      <c r="F1720" s="333"/>
      <c r="G1720" s="333"/>
      <c r="H1720" s="333"/>
      <c r="I1720" s="333"/>
      <c r="J1720" s="333"/>
    </row>
    <row r="1721" spans="3:10" x14ac:dyDescent="0.2">
      <c r="C1721" s="333"/>
      <c r="D1721" s="333"/>
      <c r="F1721" s="333"/>
      <c r="G1721" s="333"/>
      <c r="H1721" s="333"/>
      <c r="I1721" s="333"/>
      <c r="J1721" s="333"/>
    </row>
    <row r="1722" spans="3:10" x14ac:dyDescent="0.2">
      <c r="C1722" s="333"/>
      <c r="D1722" s="333"/>
      <c r="F1722" s="333"/>
      <c r="G1722" s="333"/>
      <c r="H1722" s="333"/>
      <c r="I1722" s="333"/>
      <c r="J1722" s="333"/>
    </row>
    <row r="1723" spans="3:10" x14ac:dyDescent="0.2">
      <c r="C1723" s="333"/>
      <c r="D1723" s="333"/>
      <c r="F1723" s="333"/>
      <c r="G1723" s="333"/>
      <c r="H1723" s="333"/>
      <c r="I1723" s="333"/>
      <c r="J1723" s="333"/>
    </row>
    <row r="1724" spans="3:10" x14ac:dyDescent="0.2">
      <c r="C1724" s="333"/>
      <c r="D1724" s="333"/>
      <c r="F1724" s="333"/>
      <c r="G1724" s="333"/>
      <c r="H1724" s="333"/>
      <c r="I1724" s="333"/>
      <c r="J1724" s="333"/>
    </row>
    <row r="1725" spans="3:10" x14ac:dyDescent="0.2">
      <c r="C1725" s="333"/>
      <c r="D1725" s="333"/>
      <c r="F1725" s="333"/>
      <c r="G1725" s="333"/>
      <c r="H1725" s="333"/>
      <c r="I1725" s="333"/>
      <c r="J1725" s="333"/>
    </row>
    <row r="1726" spans="3:10" x14ac:dyDescent="0.2">
      <c r="C1726" s="333"/>
      <c r="D1726" s="333"/>
      <c r="F1726" s="333"/>
      <c r="G1726" s="333"/>
      <c r="H1726" s="333"/>
      <c r="I1726" s="333"/>
      <c r="J1726" s="333"/>
    </row>
    <row r="1727" spans="3:10" x14ac:dyDescent="0.2">
      <c r="C1727" s="333"/>
      <c r="D1727" s="333"/>
      <c r="F1727" s="333"/>
      <c r="G1727" s="333"/>
      <c r="H1727" s="333"/>
      <c r="I1727" s="333"/>
      <c r="J1727" s="333"/>
    </row>
    <row r="1728" spans="3:10" x14ac:dyDescent="0.2">
      <c r="C1728" s="333"/>
      <c r="D1728" s="333"/>
      <c r="F1728" s="333"/>
      <c r="G1728" s="333"/>
      <c r="H1728" s="333"/>
      <c r="I1728" s="333"/>
      <c r="J1728" s="333"/>
    </row>
    <row r="1729" spans="3:10" x14ac:dyDescent="0.2">
      <c r="C1729" s="333"/>
      <c r="D1729" s="333"/>
      <c r="F1729" s="333"/>
      <c r="G1729" s="333"/>
      <c r="H1729" s="333"/>
      <c r="I1729" s="333"/>
      <c r="J1729" s="333"/>
    </row>
    <row r="1730" spans="3:10" x14ac:dyDescent="0.2">
      <c r="C1730" s="333"/>
      <c r="D1730" s="333"/>
      <c r="F1730" s="333"/>
      <c r="G1730" s="333"/>
      <c r="H1730" s="333"/>
      <c r="I1730" s="333"/>
      <c r="J1730" s="333"/>
    </row>
    <row r="1731" spans="3:10" x14ac:dyDescent="0.2">
      <c r="C1731" s="333"/>
      <c r="D1731" s="333"/>
      <c r="F1731" s="333"/>
      <c r="G1731" s="333"/>
      <c r="H1731" s="333"/>
      <c r="I1731" s="333"/>
      <c r="J1731" s="333"/>
    </row>
    <row r="1732" spans="3:10" x14ac:dyDescent="0.2">
      <c r="C1732" s="333"/>
      <c r="D1732" s="333"/>
      <c r="F1732" s="333"/>
      <c r="G1732" s="333"/>
      <c r="H1732" s="333"/>
      <c r="I1732" s="333"/>
      <c r="J1732" s="333"/>
    </row>
    <row r="1733" spans="3:10" x14ac:dyDescent="0.2">
      <c r="C1733" s="333"/>
      <c r="D1733" s="333"/>
      <c r="F1733" s="333"/>
      <c r="G1733" s="333"/>
      <c r="H1733" s="333"/>
      <c r="I1733" s="333"/>
      <c r="J1733" s="333"/>
    </row>
    <row r="1734" spans="3:10" x14ac:dyDescent="0.2">
      <c r="C1734" s="333"/>
      <c r="D1734" s="333"/>
      <c r="F1734" s="333"/>
      <c r="G1734" s="333"/>
      <c r="H1734" s="333"/>
      <c r="I1734" s="333"/>
      <c r="J1734" s="333"/>
    </row>
    <row r="1735" spans="3:10" x14ac:dyDescent="0.2">
      <c r="C1735" s="333"/>
      <c r="D1735" s="333"/>
      <c r="F1735" s="333"/>
      <c r="G1735" s="333"/>
      <c r="H1735" s="333"/>
      <c r="I1735" s="333"/>
      <c r="J1735" s="333"/>
    </row>
    <row r="1736" spans="3:10" x14ac:dyDescent="0.2">
      <c r="C1736" s="333"/>
      <c r="D1736" s="333"/>
      <c r="F1736" s="333"/>
      <c r="G1736" s="333"/>
      <c r="H1736" s="333"/>
      <c r="I1736" s="333"/>
      <c r="J1736" s="333"/>
    </row>
    <row r="1737" spans="3:10" x14ac:dyDescent="0.2">
      <c r="C1737" s="333"/>
      <c r="D1737" s="333"/>
      <c r="F1737" s="333"/>
      <c r="G1737" s="333"/>
      <c r="H1737" s="333"/>
      <c r="I1737" s="333"/>
      <c r="J1737" s="333"/>
    </row>
    <row r="1738" spans="3:10" x14ac:dyDescent="0.2">
      <c r="C1738" s="333"/>
      <c r="D1738" s="333"/>
      <c r="F1738" s="333"/>
      <c r="G1738" s="333"/>
      <c r="H1738" s="333"/>
      <c r="I1738" s="333"/>
      <c r="J1738" s="333"/>
    </row>
    <row r="1739" spans="3:10" x14ac:dyDescent="0.2">
      <c r="C1739" s="333"/>
      <c r="D1739" s="333"/>
      <c r="F1739" s="333"/>
      <c r="G1739" s="333"/>
      <c r="H1739" s="333"/>
      <c r="I1739" s="333"/>
      <c r="J1739" s="333"/>
    </row>
    <row r="1740" spans="3:10" x14ac:dyDescent="0.2">
      <c r="C1740" s="333"/>
      <c r="D1740" s="333"/>
      <c r="F1740" s="333"/>
      <c r="G1740" s="333"/>
      <c r="H1740" s="333"/>
      <c r="I1740" s="333"/>
      <c r="J1740" s="333"/>
    </row>
    <row r="1741" spans="3:10" x14ac:dyDescent="0.2">
      <c r="C1741" s="333"/>
      <c r="D1741" s="333"/>
      <c r="F1741" s="333"/>
      <c r="G1741" s="333"/>
      <c r="H1741" s="333"/>
      <c r="I1741" s="333"/>
      <c r="J1741" s="333"/>
    </row>
    <row r="1742" spans="3:10" x14ac:dyDescent="0.2">
      <c r="C1742" s="333"/>
      <c r="D1742" s="333"/>
      <c r="F1742" s="333"/>
      <c r="G1742" s="333"/>
      <c r="H1742" s="333"/>
      <c r="I1742" s="333"/>
      <c r="J1742" s="333"/>
    </row>
    <row r="1743" spans="3:10" x14ac:dyDescent="0.2">
      <c r="C1743" s="333"/>
      <c r="D1743" s="333"/>
      <c r="F1743" s="333"/>
      <c r="G1743" s="333"/>
      <c r="H1743" s="333"/>
      <c r="I1743" s="333"/>
      <c r="J1743" s="333"/>
    </row>
    <row r="1744" spans="3:10" x14ac:dyDescent="0.2">
      <c r="C1744" s="333"/>
      <c r="D1744" s="333"/>
      <c r="F1744" s="333"/>
      <c r="G1744" s="333"/>
      <c r="H1744" s="333"/>
      <c r="I1744" s="333"/>
      <c r="J1744" s="333"/>
    </row>
    <row r="1745" spans="3:10" x14ac:dyDescent="0.2">
      <c r="C1745" s="333"/>
      <c r="D1745" s="333"/>
      <c r="F1745" s="333"/>
      <c r="G1745" s="333"/>
      <c r="H1745" s="333"/>
      <c r="I1745" s="333"/>
      <c r="J1745" s="333"/>
    </row>
    <row r="1746" spans="3:10" x14ac:dyDescent="0.2">
      <c r="C1746" s="333"/>
      <c r="D1746" s="333"/>
      <c r="F1746" s="333"/>
      <c r="G1746" s="333"/>
      <c r="H1746" s="333"/>
      <c r="I1746" s="333"/>
      <c r="J1746" s="333"/>
    </row>
    <row r="1747" spans="3:10" x14ac:dyDescent="0.2">
      <c r="C1747" s="333"/>
      <c r="D1747" s="333"/>
      <c r="F1747" s="333"/>
      <c r="G1747" s="333"/>
      <c r="H1747" s="333"/>
      <c r="I1747" s="333"/>
      <c r="J1747" s="333"/>
    </row>
    <row r="1748" spans="3:10" x14ac:dyDescent="0.2">
      <c r="C1748" s="333"/>
      <c r="D1748" s="333"/>
      <c r="F1748" s="333"/>
      <c r="G1748" s="333"/>
      <c r="H1748" s="333"/>
      <c r="I1748" s="333"/>
      <c r="J1748" s="333"/>
    </row>
    <row r="1749" spans="3:10" x14ac:dyDescent="0.2">
      <c r="C1749" s="333"/>
      <c r="D1749" s="333"/>
      <c r="F1749" s="333"/>
      <c r="G1749" s="333"/>
      <c r="H1749" s="333"/>
      <c r="I1749" s="333"/>
      <c r="J1749" s="333"/>
    </row>
    <row r="1750" spans="3:10" x14ac:dyDescent="0.2">
      <c r="C1750" s="333"/>
      <c r="D1750" s="333"/>
      <c r="F1750" s="333"/>
      <c r="G1750" s="333"/>
      <c r="H1750" s="333"/>
      <c r="I1750" s="333"/>
      <c r="J1750" s="333"/>
    </row>
    <row r="1751" spans="3:10" x14ac:dyDescent="0.2">
      <c r="C1751" s="333"/>
      <c r="D1751" s="333"/>
      <c r="F1751" s="333"/>
      <c r="G1751" s="333"/>
      <c r="H1751" s="333"/>
      <c r="I1751" s="333"/>
      <c r="J1751" s="333"/>
    </row>
    <row r="1752" spans="3:10" x14ac:dyDescent="0.2">
      <c r="C1752" s="333"/>
      <c r="D1752" s="333"/>
      <c r="F1752" s="333"/>
      <c r="G1752" s="333"/>
      <c r="H1752" s="333"/>
      <c r="I1752" s="333"/>
      <c r="J1752" s="333"/>
    </row>
    <row r="1753" spans="3:10" x14ac:dyDescent="0.2">
      <c r="C1753" s="333"/>
      <c r="D1753" s="333"/>
      <c r="F1753" s="333"/>
      <c r="G1753" s="333"/>
      <c r="H1753" s="333"/>
      <c r="I1753" s="333"/>
      <c r="J1753" s="333"/>
    </row>
    <row r="1754" spans="3:10" x14ac:dyDescent="0.2">
      <c r="C1754" s="333"/>
      <c r="D1754" s="333"/>
      <c r="F1754" s="333"/>
      <c r="G1754" s="333"/>
      <c r="H1754" s="333"/>
      <c r="I1754" s="333"/>
      <c r="J1754" s="333"/>
    </row>
    <row r="1755" spans="3:10" x14ac:dyDescent="0.2">
      <c r="C1755" s="333"/>
      <c r="D1755" s="333"/>
      <c r="F1755" s="333"/>
      <c r="G1755" s="333"/>
      <c r="H1755" s="333"/>
      <c r="I1755" s="333"/>
      <c r="J1755" s="333"/>
    </row>
    <row r="1756" spans="3:10" x14ac:dyDescent="0.2">
      <c r="C1756" s="333"/>
      <c r="D1756" s="333"/>
      <c r="F1756" s="333"/>
      <c r="G1756" s="333"/>
      <c r="H1756" s="333"/>
      <c r="I1756" s="333"/>
      <c r="J1756" s="333"/>
    </row>
    <row r="1757" spans="3:10" x14ac:dyDescent="0.2">
      <c r="C1757" s="333"/>
      <c r="D1757" s="333"/>
      <c r="F1757" s="333"/>
      <c r="G1757" s="333"/>
      <c r="H1757" s="333"/>
      <c r="I1757" s="333"/>
      <c r="J1757" s="333"/>
    </row>
    <row r="1758" spans="3:10" x14ac:dyDescent="0.2">
      <c r="C1758" s="333"/>
      <c r="D1758" s="333"/>
      <c r="F1758" s="333"/>
      <c r="G1758" s="333"/>
      <c r="H1758" s="333"/>
      <c r="I1758" s="333"/>
      <c r="J1758" s="333"/>
    </row>
    <row r="1759" spans="3:10" x14ac:dyDescent="0.2">
      <c r="C1759" s="333"/>
      <c r="D1759" s="333"/>
      <c r="F1759" s="333"/>
      <c r="G1759" s="333"/>
      <c r="H1759" s="333"/>
      <c r="I1759" s="333"/>
      <c r="J1759" s="333"/>
    </row>
    <row r="1760" spans="3:10" x14ac:dyDescent="0.2">
      <c r="C1760" s="333"/>
      <c r="D1760" s="333"/>
      <c r="F1760" s="333"/>
      <c r="G1760" s="333"/>
      <c r="H1760" s="333"/>
      <c r="I1760" s="333"/>
      <c r="J1760" s="333"/>
    </row>
    <row r="1761" spans="3:10" x14ac:dyDescent="0.2">
      <c r="C1761" s="333"/>
      <c r="D1761" s="333"/>
      <c r="F1761" s="333"/>
      <c r="G1761" s="333"/>
      <c r="H1761" s="333"/>
      <c r="I1761" s="333"/>
      <c r="J1761" s="333"/>
    </row>
    <row r="1762" spans="3:10" x14ac:dyDescent="0.2">
      <c r="C1762" s="333"/>
      <c r="D1762" s="333"/>
      <c r="F1762" s="333"/>
      <c r="G1762" s="333"/>
      <c r="H1762" s="333"/>
      <c r="I1762" s="333"/>
      <c r="J1762" s="333"/>
    </row>
    <row r="1763" spans="3:10" x14ac:dyDescent="0.2">
      <c r="C1763" s="333"/>
      <c r="D1763" s="333"/>
      <c r="F1763" s="333"/>
      <c r="G1763" s="333"/>
      <c r="H1763" s="333"/>
      <c r="I1763" s="333"/>
      <c r="J1763" s="333"/>
    </row>
    <row r="1764" spans="3:10" x14ac:dyDescent="0.2">
      <c r="C1764" s="333"/>
      <c r="D1764" s="333"/>
      <c r="F1764" s="333"/>
      <c r="G1764" s="333"/>
      <c r="H1764" s="333"/>
      <c r="I1764" s="333"/>
      <c r="J1764" s="333"/>
    </row>
    <row r="1765" spans="3:10" x14ac:dyDescent="0.2">
      <c r="C1765" s="333"/>
      <c r="D1765" s="333"/>
      <c r="F1765" s="333"/>
      <c r="G1765" s="333"/>
      <c r="H1765" s="333"/>
      <c r="I1765" s="333"/>
      <c r="J1765" s="333"/>
    </row>
    <row r="1766" spans="3:10" x14ac:dyDescent="0.2">
      <c r="C1766" s="333"/>
      <c r="D1766" s="333"/>
      <c r="F1766" s="333"/>
      <c r="G1766" s="333"/>
      <c r="H1766" s="333"/>
      <c r="I1766" s="333"/>
      <c r="J1766" s="333"/>
    </row>
    <row r="1767" spans="3:10" x14ac:dyDescent="0.2">
      <c r="C1767" s="333"/>
      <c r="D1767" s="333"/>
      <c r="F1767" s="333"/>
      <c r="G1767" s="333"/>
      <c r="H1767" s="333"/>
      <c r="I1767" s="333"/>
      <c r="J1767" s="333"/>
    </row>
    <row r="1768" spans="3:10" x14ac:dyDescent="0.2">
      <c r="C1768" s="333"/>
      <c r="D1768" s="333"/>
      <c r="F1768" s="333"/>
      <c r="G1768" s="333"/>
      <c r="H1768" s="333"/>
      <c r="I1768" s="333"/>
      <c r="J1768" s="333"/>
    </row>
    <row r="1769" spans="3:10" x14ac:dyDescent="0.2">
      <c r="C1769" s="333"/>
      <c r="D1769" s="333"/>
      <c r="F1769" s="333"/>
      <c r="G1769" s="333"/>
      <c r="H1769" s="333"/>
      <c r="I1769" s="333"/>
      <c r="J1769" s="333"/>
    </row>
    <row r="1770" spans="3:10" x14ac:dyDescent="0.2">
      <c r="C1770" s="333"/>
      <c r="D1770" s="333"/>
      <c r="F1770" s="333"/>
      <c r="G1770" s="333"/>
      <c r="H1770" s="333"/>
      <c r="I1770" s="333"/>
      <c r="J1770" s="333"/>
    </row>
    <row r="1771" spans="3:10" x14ac:dyDescent="0.2">
      <c r="C1771" s="333"/>
      <c r="D1771" s="333"/>
      <c r="F1771" s="333"/>
      <c r="G1771" s="333"/>
      <c r="H1771" s="333"/>
      <c r="I1771" s="333"/>
      <c r="J1771" s="333"/>
    </row>
    <row r="1772" spans="3:10" x14ac:dyDescent="0.2">
      <c r="C1772" s="333"/>
      <c r="D1772" s="333"/>
      <c r="F1772" s="333"/>
      <c r="G1772" s="333"/>
      <c r="H1772" s="333"/>
      <c r="I1772" s="333"/>
      <c r="J1772" s="333"/>
    </row>
    <row r="1773" spans="3:10" x14ac:dyDescent="0.2">
      <c r="C1773" s="333"/>
      <c r="D1773" s="333"/>
      <c r="F1773" s="333"/>
      <c r="G1773" s="333"/>
      <c r="H1773" s="333"/>
      <c r="I1773" s="333"/>
      <c r="J1773" s="333"/>
    </row>
    <row r="1774" spans="3:10" x14ac:dyDescent="0.2">
      <c r="C1774" s="333"/>
      <c r="D1774" s="333"/>
      <c r="F1774" s="333"/>
      <c r="G1774" s="333"/>
      <c r="H1774" s="333"/>
      <c r="I1774" s="333"/>
      <c r="J1774" s="333"/>
    </row>
    <row r="1775" spans="3:10" x14ac:dyDescent="0.2">
      <c r="C1775" s="333"/>
      <c r="D1775" s="333"/>
      <c r="F1775" s="333"/>
      <c r="G1775" s="333"/>
      <c r="H1775" s="333"/>
      <c r="I1775" s="333"/>
      <c r="J1775" s="333"/>
    </row>
    <row r="1776" spans="3:10" x14ac:dyDescent="0.2">
      <c r="C1776" s="333"/>
      <c r="D1776" s="333"/>
      <c r="F1776" s="333"/>
      <c r="G1776" s="333"/>
      <c r="H1776" s="333"/>
      <c r="I1776" s="333"/>
      <c r="J1776" s="333"/>
    </row>
    <row r="1777" spans="3:10" x14ac:dyDescent="0.2">
      <c r="C1777" s="333"/>
      <c r="D1777" s="333"/>
      <c r="F1777" s="333"/>
      <c r="G1777" s="333"/>
      <c r="H1777" s="333"/>
      <c r="I1777" s="333"/>
      <c r="J1777" s="333"/>
    </row>
    <row r="1778" spans="3:10" x14ac:dyDescent="0.2">
      <c r="C1778" s="333"/>
      <c r="D1778" s="333"/>
      <c r="F1778" s="333"/>
      <c r="G1778" s="333"/>
      <c r="H1778" s="333"/>
      <c r="I1778" s="333"/>
      <c r="J1778" s="333"/>
    </row>
    <row r="1779" spans="3:10" x14ac:dyDescent="0.2">
      <c r="C1779" s="333"/>
      <c r="D1779" s="333"/>
      <c r="F1779" s="333"/>
      <c r="G1779" s="333"/>
      <c r="H1779" s="333"/>
      <c r="I1779" s="333"/>
      <c r="J1779" s="333"/>
    </row>
    <row r="1780" spans="3:10" x14ac:dyDescent="0.2">
      <c r="C1780" s="333"/>
      <c r="D1780" s="333"/>
      <c r="F1780" s="333"/>
      <c r="G1780" s="333"/>
      <c r="H1780" s="333"/>
      <c r="I1780" s="333"/>
      <c r="J1780" s="333"/>
    </row>
    <row r="1781" spans="3:10" x14ac:dyDescent="0.2">
      <c r="C1781" s="333"/>
      <c r="D1781" s="333"/>
      <c r="F1781" s="333"/>
      <c r="G1781" s="333"/>
      <c r="H1781" s="333"/>
      <c r="I1781" s="333"/>
      <c r="J1781" s="333"/>
    </row>
    <row r="1782" spans="3:10" x14ac:dyDescent="0.2">
      <c r="C1782" s="333"/>
      <c r="D1782" s="333"/>
      <c r="F1782" s="333"/>
      <c r="G1782" s="333"/>
      <c r="H1782" s="333"/>
      <c r="I1782" s="333"/>
      <c r="J1782" s="333"/>
    </row>
    <row r="1783" spans="3:10" x14ac:dyDescent="0.2">
      <c r="C1783" s="333"/>
      <c r="D1783" s="333"/>
      <c r="F1783" s="333"/>
      <c r="G1783" s="333"/>
      <c r="H1783" s="333"/>
      <c r="I1783" s="333"/>
      <c r="J1783" s="333"/>
    </row>
    <row r="1784" spans="3:10" x14ac:dyDescent="0.2">
      <c r="C1784" s="333"/>
      <c r="D1784" s="333"/>
      <c r="F1784" s="333"/>
      <c r="G1784" s="333"/>
      <c r="H1784" s="333"/>
      <c r="I1784" s="333"/>
      <c r="J1784" s="333"/>
    </row>
    <row r="1785" spans="3:10" x14ac:dyDescent="0.2">
      <c r="C1785" s="333"/>
      <c r="D1785" s="333"/>
      <c r="F1785" s="333"/>
      <c r="G1785" s="333"/>
      <c r="H1785" s="333"/>
      <c r="I1785" s="333"/>
      <c r="J1785" s="333"/>
    </row>
    <row r="1786" spans="3:10" x14ac:dyDescent="0.2">
      <c r="C1786" s="333"/>
      <c r="D1786" s="333"/>
      <c r="F1786" s="333"/>
      <c r="G1786" s="333"/>
      <c r="H1786" s="333"/>
      <c r="I1786" s="333"/>
      <c r="J1786" s="333"/>
    </row>
    <row r="1787" spans="3:10" x14ac:dyDescent="0.2">
      <c r="C1787" s="333"/>
      <c r="D1787" s="333"/>
      <c r="F1787" s="333"/>
      <c r="G1787" s="333"/>
      <c r="H1787" s="333"/>
      <c r="I1787" s="333"/>
      <c r="J1787" s="333"/>
    </row>
    <row r="1788" spans="3:10" x14ac:dyDescent="0.2">
      <c r="C1788" s="333"/>
      <c r="D1788" s="333"/>
      <c r="F1788" s="333"/>
      <c r="G1788" s="333"/>
      <c r="H1788" s="333"/>
      <c r="I1788" s="333"/>
      <c r="J1788" s="333"/>
    </row>
    <row r="1789" spans="3:10" x14ac:dyDescent="0.2">
      <c r="C1789" s="333"/>
      <c r="D1789" s="333"/>
      <c r="F1789" s="333"/>
      <c r="G1789" s="333"/>
      <c r="H1789" s="333"/>
      <c r="I1789" s="333"/>
      <c r="J1789" s="333"/>
    </row>
    <row r="1790" spans="3:10" x14ac:dyDescent="0.2">
      <c r="C1790" s="333"/>
      <c r="D1790" s="333"/>
      <c r="F1790" s="333"/>
      <c r="G1790" s="333"/>
      <c r="H1790" s="333"/>
      <c r="I1790" s="333"/>
      <c r="J1790" s="333"/>
    </row>
    <row r="1791" spans="3:10" x14ac:dyDescent="0.2">
      <c r="C1791" s="333"/>
      <c r="D1791" s="333"/>
      <c r="F1791" s="333"/>
      <c r="G1791" s="333"/>
      <c r="H1791" s="333"/>
      <c r="I1791" s="333"/>
      <c r="J1791" s="333"/>
    </row>
    <row r="1792" spans="3:10" x14ac:dyDescent="0.2">
      <c r="C1792" s="333"/>
      <c r="D1792" s="333"/>
      <c r="F1792" s="333"/>
      <c r="G1792" s="333"/>
      <c r="H1792" s="333"/>
      <c r="I1792" s="333"/>
      <c r="J1792" s="333"/>
    </row>
    <row r="1793" spans="3:10" x14ac:dyDescent="0.2">
      <c r="C1793" s="333"/>
      <c r="D1793" s="333"/>
      <c r="F1793" s="333"/>
      <c r="G1793" s="333"/>
      <c r="H1793" s="333"/>
      <c r="I1793" s="333"/>
      <c r="J1793" s="333"/>
    </row>
    <row r="1794" spans="3:10" x14ac:dyDescent="0.2">
      <c r="C1794" s="333"/>
      <c r="D1794" s="333"/>
      <c r="F1794" s="333"/>
      <c r="G1794" s="333"/>
      <c r="H1794" s="333"/>
      <c r="I1794" s="333"/>
      <c r="J1794" s="333"/>
    </row>
    <row r="1795" spans="3:10" x14ac:dyDescent="0.2">
      <c r="C1795" s="333"/>
      <c r="D1795" s="333"/>
      <c r="F1795" s="333"/>
      <c r="G1795" s="333"/>
      <c r="H1795" s="333"/>
      <c r="I1795" s="333"/>
      <c r="J1795" s="333"/>
    </row>
    <row r="1796" spans="3:10" x14ac:dyDescent="0.2">
      <c r="C1796" s="333"/>
      <c r="D1796" s="333"/>
      <c r="F1796" s="333"/>
      <c r="G1796" s="333"/>
      <c r="H1796" s="333"/>
      <c r="I1796" s="333"/>
      <c r="J1796" s="333"/>
    </row>
    <row r="1797" spans="3:10" x14ac:dyDescent="0.2">
      <c r="C1797" s="333"/>
      <c r="D1797" s="333"/>
      <c r="F1797" s="333"/>
      <c r="G1797" s="333"/>
      <c r="H1797" s="333"/>
      <c r="I1797" s="333"/>
      <c r="J1797" s="333"/>
    </row>
    <row r="1798" spans="3:10" x14ac:dyDescent="0.2">
      <c r="C1798" s="333"/>
      <c r="D1798" s="333"/>
      <c r="F1798" s="333"/>
      <c r="G1798" s="333"/>
      <c r="H1798" s="333"/>
      <c r="I1798" s="333"/>
      <c r="J1798" s="333"/>
    </row>
    <row r="1799" spans="3:10" x14ac:dyDescent="0.2">
      <c r="C1799" s="333"/>
      <c r="D1799" s="333"/>
      <c r="F1799" s="333"/>
      <c r="G1799" s="333"/>
      <c r="H1799" s="333"/>
      <c r="I1799" s="333"/>
      <c r="J1799" s="333"/>
    </row>
    <row r="1800" spans="3:10" x14ac:dyDescent="0.2">
      <c r="C1800" s="333"/>
      <c r="D1800" s="333"/>
      <c r="F1800" s="333"/>
      <c r="G1800" s="333"/>
      <c r="H1800" s="333"/>
      <c r="I1800" s="333"/>
      <c r="J1800" s="333"/>
    </row>
    <row r="1801" spans="3:10" x14ac:dyDescent="0.2">
      <c r="C1801" s="333"/>
      <c r="D1801" s="333"/>
      <c r="F1801" s="333"/>
      <c r="G1801" s="333"/>
      <c r="H1801" s="333"/>
      <c r="I1801" s="333"/>
      <c r="J1801" s="333"/>
    </row>
    <row r="1802" spans="3:10" x14ac:dyDescent="0.2">
      <c r="C1802" s="333"/>
      <c r="D1802" s="333"/>
      <c r="F1802" s="333"/>
      <c r="G1802" s="333"/>
      <c r="H1802" s="333"/>
      <c r="I1802" s="333"/>
      <c r="J1802" s="333"/>
    </row>
    <row r="1803" spans="3:10" x14ac:dyDescent="0.2">
      <c r="C1803" s="333"/>
      <c r="D1803" s="333"/>
      <c r="F1803" s="333"/>
      <c r="G1803" s="333"/>
      <c r="H1803" s="333"/>
      <c r="I1803" s="333"/>
      <c r="J1803" s="333"/>
    </row>
    <row r="1804" spans="3:10" x14ac:dyDescent="0.2">
      <c r="C1804" s="333"/>
      <c r="D1804" s="333"/>
      <c r="F1804" s="333"/>
      <c r="G1804" s="333"/>
      <c r="H1804" s="333"/>
      <c r="I1804" s="333"/>
      <c r="J1804" s="333"/>
    </row>
    <row r="1805" spans="3:10" x14ac:dyDescent="0.2">
      <c r="C1805" s="333"/>
      <c r="D1805" s="333"/>
      <c r="F1805" s="333"/>
      <c r="G1805" s="333"/>
      <c r="H1805" s="333"/>
      <c r="I1805" s="333"/>
      <c r="J1805" s="333"/>
    </row>
    <row r="1806" spans="3:10" x14ac:dyDescent="0.2">
      <c r="C1806" s="333"/>
      <c r="D1806" s="333"/>
      <c r="F1806" s="333"/>
      <c r="G1806" s="333"/>
      <c r="H1806" s="333"/>
      <c r="I1806" s="333"/>
      <c r="J1806" s="333"/>
    </row>
    <row r="1807" spans="3:10" x14ac:dyDescent="0.2">
      <c r="C1807" s="333"/>
      <c r="D1807" s="333"/>
      <c r="F1807" s="333"/>
      <c r="G1807" s="333"/>
      <c r="H1807" s="333"/>
      <c r="I1807" s="333"/>
      <c r="J1807" s="333"/>
    </row>
    <row r="1808" spans="3:10" x14ac:dyDescent="0.2">
      <c r="C1808" s="333"/>
      <c r="D1808" s="333"/>
      <c r="F1808" s="333"/>
      <c r="G1808" s="333"/>
      <c r="H1808" s="333"/>
      <c r="I1808" s="333"/>
      <c r="J1808" s="333"/>
    </row>
    <row r="1809" spans="3:10" x14ac:dyDescent="0.2">
      <c r="C1809" s="333"/>
      <c r="D1809" s="333"/>
      <c r="F1809" s="333"/>
      <c r="G1809" s="333"/>
      <c r="H1809" s="333"/>
      <c r="I1809" s="333"/>
      <c r="J1809" s="333"/>
    </row>
    <row r="1810" spans="3:10" x14ac:dyDescent="0.2">
      <c r="C1810" s="333"/>
      <c r="D1810" s="333"/>
      <c r="F1810" s="333"/>
      <c r="G1810" s="333"/>
      <c r="H1810" s="333"/>
      <c r="I1810" s="333"/>
      <c r="J1810" s="333"/>
    </row>
    <row r="1811" spans="3:10" x14ac:dyDescent="0.2">
      <c r="C1811" s="333"/>
      <c r="D1811" s="333"/>
      <c r="F1811" s="333"/>
      <c r="G1811" s="333"/>
      <c r="H1811" s="333"/>
      <c r="I1811" s="333"/>
      <c r="J1811" s="333"/>
    </row>
    <row r="1812" spans="3:10" x14ac:dyDescent="0.2">
      <c r="C1812" s="333"/>
      <c r="D1812" s="333"/>
      <c r="F1812" s="333"/>
      <c r="G1812" s="333"/>
      <c r="H1812" s="333"/>
      <c r="I1812" s="333"/>
      <c r="J1812" s="333"/>
    </row>
    <row r="1813" spans="3:10" x14ac:dyDescent="0.2">
      <c r="C1813" s="333"/>
      <c r="D1813" s="333"/>
      <c r="F1813" s="333"/>
      <c r="G1813" s="333"/>
      <c r="H1813" s="333"/>
      <c r="I1813" s="333"/>
      <c r="J1813" s="333"/>
    </row>
    <row r="1814" spans="3:10" x14ac:dyDescent="0.2">
      <c r="C1814" s="333"/>
      <c r="D1814" s="333"/>
      <c r="F1814" s="333"/>
      <c r="G1814" s="333"/>
      <c r="H1814" s="333"/>
      <c r="I1814" s="333"/>
      <c r="J1814" s="333"/>
    </row>
    <row r="1815" spans="3:10" x14ac:dyDescent="0.2">
      <c r="C1815" s="333"/>
      <c r="D1815" s="333"/>
      <c r="F1815" s="333"/>
      <c r="G1815" s="333"/>
      <c r="H1815" s="333"/>
      <c r="I1815" s="333"/>
      <c r="J1815" s="333"/>
    </row>
    <row r="1816" spans="3:10" x14ac:dyDescent="0.2">
      <c r="C1816" s="333"/>
      <c r="D1816" s="333"/>
      <c r="F1816" s="333"/>
      <c r="G1816" s="333"/>
      <c r="H1816" s="333"/>
      <c r="I1816" s="333"/>
      <c r="J1816" s="333"/>
    </row>
    <row r="1817" spans="3:10" x14ac:dyDescent="0.2">
      <c r="C1817" s="333"/>
      <c r="D1817" s="333"/>
      <c r="F1817" s="333"/>
      <c r="G1817" s="333"/>
      <c r="H1817" s="333"/>
      <c r="I1817" s="333"/>
      <c r="J1817" s="333"/>
    </row>
    <row r="1818" spans="3:10" x14ac:dyDescent="0.2">
      <c r="C1818" s="333"/>
      <c r="D1818" s="333"/>
      <c r="F1818" s="333"/>
      <c r="G1818" s="333"/>
      <c r="H1818" s="333"/>
      <c r="I1818" s="333"/>
      <c r="J1818" s="333"/>
    </row>
    <row r="1819" spans="3:10" x14ac:dyDescent="0.2">
      <c r="C1819" s="333"/>
      <c r="D1819" s="333"/>
      <c r="F1819" s="333"/>
      <c r="G1819" s="333"/>
      <c r="H1819" s="333"/>
      <c r="I1819" s="333"/>
      <c r="J1819" s="333"/>
    </row>
    <row r="1820" spans="3:10" x14ac:dyDescent="0.2">
      <c r="C1820" s="333"/>
      <c r="D1820" s="333"/>
      <c r="F1820" s="333"/>
      <c r="G1820" s="333"/>
      <c r="H1820" s="333"/>
      <c r="I1820" s="333"/>
      <c r="J1820" s="333"/>
    </row>
    <row r="1821" spans="3:10" x14ac:dyDescent="0.2">
      <c r="C1821" s="333"/>
      <c r="D1821" s="333"/>
      <c r="F1821" s="333"/>
      <c r="G1821" s="333"/>
      <c r="H1821" s="333"/>
      <c r="I1821" s="333"/>
      <c r="J1821" s="333"/>
    </row>
    <row r="1822" spans="3:10" x14ac:dyDescent="0.2">
      <c r="C1822" s="333"/>
      <c r="D1822" s="333"/>
      <c r="F1822" s="333"/>
      <c r="G1822" s="333"/>
      <c r="H1822" s="333"/>
      <c r="I1822" s="333"/>
      <c r="J1822" s="333"/>
    </row>
    <row r="1823" spans="3:10" x14ac:dyDescent="0.2">
      <c r="C1823" s="333"/>
      <c r="D1823" s="333"/>
      <c r="F1823" s="333"/>
      <c r="G1823" s="333"/>
      <c r="H1823" s="333"/>
      <c r="I1823" s="333"/>
      <c r="J1823" s="333"/>
    </row>
    <row r="1824" spans="3:10" x14ac:dyDescent="0.2">
      <c r="C1824" s="333"/>
      <c r="D1824" s="333"/>
      <c r="F1824" s="333"/>
      <c r="G1824" s="333"/>
      <c r="H1824" s="333"/>
      <c r="I1824" s="333"/>
      <c r="J1824" s="333"/>
    </row>
    <row r="1825" spans="3:10" x14ac:dyDescent="0.2">
      <c r="C1825" s="333"/>
      <c r="D1825" s="333"/>
      <c r="F1825" s="333"/>
      <c r="G1825" s="333"/>
      <c r="H1825" s="333"/>
      <c r="I1825" s="333"/>
      <c r="J1825" s="333"/>
    </row>
    <row r="1826" spans="3:10" x14ac:dyDescent="0.2">
      <c r="C1826" s="333"/>
      <c r="D1826" s="333"/>
      <c r="F1826" s="333"/>
      <c r="G1826" s="333"/>
      <c r="H1826" s="333"/>
      <c r="I1826" s="333"/>
      <c r="J1826" s="333"/>
    </row>
    <row r="1827" spans="3:10" x14ac:dyDescent="0.2">
      <c r="C1827" s="333"/>
      <c r="D1827" s="333"/>
      <c r="F1827" s="333"/>
      <c r="G1827" s="333"/>
      <c r="H1827" s="333"/>
      <c r="I1827" s="333"/>
      <c r="J1827" s="333"/>
    </row>
    <row r="1828" spans="3:10" x14ac:dyDescent="0.2">
      <c r="C1828" s="333"/>
      <c r="D1828" s="333"/>
      <c r="F1828" s="333"/>
      <c r="G1828" s="333"/>
      <c r="H1828" s="333"/>
      <c r="I1828" s="333"/>
      <c r="J1828" s="333"/>
    </row>
    <row r="1829" spans="3:10" x14ac:dyDescent="0.2">
      <c r="C1829" s="333"/>
      <c r="D1829" s="333"/>
      <c r="F1829" s="333"/>
      <c r="G1829" s="333"/>
      <c r="H1829" s="333"/>
      <c r="I1829" s="333"/>
      <c r="J1829" s="333"/>
    </row>
    <row r="1830" spans="3:10" x14ac:dyDescent="0.2">
      <c r="C1830" s="333"/>
      <c r="D1830" s="333"/>
      <c r="F1830" s="333"/>
      <c r="G1830" s="333"/>
      <c r="H1830" s="333"/>
      <c r="I1830" s="333"/>
      <c r="J1830" s="333"/>
    </row>
    <row r="1831" spans="3:10" x14ac:dyDescent="0.2">
      <c r="C1831" s="333"/>
      <c r="D1831" s="333"/>
      <c r="F1831" s="333"/>
      <c r="G1831" s="333"/>
      <c r="H1831" s="333"/>
      <c r="I1831" s="333"/>
      <c r="J1831" s="333"/>
    </row>
    <row r="1832" spans="3:10" x14ac:dyDescent="0.2">
      <c r="C1832" s="333"/>
      <c r="D1832" s="333"/>
      <c r="F1832" s="333"/>
      <c r="G1832" s="333"/>
      <c r="H1832" s="333"/>
      <c r="I1832" s="333"/>
      <c r="J1832" s="333"/>
    </row>
    <row r="1833" spans="3:10" x14ac:dyDescent="0.2">
      <c r="C1833" s="333"/>
      <c r="D1833" s="333"/>
      <c r="F1833" s="333"/>
      <c r="G1833" s="333"/>
      <c r="H1833" s="333"/>
      <c r="I1833" s="333"/>
      <c r="J1833" s="333"/>
    </row>
    <row r="1834" spans="3:10" x14ac:dyDescent="0.2">
      <c r="C1834" s="333"/>
      <c r="D1834" s="333"/>
      <c r="F1834" s="333"/>
      <c r="G1834" s="333"/>
      <c r="H1834" s="333"/>
      <c r="I1834" s="333"/>
      <c r="J1834" s="333"/>
    </row>
    <row r="1835" spans="3:10" x14ac:dyDescent="0.2">
      <c r="C1835" s="333"/>
      <c r="D1835" s="333"/>
      <c r="F1835" s="333"/>
      <c r="G1835" s="333"/>
      <c r="H1835" s="333"/>
      <c r="I1835" s="333"/>
      <c r="J1835" s="333"/>
    </row>
    <row r="1836" spans="3:10" x14ac:dyDescent="0.2">
      <c r="C1836" s="333"/>
      <c r="D1836" s="333"/>
      <c r="F1836" s="333"/>
      <c r="G1836" s="333"/>
      <c r="H1836" s="333"/>
      <c r="I1836" s="333"/>
      <c r="J1836" s="333"/>
    </row>
    <row r="1837" spans="3:10" x14ac:dyDescent="0.2">
      <c r="C1837" s="333"/>
      <c r="D1837" s="333"/>
      <c r="F1837" s="333"/>
      <c r="G1837" s="333"/>
      <c r="H1837" s="333"/>
      <c r="I1837" s="333"/>
      <c r="J1837" s="333"/>
    </row>
    <row r="1838" spans="3:10" x14ac:dyDescent="0.2">
      <c r="C1838" s="333"/>
      <c r="D1838" s="333"/>
      <c r="F1838" s="333"/>
      <c r="G1838" s="333"/>
      <c r="H1838" s="333"/>
      <c r="I1838" s="333"/>
      <c r="J1838" s="333"/>
    </row>
    <row r="1839" spans="3:10" x14ac:dyDescent="0.2">
      <c r="C1839" s="333"/>
      <c r="D1839" s="333"/>
      <c r="F1839" s="333"/>
      <c r="G1839" s="333"/>
      <c r="H1839" s="333"/>
      <c r="I1839" s="333"/>
      <c r="J1839" s="333"/>
    </row>
    <row r="1840" spans="3:10" x14ac:dyDescent="0.2">
      <c r="C1840" s="333"/>
      <c r="D1840" s="333"/>
      <c r="F1840" s="333"/>
      <c r="G1840" s="333"/>
      <c r="H1840" s="333"/>
      <c r="I1840" s="333"/>
      <c r="J1840" s="333"/>
    </row>
    <row r="1841" spans="3:10" x14ac:dyDescent="0.2">
      <c r="C1841" s="333"/>
      <c r="D1841" s="333"/>
      <c r="F1841" s="333"/>
      <c r="G1841" s="333"/>
      <c r="H1841" s="333"/>
      <c r="I1841" s="333"/>
      <c r="J1841" s="333"/>
    </row>
    <row r="1842" spans="3:10" x14ac:dyDescent="0.2">
      <c r="C1842" s="333"/>
      <c r="D1842" s="333"/>
      <c r="F1842" s="333"/>
      <c r="G1842" s="333"/>
      <c r="H1842" s="333"/>
      <c r="I1842" s="333"/>
      <c r="J1842" s="333"/>
    </row>
    <row r="1843" spans="3:10" x14ac:dyDescent="0.2">
      <c r="C1843" s="333"/>
      <c r="D1843" s="333"/>
      <c r="F1843" s="333"/>
      <c r="G1843" s="333"/>
      <c r="H1843" s="333"/>
      <c r="I1843" s="333"/>
      <c r="J1843" s="333"/>
    </row>
    <row r="1844" spans="3:10" x14ac:dyDescent="0.2">
      <c r="C1844" s="333"/>
      <c r="D1844" s="333"/>
      <c r="F1844" s="333"/>
      <c r="G1844" s="333"/>
      <c r="H1844" s="333"/>
      <c r="I1844" s="333"/>
      <c r="J1844" s="333"/>
    </row>
    <row r="1845" spans="3:10" x14ac:dyDescent="0.2">
      <c r="C1845" s="333"/>
      <c r="D1845" s="333"/>
      <c r="F1845" s="333"/>
      <c r="G1845" s="333"/>
      <c r="H1845" s="333"/>
      <c r="I1845" s="333"/>
      <c r="J1845" s="333"/>
    </row>
    <row r="1846" spans="3:10" x14ac:dyDescent="0.2">
      <c r="C1846" s="333"/>
      <c r="D1846" s="333"/>
      <c r="F1846" s="333"/>
      <c r="G1846" s="333"/>
      <c r="H1846" s="333"/>
      <c r="I1846" s="333"/>
      <c r="J1846" s="333"/>
    </row>
    <row r="1847" spans="3:10" x14ac:dyDescent="0.2">
      <c r="C1847" s="333"/>
      <c r="D1847" s="333"/>
      <c r="F1847" s="333"/>
      <c r="G1847" s="333"/>
      <c r="H1847" s="333"/>
      <c r="I1847" s="333"/>
      <c r="J1847" s="333"/>
    </row>
    <row r="1848" spans="3:10" x14ac:dyDescent="0.2">
      <c r="C1848" s="333"/>
      <c r="D1848" s="333"/>
      <c r="F1848" s="333"/>
      <c r="G1848" s="333"/>
      <c r="H1848" s="333"/>
      <c r="I1848" s="333"/>
      <c r="J1848" s="333"/>
    </row>
    <row r="1849" spans="3:10" x14ac:dyDescent="0.2">
      <c r="C1849" s="333"/>
      <c r="D1849" s="333"/>
      <c r="F1849" s="333"/>
      <c r="G1849" s="333"/>
      <c r="H1849" s="333"/>
      <c r="I1849" s="333"/>
      <c r="J1849" s="333"/>
    </row>
    <row r="1850" spans="3:10" x14ac:dyDescent="0.2">
      <c r="C1850" s="333"/>
      <c r="D1850" s="333"/>
      <c r="F1850" s="333"/>
      <c r="G1850" s="333"/>
      <c r="H1850" s="333"/>
      <c r="I1850" s="333"/>
      <c r="J1850" s="333"/>
    </row>
    <row r="1851" spans="3:10" x14ac:dyDescent="0.2">
      <c r="C1851" s="333"/>
      <c r="D1851" s="333"/>
      <c r="F1851" s="333"/>
      <c r="G1851" s="333"/>
      <c r="H1851" s="333"/>
      <c r="I1851" s="333"/>
      <c r="J1851" s="333"/>
    </row>
    <row r="1852" spans="3:10" x14ac:dyDescent="0.2">
      <c r="C1852" s="333"/>
      <c r="D1852" s="333"/>
      <c r="F1852" s="333"/>
      <c r="G1852" s="333"/>
      <c r="H1852" s="333"/>
      <c r="I1852" s="333"/>
      <c r="J1852" s="333"/>
    </row>
    <row r="1853" spans="3:10" x14ac:dyDescent="0.2">
      <c r="C1853" s="333"/>
      <c r="D1853" s="333"/>
      <c r="F1853" s="333"/>
      <c r="G1853" s="333"/>
      <c r="H1853" s="333"/>
      <c r="I1853" s="333"/>
      <c r="J1853" s="333"/>
    </row>
    <row r="1854" spans="3:10" x14ac:dyDescent="0.2">
      <c r="C1854" s="333"/>
      <c r="D1854" s="333"/>
      <c r="F1854" s="333"/>
      <c r="G1854" s="333"/>
      <c r="H1854" s="333"/>
      <c r="I1854" s="333"/>
      <c r="J1854" s="333"/>
    </row>
    <row r="1855" spans="3:10" x14ac:dyDescent="0.2">
      <c r="C1855" s="333"/>
      <c r="D1855" s="333"/>
      <c r="F1855" s="333"/>
      <c r="G1855" s="333"/>
      <c r="H1855" s="333"/>
      <c r="I1855" s="333"/>
      <c r="J1855" s="333"/>
    </row>
    <row r="1856" spans="3:10" x14ac:dyDescent="0.2">
      <c r="C1856" s="333"/>
      <c r="D1856" s="333"/>
      <c r="F1856" s="333"/>
      <c r="G1856" s="333"/>
      <c r="H1856" s="333"/>
      <c r="I1856" s="333"/>
      <c r="J1856" s="333"/>
    </row>
    <row r="1857" spans="3:10" x14ac:dyDescent="0.2">
      <c r="C1857" s="333"/>
      <c r="D1857" s="333"/>
      <c r="F1857" s="333"/>
      <c r="G1857" s="333"/>
      <c r="H1857" s="333"/>
      <c r="I1857" s="333"/>
      <c r="J1857" s="333"/>
    </row>
    <row r="1858" spans="3:10" x14ac:dyDescent="0.2">
      <c r="C1858" s="333"/>
      <c r="D1858" s="333"/>
      <c r="F1858" s="333"/>
      <c r="G1858" s="333"/>
      <c r="H1858" s="333"/>
      <c r="I1858" s="333"/>
      <c r="J1858" s="333"/>
    </row>
    <row r="1859" spans="3:10" x14ac:dyDescent="0.2">
      <c r="C1859" s="333"/>
      <c r="D1859" s="333"/>
      <c r="F1859" s="333"/>
      <c r="G1859" s="333"/>
      <c r="H1859" s="333"/>
      <c r="I1859" s="333"/>
      <c r="J1859" s="333"/>
    </row>
    <row r="1860" spans="3:10" x14ac:dyDescent="0.2">
      <c r="C1860" s="333"/>
      <c r="D1860" s="333"/>
      <c r="F1860" s="333"/>
      <c r="G1860" s="333"/>
      <c r="H1860" s="333"/>
      <c r="I1860" s="333"/>
      <c r="J1860" s="333"/>
    </row>
    <row r="1861" spans="3:10" x14ac:dyDescent="0.2">
      <c r="C1861" s="333"/>
      <c r="D1861" s="333"/>
      <c r="F1861" s="333"/>
      <c r="G1861" s="333"/>
      <c r="H1861" s="333"/>
      <c r="I1861" s="333"/>
      <c r="J1861" s="333"/>
    </row>
    <row r="1862" spans="3:10" x14ac:dyDescent="0.2">
      <c r="C1862" s="333"/>
      <c r="D1862" s="333"/>
      <c r="F1862" s="333"/>
      <c r="G1862" s="333"/>
      <c r="H1862" s="333"/>
      <c r="I1862" s="333"/>
      <c r="J1862" s="333"/>
    </row>
    <row r="1863" spans="3:10" x14ac:dyDescent="0.2">
      <c r="C1863" s="333"/>
      <c r="D1863" s="333"/>
      <c r="F1863" s="333"/>
      <c r="G1863" s="333"/>
      <c r="H1863" s="333"/>
      <c r="I1863" s="333"/>
      <c r="J1863" s="333"/>
    </row>
    <row r="1864" spans="3:10" x14ac:dyDescent="0.2">
      <c r="C1864" s="333"/>
      <c r="D1864" s="333"/>
      <c r="F1864" s="333"/>
      <c r="G1864" s="333"/>
      <c r="H1864" s="333"/>
      <c r="I1864" s="333"/>
      <c r="J1864" s="333"/>
    </row>
    <row r="1865" spans="3:10" x14ac:dyDescent="0.2">
      <c r="C1865" s="333"/>
      <c r="D1865" s="333"/>
      <c r="F1865" s="333"/>
      <c r="G1865" s="333"/>
      <c r="H1865" s="333"/>
      <c r="I1865" s="333"/>
      <c r="J1865" s="333"/>
    </row>
    <row r="1866" spans="3:10" x14ac:dyDescent="0.2">
      <c r="C1866" s="333"/>
      <c r="D1866" s="333"/>
      <c r="F1866" s="333"/>
      <c r="G1866" s="333"/>
      <c r="H1866" s="333"/>
      <c r="I1866" s="333"/>
      <c r="J1866" s="333"/>
    </row>
    <row r="1867" spans="3:10" x14ac:dyDescent="0.2">
      <c r="C1867" s="333"/>
      <c r="D1867" s="333"/>
      <c r="F1867" s="333"/>
      <c r="G1867" s="333"/>
      <c r="H1867" s="333"/>
      <c r="I1867" s="333"/>
      <c r="J1867" s="333"/>
    </row>
    <row r="1868" spans="3:10" x14ac:dyDescent="0.2">
      <c r="C1868" s="333"/>
      <c r="D1868" s="333"/>
      <c r="F1868" s="333"/>
      <c r="G1868" s="333"/>
      <c r="H1868" s="333"/>
      <c r="I1868" s="333"/>
      <c r="J1868" s="333"/>
    </row>
    <row r="1869" spans="3:10" x14ac:dyDescent="0.2">
      <c r="C1869" s="333"/>
      <c r="D1869" s="333"/>
      <c r="F1869" s="333"/>
      <c r="G1869" s="333"/>
      <c r="H1869" s="333"/>
      <c r="I1869" s="333"/>
      <c r="J1869" s="333"/>
    </row>
    <row r="1870" spans="3:10" x14ac:dyDescent="0.2">
      <c r="C1870" s="333"/>
      <c r="D1870" s="333"/>
      <c r="F1870" s="333"/>
      <c r="G1870" s="333"/>
      <c r="H1870" s="333"/>
      <c r="I1870" s="333"/>
      <c r="J1870" s="333"/>
    </row>
    <row r="1871" spans="3:10" x14ac:dyDescent="0.2">
      <c r="C1871" s="333"/>
      <c r="D1871" s="333"/>
      <c r="F1871" s="333"/>
      <c r="G1871" s="333"/>
      <c r="H1871" s="333"/>
      <c r="I1871" s="333"/>
      <c r="J1871" s="333"/>
    </row>
    <row r="1872" spans="3:10" x14ac:dyDescent="0.2">
      <c r="C1872" s="333"/>
      <c r="D1872" s="333"/>
      <c r="F1872" s="333"/>
      <c r="G1872" s="333"/>
      <c r="H1872" s="333"/>
      <c r="I1872" s="333"/>
      <c r="J1872" s="333"/>
    </row>
    <row r="1873" spans="3:10" x14ac:dyDescent="0.2">
      <c r="C1873" s="333"/>
      <c r="D1873" s="333"/>
      <c r="F1873" s="333"/>
      <c r="G1873" s="333"/>
      <c r="H1873" s="333"/>
      <c r="I1873" s="333"/>
      <c r="J1873" s="333"/>
    </row>
    <row r="1874" spans="3:10" x14ac:dyDescent="0.2">
      <c r="C1874" s="333"/>
      <c r="D1874" s="333"/>
      <c r="F1874" s="333"/>
      <c r="G1874" s="333"/>
      <c r="H1874" s="333"/>
      <c r="I1874" s="333"/>
      <c r="J1874" s="333"/>
    </row>
    <row r="1875" spans="3:10" x14ac:dyDescent="0.2">
      <c r="C1875" s="333"/>
      <c r="D1875" s="333"/>
      <c r="F1875" s="333"/>
      <c r="G1875" s="333"/>
      <c r="H1875" s="333"/>
      <c r="I1875" s="333"/>
      <c r="J1875" s="333"/>
    </row>
    <row r="1876" spans="3:10" x14ac:dyDescent="0.2">
      <c r="C1876" s="333"/>
      <c r="D1876" s="333"/>
      <c r="F1876" s="333"/>
      <c r="G1876" s="333"/>
      <c r="H1876" s="333"/>
      <c r="I1876" s="333"/>
      <c r="J1876" s="333"/>
    </row>
    <row r="1877" spans="3:10" x14ac:dyDescent="0.2">
      <c r="C1877" s="333"/>
      <c r="D1877" s="333"/>
      <c r="F1877" s="333"/>
      <c r="G1877" s="333"/>
      <c r="H1877" s="333"/>
      <c r="I1877" s="333"/>
      <c r="J1877" s="333"/>
    </row>
    <row r="1878" spans="3:10" x14ac:dyDescent="0.2">
      <c r="C1878" s="333"/>
      <c r="D1878" s="333"/>
      <c r="F1878" s="333"/>
      <c r="G1878" s="333"/>
      <c r="H1878" s="333"/>
      <c r="I1878" s="333"/>
      <c r="J1878" s="333"/>
    </row>
    <row r="1879" spans="3:10" x14ac:dyDescent="0.2">
      <c r="C1879" s="333"/>
      <c r="D1879" s="333"/>
      <c r="F1879" s="333"/>
      <c r="G1879" s="333"/>
      <c r="H1879" s="333"/>
      <c r="I1879" s="333"/>
      <c r="J1879" s="333"/>
    </row>
    <row r="1880" spans="3:10" x14ac:dyDescent="0.2">
      <c r="C1880" s="333"/>
      <c r="D1880" s="333"/>
      <c r="F1880" s="333"/>
      <c r="G1880" s="333"/>
      <c r="H1880" s="333"/>
      <c r="I1880" s="333"/>
      <c r="J1880" s="333"/>
    </row>
    <row r="1881" spans="3:10" x14ac:dyDescent="0.2">
      <c r="C1881" s="333"/>
      <c r="D1881" s="333"/>
      <c r="F1881" s="333"/>
      <c r="G1881" s="333"/>
      <c r="H1881" s="333"/>
      <c r="I1881" s="333"/>
      <c r="J1881" s="333"/>
    </row>
    <row r="1882" spans="3:10" x14ac:dyDescent="0.2">
      <c r="C1882" s="333"/>
      <c r="D1882" s="333"/>
      <c r="F1882" s="333"/>
      <c r="G1882" s="333"/>
      <c r="H1882" s="333"/>
      <c r="I1882" s="333"/>
      <c r="J1882" s="333"/>
    </row>
    <row r="1883" spans="3:10" x14ac:dyDescent="0.2">
      <c r="C1883" s="333"/>
      <c r="D1883" s="333"/>
      <c r="F1883" s="333"/>
      <c r="G1883" s="333"/>
      <c r="H1883" s="333"/>
      <c r="I1883" s="333"/>
      <c r="J1883" s="333"/>
    </row>
    <row r="1884" spans="3:10" x14ac:dyDescent="0.2">
      <c r="C1884" s="333"/>
      <c r="D1884" s="333"/>
      <c r="F1884" s="333"/>
      <c r="G1884" s="333"/>
      <c r="H1884" s="333"/>
      <c r="I1884" s="333"/>
      <c r="J1884" s="333"/>
    </row>
    <row r="1885" spans="3:10" x14ac:dyDescent="0.2">
      <c r="C1885" s="333"/>
      <c r="D1885" s="333"/>
      <c r="F1885" s="333"/>
      <c r="G1885" s="333"/>
      <c r="H1885" s="333"/>
      <c r="I1885" s="333"/>
      <c r="J1885" s="333"/>
    </row>
    <row r="1886" spans="3:10" x14ac:dyDescent="0.2">
      <c r="C1886" s="333"/>
      <c r="D1886" s="333"/>
      <c r="F1886" s="333"/>
      <c r="G1886" s="333"/>
      <c r="H1886" s="333"/>
      <c r="I1886" s="333"/>
      <c r="J1886" s="333"/>
    </row>
    <row r="1887" spans="3:10" x14ac:dyDescent="0.2">
      <c r="C1887" s="333"/>
      <c r="D1887" s="333"/>
      <c r="F1887" s="333"/>
      <c r="G1887" s="333"/>
      <c r="H1887" s="333"/>
      <c r="I1887" s="333"/>
      <c r="J1887" s="333"/>
    </row>
    <row r="1888" spans="3:10" x14ac:dyDescent="0.2">
      <c r="C1888" s="333"/>
      <c r="D1888" s="333"/>
      <c r="F1888" s="333"/>
      <c r="G1888" s="333"/>
      <c r="H1888" s="333"/>
      <c r="I1888" s="333"/>
      <c r="J1888" s="333"/>
    </row>
    <row r="1889" spans="3:10" x14ac:dyDescent="0.2">
      <c r="C1889" s="333"/>
      <c r="D1889" s="333"/>
      <c r="F1889" s="333"/>
      <c r="G1889" s="333"/>
      <c r="H1889" s="333"/>
      <c r="I1889" s="333"/>
      <c r="J1889" s="333"/>
    </row>
    <row r="1890" spans="3:10" x14ac:dyDescent="0.2">
      <c r="C1890" s="333"/>
      <c r="D1890" s="333"/>
      <c r="F1890" s="333"/>
      <c r="G1890" s="333"/>
      <c r="H1890" s="333"/>
      <c r="I1890" s="333"/>
      <c r="J1890" s="333"/>
    </row>
    <row r="1891" spans="3:10" x14ac:dyDescent="0.2">
      <c r="C1891" s="333"/>
      <c r="D1891" s="333"/>
      <c r="F1891" s="333"/>
      <c r="G1891" s="333"/>
      <c r="H1891" s="333"/>
      <c r="I1891" s="333"/>
      <c r="J1891" s="333"/>
    </row>
    <row r="1892" spans="3:10" x14ac:dyDescent="0.2">
      <c r="C1892" s="333"/>
      <c r="D1892" s="333"/>
      <c r="F1892" s="333"/>
      <c r="G1892" s="333"/>
      <c r="H1892" s="333"/>
      <c r="I1892" s="333"/>
      <c r="J1892" s="333"/>
    </row>
    <row r="1893" spans="3:10" x14ac:dyDescent="0.2">
      <c r="C1893" s="333"/>
      <c r="D1893" s="333"/>
      <c r="F1893" s="333"/>
      <c r="G1893" s="333"/>
      <c r="H1893" s="333"/>
      <c r="I1893" s="333"/>
      <c r="J1893" s="333"/>
    </row>
    <row r="1894" spans="3:10" x14ac:dyDescent="0.2">
      <c r="C1894" s="333"/>
      <c r="D1894" s="333"/>
      <c r="F1894" s="333"/>
      <c r="G1894" s="333"/>
      <c r="H1894" s="333"/>
      <c r="I1894" s="333"/>
      <c r="J1894" s="333"/>
    </row>
    <row r="1895" spans="3:10" x14ac:dyDescent="0.2">
      <c r="C1895" s="333"/>
      <c r="D1895" s="333"/>
      <c r="F1895" s="333"/>
      <c r="G1895" s="333"/>
      <c r="H1895" s="333"/>
      <c r="I1895" s="333"/>
      <c r="J1895" s="333"/>
    </row>
    <row r="1896" spans="3:10" x14ac:dyDescent="0.2">
      <c r="C1896" s="333"/>
      <c r="D1896" s="333"/>
      <c r="F1896" s="333"/>
      <c r="G1896" s="333"/>
      <c r="H1896" s="333"/>
      <c r="I1896" s="333"/>
      <c r="J1896" s="333"/>
    </row>
    <row r="1897" spans="3:10" x14ac:dyDescent="0.2">
      <c r="C1897" s="333"/>
      <c r="D1897" s="333"/>
      <c r="F1897" s="333"/>
      <c r="G1897" s="333"/>
      <c r="H1897" s="333"/>
      <c r="I1897" s="333"/>
      <c r="J1897" s="333"/>
    </row>
    <row r="1898" spans="3:10" x14ac:dyDescent="0.2">
      <c r="C1898" s="333"/>
      <c r="D1898" s="333"/>
      <c r="F1898" s="333"/>
      <c r="G1898" s="333"/>
      <c r="H1898" s="333"/>
      <c r="I1898" s="333"/>
      <c r="J1898" s="333"/>
    </row>
    <row r="1899" spans="3:10" x14ac:dyDescent="0.2">
      <c r="C1899" s="333"/>
      <c r="D1899" s="333"/>
      <c r="F1899" s="333"/>
      <c r="G1899" s="333"/>
      <c r="H1899" s="333"/>
      <c r="I1899" s="333"/>
      <c r="J1899" s="333"/>
    </row>
    <row r="1900" spans="3:10" x14ac:dyDescent="0.2">
      <c r="C1900" s="333"/>
      <c r="D1900" s="333"/>
      <c r="F1900" s="333"/>
      <c r="G1900" s="333"/>
      <c r="H1900" s="333"/>
      <c r="I1900" s="333"/>
      <c r="J1900" s="333"/>
    </row>
    <row r="1901" spans="3:10" x14ac:dyDescent="0.2">
      <c r="C1901" s="333"/>
      <c r="D1901" s="333"/>
      <c r="F1901" s="333"/>
      <c r="G1901" s="333"/>
      <c r="H1901" s="333"/>
      <c r="I1901" s="333"/>
      <c r="J1901" s="333"/>
    </row>
    <row r="1902" spans="3:10" x14ac:dyDescent="0.2">
      <c r="C1902" s="333"/>
      <c r="D1902" s="333"/>
      <c r="F1902" s="333"/>
      <c r="G1902" s="333"/>
      <c r="H1902" s="333"/>
      <c r="I1902" s="333"/>
      <c r="J1902" s="333"/>
    </row>
    <row r="1903" spans="3:10" x14ac:dyDescent="0.2">
      <c r="C1903" s="333"/>
      <c r="D1903" s="333"/>
      <c r="F1903" s="333"/>
      <c r="G1903" s="333"/>
      <c r="H1903" s="333"/>
      <c r="I1903" s="333"/>
      <c r="J1903" s="333"/>
    </row>
    <row r="1904" spans="3:10" x14ac:dyDescent="0.2">
      <c r="C1904" s="333"/>
      <c r="D1904" s="333"/>
      <c r="F1904" s="333"/>
      <c r="G1904" s="333"/>
      <c r="H1904" s="333"/>
      <c r="I1904" s="333"/>
      <c r="J1904" s="333"/>
    </row>
    <row r="1905" spans="3:10" x14ac:dyDescent="0.2">
      <c r="C1905" s="333"/>
      <c r="D1905" s="333"/>
      <c r="F1905" s="333"/>
      <c r="G1905" s="333"/>
      <c r="H1905" s="333"/>
      <c r="I1905" s="333"/>
      <c r="J1905" s="333"/>
    </row>
    <row r="1906" spans="3:10" x14ac:dyDescent="0.2">
      <c r="C1906" s="333"/>
      <c r="D1906" s="333"/>
      <c r="F1906" s="333"/>
      <c r="G1906" s="333"/>
      <c r="H1906" s="333"/>
      <c r="I1906" s="333"/>
      <c r="J1906" s="333"/>
    </row>
    <row r="1907" spans="3:10" x14ac:dyDescent="0.2">
      <c r="C1907" s="333"/>
      <c r="D1907" s="333"/>
      <c r="F1907" s="333"/>
      <c r="G1907" s="333"/>
      <c r="H1907" s="333"/>
      <c r="I1907" s="333"/>
      <c r="J1907" s="333"/>
    </row>
    <row r="1908" spans="3:10" x14ac:dyDescent="0.2">
      <c r="C1908" s="333"/>
      <c r="D1908" s="333"/>
      <c r="F1908" s="333"/>
      <c r="G1908" s="333"/>
      <c r="H1908" s="333"/>
      <c r="I1908" s="333"/>
      <c r="J1908" s="333"/>
    </row>
    <row r="1909" spans="3:10" x14ac:dyDescent="0.2">
      <c r="C1909" s="333"/>
      <c r="D1909" s="333"/>
      <c r="F1909" s="333"/>
      <c r="G1909" s="333"/>
      <c r="H1909" s="333"/>
      <c r="I1909" s="333"/>
      <c r="J1909" s="333"/>
    </row>
    <row r="1910" spans="3:10" x14ac:dyDescent="0.2">
      <c r="C1910" s="333"/>
      <c r="D1910" s="333"/>
      <c r="F1910" s="333"/>
      <c r="G1910" s="333"/>
      <c r="H1910" s="333"/>
      <c r="I1910" s="333"/>
      <c r="J1910" s="333"/>
    </row>
    <row r="1911" spans="3:10" x14ac:dyDescent="0.2">
      <c r="C1911" s="333"/>
      <c r="D1911" s="333"/>
      <c r="F1911" s="333"/>
      <c r="G1911" s="333"/>
      <c r="H1911" s="333"/>
      <c r="I1911" s="333"/>
      <c r="J1911" s="333"/>
    </row>
    <row r="1912" spans="3:10" x14ac:dyDescent="0.2">
      <c r="C1912" s="333"/>
      <c r="D1912" s="333"/>
      <c r="F1912" s="333"/>
      <c r="G1912" s="333"/>
      <c r="H1912" s="333"/>
      <c r="I1912" s="333"/>
      <c r="J1912" s="333"/>
    </row>
    <row r="1913" spans="3:10" x14ac:dyDescent="0.2">
      <c r="C1913" s="333"/>
      <c r="D1913" s="333"/>
      <c r="F1913" s="333"/>
      <c r="G1913" s="333"/>
      <c r="H1913" s="333"/>
      <c r="I1913" s="333"/>
      <c r="J1913" s="333"/>
    </row>
    <row r="1914" spans="3:10" x14ac:dyDescent="0.2">
      <c r="C1914" s="333"/>
      <c r="D1914" s="333"/>
      <c r="F1914" s="333"/>
      <c r="G1914" s="333"/>
      <c r="H1914" s="333"/>
      <c r="I1914" s="333"/>
      <c r="J1914" s="333"/>
    </row>
    <row r="1915" spans="3:10" x14ac:dyDescent="0.2">
      <c r="C1915" s="333"/>
      <c r="D1915" s="333"/>
      <c r="F1915" s="333"/>
      <c r="G1915" s="333"/>
      <c r="H1915" s="333"/>
      <c r="I1915" s="333"/>
      <c r="J1915" s="333"/>
    </row>
    <row r="1916" spans="3:10" x14ac:dyDescent="0.2">
      <c r="C1916" s="333"/>
      <c r="D1916" s="333"/>
      <c r="F1916" s="333"/>
      <c r="G1916" s="333"/>
      <c r="H1916" s="333"/>
      <c r="I1916" s="333"/>
      <c r="J1916" s="333"/>
    </row>
    <row r="1917" spans="3:10" x14ac:dyDescent="0.2">
      <c r="C1917" s="333"/>
      <c r="D1917" s="333"/>
      <c r="F1917" s="333"/>
      <c r="G1917" s="333"/>
      <c r="H1917" s="333"/>
      <c r="I1917" s="333"/>
      <c r="J1917" s="333"/>
    </row>
    <row r="1918" spans="3:10" x14ac:dyDescent="0.2">
      <c r="C1918" s="333"/>
      <c r="D1918" s="333"/>
      <c r="F1918" s="333"/>
      <c r="G1918" s="333"/>
      <c r="H1918" s="333"/>
      <c r="I1918" s="333"/>
      <c r="J1918" s="333"/>
    </row>
    <row r="1919" spans="3:10" x14ac:dyDescent="0.2">
      <c r="C1919" s="333"/>
      <c r="D1919" s="333"/>
      <c r="F1919" s="333"/>
      <c r="G1919" s="333"/>
      <c r="H1919" s="333"/>
      <c r="I1919" s="333"/>
      <c r="J1919" s="333"/>
    </row>
    <row r="1920" spans="3:10" x14ac:dyDescent="0.2">
      <c r="C1920" s="333"/>
      <c r="D1920" s="333"/>
      <c r="F1920" s="333"/>
      <c r="G1920" s="333"/>
      <c r="H1920" s="333"/>
      <c r="I1920" s="333"/>
      <c r="J1920" s="333"/>
    </row>
    <row r="1921" spans="3:10" x14ac:dyDescent="0.2">
      <c r="C1921" s="333"/>
      <c r="D1921" s="333"/>
      <c r="F1921" s="333"/>
      <c r="G1921" s="333"/>
      <c r="H1921" s="333"/>
      <c r="I1921" s="333"/>
      <c r="J1921" s="333"/>
    </row>
    <row r="1922" spans="3:10" x14ac:dyDescent="0.2">
      <c r="C1922" s="333"/>
      <c r="D1922" s="333"/>
      <c r="F1922" s="333"/>
      <c r="G1922" s="333"/>
      <c r="H1922" s="333"/>
      <c r="I1922" s="333"/>
      <c r="J1922" s="333"/>
    </row>
    <row r="1923" spans="3:10" x14ac:dyDescent="0.2">
      <c r="C1923" s="333"/>
      <c r="D1923" s="333"/>
      <c r="F1923" s="333"/>
      <c r="G1923" s="333"/>
      <c r="H1923" s="333"/>
      <c r="I1923" s="333"/>
      <c r="J1923" s="333"/>
    </row>
    <row r="1924" spans="3:10" x14ac:dyDescent="0.2">
      <c r="C1924" s="333"/>
      <c r="D1924" s="333"/>
      <c r="F1924" s="333"/>
      <c r="G1924" s="333"/>
      <c r="H1924" s="333"/>
      <c r="I1924" s="333"/>
      <c r="J1924" s="333"/>
    </row>
    <row r="1925" spans="3:10" x14ac:dyDescent="0.2">
      <c r="C1925" s="333"/>
      <c r="D1925" s="333"/>
      <c r="F1925" s="333"/>
      <c r="G1925" s="333"/>
      <c r="H1925" s="333"/>
      <c r="I1925" s="333"/>
      <c r="J1925" s="333"/>
    </row>
    <row r="1926" spans="3:10" x14ac:dyDescent="0.2">
      <c r="C1926" s="333"/>
      <c r="D1926" s="333"/>
      <c r="F1926" s="333"/>
      <c r="G1926" s="333"/>
      <c r="H1926" s="333"/>
      <c r="I1926" s="333"/>
      <c r="J1926" s="333"/>
    </row>
    <row r="1927" spans="3:10" x14ac:dyDescent="0.2">
      <c r="C1927" s="333"/>
      <c r="D1927" s="333"/>
      <c r="F1927" s="333"/>
      <c r="G1927" s="333"/>
      <c r="H1927" s="333"/>
      <c r="I1927" s="333"/>
      <c r="J1927" s="333"/>
    </row>
    <row r="1928" spans="3:10" x14ac:dyDescent="0.2">
      <c r="C1928" s="333"/>
      <c r="D1928" s="333"/>
      <c r="F1928" s="333"/>
      <c r="G1928" s="333"/>
      <c r="H1928" s="333"/>
      <c r="I1928" s="333"/>
      <c r="J1928" s="333"/>
    </row>
    <row r="1929" spans="3:10" x14ac:dyDescent="0.2">
      <c r="C1929" s="333"/>
      <c r="D1929" s="333"/>
      <c r="F1929" s="333"/>
      <c r="G1929" s="333"/>
      <c r="H1929" s="333"/>
      <c r="I1929" s="333"/>
      <c r="J1929" s="333"/>
    </row>
    <row r="1930" spans="3:10" x14ac:dyDescent="0.2">
      <c r="C1930" s="333"/>
      <c r="D1930" s="333"/>
      <c r="F1930" s="333"/>
      <c r="G1930" s="333"/>
      <c r="H1930" s="333"/>
      <c r="I1930" s="333"/>
      <c r="J1930" s="333"/>
    </row>
    <row r="1931" spans="3:10" x14ac:dyDescent="0.2">
      <c r="C1931" s="333"/>
      <c r="D1931" s="333"/>
      <c r="F1931" s="333"/>
      <c r="G1931" s="333"/>
      <c r="H1931" s="333"/>
      <c r="I1931" s="333"/>
      <c r="J1931" s="333"/>
    </row>
    <row r="1932" spans="3:10" x14ac:dyDescent="0.2">
      <c r="C1932" s="333"/>
      <c r="D1932" s="333"/>
      <c r="F1932" s="333"/>
      <c r="G1932" s="333"/>
      <c r="H1932" s="333"/>
      <c r="I1932" s="333"/>
      <c r="J1932" s="333"/>
    </row>
    <row r="1933" spans="3:10" x14ac:dyDescent="0.2">
      <c r="C1933" s="333"/>
      <c r="D1933" s="333"/>
      <c r="F1933" s="333"/>
      <c r="G1933" s="333"/>
      <c r="H1933" s="333"/>
      <c r="I1933" s="333"/>
      <c r="J1933" s="333"/>
    </row>
    <row r="1934" spans="3:10" x14ac:dyDescent="0.2">
      <c r="C1934" s="333"/>
      <c r="D1934" s="333"/>
      <c r="F1934" s="333"/>
      <c r="G1934" s="333"/>
      <c r="H1934" s="333"/>
      <c r="I1934" s="333"/>
      <c r="J1934" s="333"/>
    </row>
    <row r="1935" spans="3:10" x14ac:dyDescent="0.2">
      <c r="C1935" s="333"/>
      <c r="D1935" s="333"/>
      <c r="F1935" s="333"/>
      <c r="G1935" s="333"/>
      <c r="H1935" s="333"/>
      <c r="I1935" s="333"/>
      <c r="J1935" s="333"/>
    </row>
    <row r="1936" spans="3:10" x14ac:dyDescent="0.2">
      <c r="C1936" s="333"/>
      <c r="D1936" s="333"/>
      <c r="F1936" s="333"/>
      <c r="G1936" s="333"/>
      <c r="H1936" s="333"/>
      <c r="I1936" s="333"/>
      <c r="J1936" s="333"/>
    </row>
    <row r="1937" spans="3:10" x14ac:dyDescent="0.2">
      <c r="C1937" s="333"/>
      <c r="D1937" s="333"/>
      <c r="F1937" s="333"/>
      <c r="G1937" s="333"/>
      <c r="H1937" s="333"/>
      <c r="I1937" s="333"/>
      <c r="J1937" s="333"/>
    </row>
    <row r="1938" spans="3:10" x14ac:dyDescent="0.2">
      <c r="C1938" s="333"/>
      <c r="D1938" s="333"/>
      <c r="F1938" s="333"/>
      <c r="G1938" s="333"/>
      <c r="H1938" s="333"/>
      <c r="I1938" s="333"/>
      <c r="J1938" s="333"/>
    </row>
    <row r="1939" spans="3:10" x14ac:dyDescent="0.2">
      <c r="C1939" s="333"/>
      <c r="D1939" s="333"/>
      <c r="F1939" s="333"/>
      <c r="G1939" s="333"/>
      <c r="H1939" s="333"/>
      <c r="I1939" s="333"/>
      <c r="J1939" s="333"/>
    </row>
    <row r="1940" spans="3:10" x14ac:dyDescent="0.2">
      <c r="C1940" s="333"/>
      <c r="D1940" s="333"/>
      <c r="F1940" s="333"/>
      <c r="G1940" s="333"/>
      <c r="H1940" s="333"/>
      <c r="I1940" s="333"/>
      <c r="J1940" s="333"/>
    </row>
    <row r="1941" spans="3:10" x14ac:dyDescent="0.2">
      <c r="C1941" s="333"/>
      <c r="D1941" s="333"/>
      <c r="F1941" s="333"/>
      <c r="G1941" s="333"/>
      <c r="H1941" s="333"/>
      <c r="I1941" s="333"/>
      <c r="J1941" s="333"/>
    </row>
    <row r="1942" spans="3:10" x14ac:dyDescent="0.2">
      <c r="C1942" s="333"/>
      <c r="D1942" s="333"/>
      <c r="F1942" s="333"/>
      <c r="G1942" s="333"/>
      <c r="H1942" s="333"/>
      <c r="I1942" s="333"/>
      <c r="J1942" s="333"/>
    </row>
    <row r="1943" spans="3:10" x14ac:dyDescent="0.2">
      <c r="C1943" s="333"/>
      <c r="D1943" s="333"/>
      <c r="F1943" s="333"/>
      <c r="G1943" s="333"/>
      <c r="H1943" s="333"/>
      <c r="I1943" s="333"/>
      <c r="J1943" s="333"/>
    </row>
    <row r="1944" spans="3:10" x14ac:dyDescent="0.2">
      <c r="C1944" s="333"/>
      <c r="D1944" s="333"/>
      <c r="F1944" s="333"/>
      <c r="G1944" s="333"/>
      <c r="H1944" s="333"/>
      <c r="I1944" s="333"/>
      <c r="J1944" s="333"/>
    </row>
    <row r="1945" spans="3:10" x14ac:dyDescent="0.2">
      <c r="C1945" s="333"/>
      <c r="D1945" s="333"/>
      <c r="F1945" s="333"/>
      <c r="G1945" s="333"/>
      <c r="H1945" s="333"/>
      <c r="I1945" s="333"/>
      <c r="J1945" s="333"/>
    </row>
    <row r="1946" spans="3:10" x14ac:dyDescent="0.2">
      <c r="C1946" s="333"/>
      <c r="D1946" s="333"/>
      <c r="F1946" s="333"/>
      <c r="G1946" s="333"/>
      <c r="H1946" s="333"/>
      <c r="I1946" s="333"/>
      <c r="J1946" s="333"/>
    </row>
    <row r="1947" spans="3:10" x14ac:dyDescent="0.2">
      <c r="C1947" s="333"/>
      <c r="D1947" s="333"/>
      <c r="F1947" s="333"/>
      <c r="G1947" s="333"/>
      <c r="H1947" s="333"/>
      <c r="I1947" s="333"/>
      <c r="J1947" s="333"/>
    </row>
    <row r="1948" spans="3:10" x14ac:dyDescent="0.2">
      <c r="C1948" s="333"/>
      <c r="D1948" s="333"/>
      <c r="F1948" s="333"/>
      <c r="G1948" s="333"/>
      <c r="H1948" s="333"/>
      <c r="I1948" s="333"/>
      <c r="J1948" s="333"/>
    </row>
    <row r="1949" spans="3:10" x14ac:dyDescent="0.2">
      <c r="C1949" s="333"/>
      <c r="D1949" s="333"/>
      <c r="F1949" s="333"/>
      <c r="G1949" s="333"/>
      <c r="H1949" s="333"/>
      <c r="I1949" s="333"/>
      <c r="J1949" s="333"/>
    </row>
    <row r="1950" spans="3:10" x14ac:dyDescent="0.2">
      <c r="C1950" s="333"/>
      <c r="D1950" s="333"/>
      <c r="F1950" s="333"/>
      <c r="G1950" s="333"/>
      <c r="H1950" s="333"/>
      <c r="I1950" s="333"/>
      <c r="J1950" s="333"/>
    </row>
    <row r="1951" spans="3:10" x14ac:dyDescent="0.2">
      <c r="C1951" s="333"/>
      <c r="D1951" s="333"/>
      <c r="F1951" s="333"/>
      <c r="G1951" s="333"/>
      <c r="H1951" s="333"/>
      <c r="I1951" s="333"/>
      <c r="J1951" s="333"/>
    </row>
    <row r="1952" spans="3:10" x14ac:dyDescent="0.2">
      <c r="C1952" s="333"/>
      <c r="D1952" s="333"/>
      <c r="F1952" s="333"/>
      <c r="G1952" s="333"/>
      <c r="H1952" s="333"/>
      <c r="I1952" s="333"/>
      <c r="J1952" s="333"/>
    </row>
    <row r="1953" spans="3:10" x14ac:dyDescent="0.2">
      <c r="C1953" s="333"/>
      <c r="D1953" s="333"/>
      <c r="F1953" s="333"/>
      <c r="G1953" s="333"/>
      <c r="H1953" s="333"/>
      <c r="I1953" s="333"/>
      <c r="J1953" s="333"/>
    </row>
    <row r="1954" spans="3:10" x14ac:dyDescent="0.2">
      <c r="C1954" s="333"/>
      <c r="D1954" s="333"/>
      <c r="F1954" s="333"/>
      <c r="G1954" s="333"/>
      <c r="H1954" s="333"/>
      <c r="I1954" s="333"/>
      <c r="J1954" s="333"/>
    </row>
    <row r="1955" spans="3:10" x14ac:dyDescent="0.2">
      <c r="C1955" s="333"/>
      <c r="D1955" s="333"/>
      <c r="F1955" s="333"/>
      <c r="G1955" s="333"/>
      <c r="H1955" s="333"/>
      <c r="I1955" s="333"/>
      <c r="J1955" s="333"/>
    </row>
    <row r="1956" spans="3:10" x14ac:dyDescent="0.2">
      <c r="C1956" s="333"/>
      <c r="D1956" s="333"/>
      <c r="F1956" s="333"/>
      <c r="G1956" s="333"/>
      <c r="H1956" s="333"/>
      <c r="I1956" s="333"/>
      <c r="J1956" s="333"/>
    </row>
    <row r="1957" spans="3:10" x14ac:dyDescent="0.2">
      <c r="C1957" s="333"/>
      <c r="D1957" s="333"/>
      <c r="F1957" s="333"/>
      <c r="G1957" s="333"/>
      <c r="H1957" s="333"/>
      <c r="I1957" s="333"/>
      <c r="J1957" s="333"/>
    </row>
    <row r="1958" spans="3:10" x14ac:dyDescent="0.2">
      <c r="C1958" s="333"/>
      <c r="D1958" s="333"/>
      <c r="F1958" s="333"/>
      <c r="G1958" s="333"/>
      <c r="H1958" s="333"/>
      <c r="I1958" s="333"/>
      <c r="J1958" s="333"/>
    </row>
    <row r="1959" spans="3:10" x14ac:dyDescent="0.2">
      <c r="C1959" s="333"/>
      <c r="D1959" s="333"/>
      <c r="F1959" s="333"/>
      <c r="G1959" s="333"/>
      <c r="H1959" s="333"/>
      <c r="I1959" s="333"/>
      <c r="J1959" s="333"/>
    </row>
    <row r="1960" spans="3:10" x14ac:dyDescent="0.2">
      <c r="C1960" s="333"/>
      <c r="D1960" s="333"/>
      <c r="F1960" s="333"/>
      <c r="G1960" s="333"/>
      <c r="H1960" s="333"/>
      <c r="I1960" s="333"/>
      <c r="J1960" s="333"/>
    </row>
    <row r="1961" spans="3:10" x14ac:dyDescent="0.2">
      <c r="C1961" s="333"/>
      <c r="D1961" s="333"/>
      <c r="F1961" s="333"/>
      <c r="G1961" s="333"/>
      <c r="H1961" s="333"/>
      <c r="I1961" s="333"/>
      <c r="J1961" s="333"/>
    </row>
    <row r="1962" spans="3:10" x14ac:dyDescent="0.2">
      <c r="C1962" s="333"/>
      <c r="D1962" s="333"/>
      <c r="F1962" s="333"/>
      <c r="G1962" s="333"/>
      <c r="H1962" s="333"/>
      <c r="I1962" s="333"/>
      <c r="J1962" s="333"/>
    </row>
    <row r="1963" spans="3:10" x14ac:dyDescent="0.2">
      <c r="C1963" s="333"/>
      <c r="D1963" s="333"/>
      <c r="F1963" s="333"/>
      <c r="G1963" s="333"/>
      <c r="H1963" s="333"/>
      <c r="I1963" s="333"/>
      <c r="J1963" s="333"/>
    </row>
    <row r="1964" spans="3:10" x14ac:dyDescent="0.2">
      <c r="C1964" s="333"/>
      <c r="D1964" s="333"/>
      <c r="F1964" s="333"/>
      <c r="G1964" s="333"/>
      <c r="H1964" s="333"/>
      <c r="I1964" s="333"/>
      <c r="J1964" s="333"/>
    </row>
    <row r="1965" spans="3:10" x14ac:dyDescent="0.2">
      <c r="C1965" s="333"/>
      <c r="D1965" s="333"/>
      <c r="F1965" s="333"/>
      <c r="G1965" s="333"/>
      <c r="H1965" s="333"/>
      <c r="I1965" s="333"/>
      <c r="J1965" s="333"/>
    </row>
    <row r="1966" spans="3:10" x14ac:dyDescent="0.2">
      <c r="C1966" s="333"/>
      <c r="D1966" s="333"/>
      <c r="F1966" s="333"/>
      <c r="G1966" s="333"/>
      <c r="H1966" s="333"/>
      <c r="I1966" s="333"/>
      <c r="J1966" s="333"/>
    </row>
    <row r="1967" spans="3:10" x14ac:dyDescent="0.2">
      <c r="C1967" s="333"/>
      <c r="D1967" s="333"/>
      <c r="F1967" s="333"/>
      <c r="G1967" s="333"/>
      <c r="H1967" s="333"/>
      <c r="I1967" s="333"/>
      <c r="J1967" s="333"/>
    </row>
    <row r="1968" spans="3:10" x14ac:dyDescent="0.2">
      <c r="C1968" s="333"/>
      <c r="D1968" s="333"/>
      <c r="F1968" s="333"/>
      <c r="G1968" s="333"/>
      <c r="H1968" s="333"/>
      <c r="I1968" s="333"/>
      <c r="J1968" s="333"/>
    </row>
    <row r="1969" spans="3:10" x14ac:dyDescent="0.2">
      <c r="C1969" s="333"/>
      <c r="D1969" s="333"/>
      <c r="F1969" s="333"/>
      <c r="G1969" s="333"/>
      <c r="H1969" s="333"/>
      <c r="I1969" s="333"/>
      <c r="J1969" s="333"/>
    </row>
    <row r="1970" spans="3:10" x14ac:dyDescent="0.2">
      <c r="C1970" s="333"/>
      <c r="D1970" s="333"/>
      <c r="F1970" s="333"/>
      <c r="G1970" s="333"/>
      <c r="H1970" s="333"/>
      <c r="I1970" s="333"/>
      <c r="J1970" s="333"/>
    </row>
    <row r="1971" spans="3:10" x14ac:dyDescent="0.2">
      <c r="C1971" s="333"/>
      <c r="D1971" s="333"/>
      <c r="F1971" s="333"/>
      <c r="G1971" s="333"/>
      <c r="H1971" s="333"/>
      <c r="I1971" s="333"/>
      <c r="J1971" s="333"/>
    </row>
    <row r="1972" spans="3:10" x14ac:dyDescent="0.2">
      <c r="C1972" s="333"/>
      <c r="D1972" s="333"/>
      <c r="F1972" s="333"/>
      <c r="G1972" s="333"/>
      <c r="H1972" s="333"/>
      <c r="I1972" s="333"/>
      <c r="J1972" s="333"/>
    </row>
    <row r="1973" spans="3:10" x14ac:dyDescent="0.2">
      <c r="C1973" s="333"/>
      <c r="D1973" s="333"/>
      <c r="F1973" s="333"/>
      <c r="G1973" s="333"/>
      <c r="H1973" s="333"/>
      <c r="I1973" s="333"/>
      <c r="J1973" s="333"/>
    </row>
    <row r="1974" spans="3:10" x14ac:dyDescent="0.2">
      <c r="C1974" s="333"/>
      <c r="D1974" s="333"/>
      <c r="F1974" s="333"/>
      <c r="G1974" s="333"/>
      <c r="H1974" s="333"/>
      <c r="I1974" s="333"/>
      <c r="J1974" s="333"/>
    </row>
    <row r="1975" spans="3:10" x14ac:dyDescent="0.2">
      <c r="C1975" s="333"/>
      <c r="D1975" s="333"/>
      <c r="F1975" s="333"/>
      <c r="G1975" s="333"/>
      <c r="H1975" s="333"/>
      <c r="I1975" s="333"/>
      <c r="J1975" s="333"/>
    </row>
    <row r="1976" spans="3:10" x14ac:dyDescent="0.2">
      <c r="C1976" s="333"/>
      <c r="D1976" s="333"/>
      <c r="F1976" s="333"/>
      <c r="G1976" s="333"/>
      <c r="H1976" s="333"/>
      <c r="I1976" s="333"/>
      <c r="J1976" s="333"/>
    </row>
    <row r="1977" spans="3:10" x14ac:dyDescent="0.2">
      <c r="C1977" s="333"/>
      <c r="D1977" s="333"/>
      <c r="F1977" s="333"/>
      <c r="G1977" s="333"/>
      <c r="H1977" s="333"/>
      <c r="I1977" s="333"/>
      <c r="J1977" s="333"/>
    </row>
    <row r="1978" spans="3:10" x14ac:dyDescent="0.2">
      <c r="C1978" s="333"/>
      <c r="D1978" s="333"/>
      <c r="F1978" s="333"/>
      <c r="G1978" s="333"/>
      <c r="H1978" s="333"/>
      <c r="I1978" s="333"/>
      <c r="J1978" s="333"/>
    </row>
    <row r="1979" spans="3:10" x14ac:dyDescent="0.2">
      <c r="C1979" s="333"/>
      <c r="D1979" s="333"/>
      <c r="F1979" s="333"/>
      <c r="G1979" s="333"/>
      <c r="H1979" s="333"/>
      <c r="I1979" s="333"/>
      <c r="J1979" s="333"/>
    </row>
    <row r="1980" spans="3:10" x14ac:dyDescent="0.2">
      <c r="C1980" s="333"/>
      <c r="D1980" s="333"/>
      <c r="F1980" s="333"/>
      <c r="G1980" s="333"/>
      <c r="H1980" s="333"/>
      <c r="I1980" s="333"/>
      <c r="J1980" s="333"/>
    </row>
    <row r="1981" spans="3:10" x14ac:dyDescent="0.2">
      <c r="C1981" s="333"/>
      <c r="D1981" s="333"/>
      <c r="F1981" s="333"/>
      <c r="G1981" s="333"/>
      <c r="H1981" s="333"/>
      <c r="I1981" s="333"/>
      <c r="J1981" s="333"/>
    </row>
    <row r="1982" spans="3:10" x14ac:dyDescent="0.2">
      <c r="C1982" s="333"/>
      <c r="D1982" s="333"/>
      <c r="F1982" s="333"/>
      <c r="G1982" s="333"/>
      <c r="H1982" s="333"/>
      <c r="I1982" s="333"/>
      <c r="J1982" s="333"/>
    </row>
    <row r="1983" spans="3:10" x14ac:dyDescent="0.2">
      <c r="C1983" s="333"/>
      <c r="D1983" s="333"/>
      <c r="F1983" s="333"/>
      <c r="G1983" s="333"/>
      <c r="H1983" s="333"/>
      <c r="I1983" s="333"/>
      <c r="J1983" s="333"/>
    </row>
    <row r="1984" spans="3:10" x14ac:dyDescent="0.2">
      <c r="C1984" s="333"/>
      <c r="D1984" s="333"/>
      <c r="F1984" s="333"/>
      <c r="G1984" s="333"/>
      <c r="H1984" s="333"/>
      <c r="I1984" s="333"/>
      <c r="J1984" s="333"/>
    </row>
    <row r="1985" spans="3:10" x14ac:dyDescent="0.2">
      <c r="C1985" s="333"/>
      <c r="D1985" s="333"/>
      <c r="F1985" s="333"/>
      <c r="G1985" s="333"/>
      <c r="H1985" s="333"/>
      <c r="I1985" s="333"/>
      <c r="J1985" s="333"/>
    </row>
    <row r="1986" spans="3:10" x14ac:dyDescent="0.2">
      <c r="C1986" s="333"/>
      <c r="D1986" s="333"/>
      <c r="F1986" s="333"/>
      <c r="G1986" s="333"/>
      <c r="H1986" s="333"/>
      <c r="I1986" s="333"/>
      <c r="J1986" s="333"/>
    </row>
    <row r="1987" spans="3:10" x14ac:dyDescent="0.2">
      <c r="C1987" s="333"/>
      <c r="D1987" s="333"/>
      <c r="F1987" s="333"/>
      <c r="G1987" s="333"/>
      <c r="H1987" s="333"/>
      <c r="I1987" s="333"/>
      <c r="J1987" s="333"/>
    </row>
    <row r="1988" spans="3:10" x14ac:dyDescent="0.2">
      <c r="C1988" s="333"/>
      <c r="D1988" s="333"/>
      <c r="F1988" s="333"/>
      <c r="G1988" s="333"/>
      <c r="H1988" s="333"/>
      <c r="I1988" s="333"/>
      <c r="J1988" s="333"/>
    </row>
    <row r="1989" spans="3:10" x14ac:dyDescent="0.2">
      <c r="C1989" s="333"/>
      <c r="D1989" s="333"/>
      <c r="F1989" s="333"/>
      <c r="G1989" s="333"/>
      <c r="H1989" s="333"/>
      <c r="I1989" s="333"/>
      <c r="J1989" s="333"/>
    </row>
    <row r="1990" spans="3:10" x14ac:dyDescent="0.2">
      <c r="C1990" s="333"/>
      <c r="D1990" s="333"/>
      <c r="F1990" s="333"/>
      <c r="G1990" s="333"/>
      <c r="H1990" s="333"/>
      <c r="I1990" s="333"/>
      <c r="J1990" s="333"/>
    </row>
    <row r="1991" spans="3:10" x14ac:dyDescent="0.2">
      <c r="C1991" s="333"/>
      <c r="D1991" s="333"/>
      <c r="F1991" s="333"/>
      <c r="G1991" s="333"/>
      <c r="H1991" s="333"/>
      <c r="I1991" s="333"/>
      <c r="J1991" s="333"/>
    </row>
    <row r="1992" spans="3:10" x14ac:dyDescent="0.2">
      <c r="C1992" s="333"/>
      <c r="D1992" s="333"/>
      <c r="F1992" s="333"/>
      <c r="G1992" s="333"/>
      <c r="H1992" s="333"/>
      <c r="I1992" s="333"/>
      <c r="J1992" s="333"/>
    </row>
    <row r="1993" spans="3:10" x14ac:dyDescent="0.2">
      <c r="C1993" s="333"/>
      <c r="D1993" s="333"/>
      <c r="F1993" s="333"/>
      <c r="G1993" s="333"/>
      <c r="H1993" s="333"/>
      <c r="I1993" s="333"/>
      <c r="J1993" s="333"/>
    </row>
    <row r="1994" spans="3:10" x14ac:dyDescent="0.2">
      <c r="C1994" s="333"/>
      <c r="D1994" s="333"/>
      <c r="F1994" s="333"/>
      <c r="G1994" s="333"/>
      <c r="H1994" s="333"/>
      <c r="I1994" s="333"/>
      <c r="J1994" s="333"/>
    </row>
    <row r="1995" spans="3:10" x14ac:dyDescent="0.2">
      <c r="C1995" s="333"/>
      <c r="D1995" s="333"/>
      <c r="F1995" s="333"/>
      <c r="G1995" s="333"/>
      <c r="H1995" s="333"/>
      <c r="I1995" s="333"/>
      <c r="J1995" s="333"/>
    </row>
    <row r="1996" spans="3:10" x14ac:dyDescent="0.2">
      <c r="C1996" s="333"/>
      <c r="D1996" s="333"/>
      <c r="F1996" s="333"/>
      <c r="G1996" s="333"/>
      <c r="H1996" s="333"/>
      <c r="I1996" s="333"/>
      <c r="J1996" s="333"/>
    </row>
    <row r="1997" spans="3:10" x14ac:dyDescent="0.2">
      <c r="C1997" s="333"/>
      <c r="D1997" s="333"/>
      <c r="F1997" s="333"/>
      <c r="G1997" s="333"/>
      <c r="H1997" s="333"/>
      <c r="I1997" s="333"/>
      <c r="J1997" s="333"/>
    </row>
    <row r="1998" spans="3:10" x14ac:dyDescent="0.2">
      <c r="C1998" s="333"/>
      <c r="D1998" s="333"/>
      <c r="F1998" s="333"/>
      <c r="G1998" s="333"/>
      <c r="H1998" s="333"/>
      <c r="I1998" s="333"/>
      <c r="J1998" s="333"/>
    </row>
    <row r="1999" spans="3:10" x14ac:dyDescent="0.2">
      <c r="C1999" s="333"/>
      <c r="D1999" s="333"/>
      <c r="F1999" s="333"/>
      <c r="G1999" s="333"/>
      <c r="H1999" s="333"/>
      <c r="I1999" s="333"/>
      <c r="J1999" s="333"/>
    </row>
    <row r="2000" spans="3:10" x14ac:dyDescent="0.2">
      <c r="C2000" s="333"/>
      <c r="D2000" s="333"/>
      <c r="F2000" s="333"/>
      <c r="G2000" s="333"/>
      <c r="H2000" s="333"/>
      <c r="I2000" s="333"/>
      <c r="J2000" s="333"/>
    </row>
    <row r="2001" spans="3:10" x14ac:dyDescent="0.2">
      <c r="C2001" s="333"/>
      <c r="D2001" s="333"/>
      <c r="F2001" s="333"/>
      <c r="G2001" s="333"/>
      <c r="H2001" s="333"/>
      <c r="I2001" s="333"/>
      <c r="J2001" s="333"/>
    </row>
    <row r="2002" spans="3:10" x14ac:dyDescent="0.2">
      <c r="C2002" s="333"/>
      <c r="D2002" s="333"/>
      <c r="F2002" s="333"/>
      <c r="G2002" s="333"/>
      <c r="H2002" s="333"/>
      <c r="I2002" s="333"/>
      <c r="J2002" s="333"/>
    </row>
    <row r="2003" spans="3:10" x14ac:dyDescent="0.2">
      <c r="C2003" s="333"/>
      <c r="D2003" s="333"/>
      <c r="F2003" s="333"/>
      <c r="G2003" s="333"/>
      <c r="H2003" s="333"/>
      <c r="I2003" s="333"/>
      <c r="J2003" s="333"/>
    </row>
    <row r="2004" spans="3:10" x14ac:dyDescent="0.2">
      <c r="G2004" s="333"/>
      <c r="H2004" s="333"/>
      <c r="I2004" s="333"/>
      <c r="J2004" s="333"/>
    </row>
    <row r="2005" spans="3:10" x14ac:dyDescent="0.2">
      <c r="G2005" s="333"/>
      <c r="H2005" s="333"/>
      <c r="I2005" s="333"/>
      <c r="J2005" s="333"/>
    </row>
    <row r="2006" spans="3:10" x14ac:dyDescent="0.2">
      <c r="G2006" s="333"/>
      <c r="H2006" s="333"/>
      <c r="I2006" s="333"/>
      <c r="J2006" s="333"/>
    </row>
    <row r="2007" spans="3:10" x14ac:dyDescent="0.2">
      <c r="G2007" s="333"/>
      <c r="H2007" s="333"/>
      <c r="I2007" s="333"/>
      <c r="J2007" s="333"/>
    </row>
    <row r="2008" spans="3:10" x14ac:dyDescent="0.2">
      <c r="G2008" s="333"/>
      <c r="H2008" s="333"/>
      <c r="I2008" s="333"/>
      <c r="J2008" s="333"/>
    </row>
    <row r="2009" spans="3:10" x14ac:dyDescent="0.2">
      <c r="G2009" s="333"/>
      <c r="H2009" s="333"/>
      <c r="I2009" s="333"/>
      <c r="J2009" s="333"/>
    </row>
    <row r="2010" spans="3:10" x14ac:dyDescent="0.2">
      <c r="G2010" s="333"/>
      <c r="H2010" s="333"/>
      <c r="I2010" s="333"/>
      <c r="J2010" s="333"/>
    </row>
    <row r="2011" spans="3:10" x14ac:dyDescent="0.2">
      <c r="G2011" s="333"/>
      <c r="H2011" s="333"/>
      <c r="I2011" s="333"/>
      <c r="J2011" s="333"/>
    </row>
    <row r="2012" spans="3:10" x14ac:dyDescent="0.2">
      <c r="G2012" s="333"/>
      <c r="H2012" s="333"/>
      <c r="I2012" s="333"/>
      <c r="J2012" s="333"/>
    </row>
    <row r="2013" spans="3:10" x14ac:dyDescent="0.2">
      <c r="G2013" s="333"/>
      <c r="H2013" s="333"/>
      <c r="I2013" s="333"/>
      <c r="J2013" s="333"/>
    </row>
    <row r="2014" spans="3:10" x14ac:dyDescent="0.2">
      <c r="G2014" s="333"/>
      <c r="H2014" s="333"/>
      <c r="I2014" s="333"/>
      <c r="J2014" s="333"/>
    </row>
    <row r="2015" spans="3:10" x14ac:dyDescent="0.2">
      <c r="G2015" s="333"/>
      <c r="H2015" s="333"/>
      <c r="I2015" s="333"/>
      <c r="J2015" s="333"/>
    </row>
    <row r="2016" spans="3:10" x14ac:dyDescent="0.2">
      <c r="G2016" s="333"/>
      <c r="H2016" s="333"/>
      <c r="I2016" s="333"/>
      <c r="J2016" s="333"/>
    </row>
    <row r="2017" spans="7:10" x14ac:dyDescent="0.2">
      <c r="G2017" s="333"/>
      <c r="H2017" s="333"/>
      <c r="I2017" s="333"/>
      <c r="J2017" s="333"/>
    </row>
    <row r="2018" spans="7:10" x14ac:dyDescent="0.2">
      <c r="G2018" s="333"/>
      <c r="H2018" s="333"/>
      <c r="I2018" s="333"/>
      <c r="J2018" s="333"/>
    </row>
    <row r="2019" spans="7:10" x14ac:dyDescent="0.2">
      <c r="G2019" s="333"/>
      <c r="H2019" s="333"/>
      <c r="I2019" s="333"/>
      <c r="J2019" s="333"/>
    </row>
    <row r="2020" spans="7:10" x14ac:dyDescent="0.2">
      <c r="G2020" s="333"/>
      <c r="H2020" s="333"/>
      <c r="I2020" s="333"/>
      <c r="J2020" s="333"/>
    </row>
    <row r="2021" spans="7:10" x14ac:dyDescent="0.2">
      <c r="G2021" s="333"/>
      <c r="H2021" s="333"/>
      <c r="I2021" s="333"/>
      <c r="J2021" s="333"/>
    </row>
    <row r="2022" spans="7:10" x14ac:dyDescent="0.2">
      <c r="G2022" s="333"/>
      <c r="H2022" s="333"/>
      <c r="I2022" s="333"/>
      <c r="J2022" s="333"/>
    </row>
    <row r="2023" spans="7:10" x14ac:dyDescent="0.2">
      <c r="G2023" s="333"/>
      <c r="H2023" s="333"/>
      <c r="I2023" s="333"/>
      <c r="J2023" s="333"/>
    </row>
    <row r="2024" spans="7:10" x14ac:dyDescent="0.2">
      <c r="G2024" s="333"/>
      <c r="H2024" s="333"/>
      <c r="I2024" s="333"/>
      <c r="J2024" s="333"/>
    </row>
    <row r="2025" spans="7:10" x14ac:dyDescent="0.2">
      <c r="G2025" s="333"/>
      <c r="H2025" s="333"/>
      <c r="I2025" s="333"/>
      <c r="J2025" s="333"/>
    </row>
    <row r="2026" spans="7:10" x14ac:dyDescent="0.2">
      <c r="G2026" s="333"/>
      <c r="H2026" s="333"/>
      <c r="I2026" s="333"/>
      <c r="J2026" s="333"/>
    </row>
    <row r="2027" spans="7:10" x14ac:dyDescent="0.2">
      <c r="G2027" s="333"/>
      <c r="H2027" s="333"/>
      <c r="I2027" s="333"/>
      <c r="J2027" s="333"/>
    </row>
    <row r="2028" spans="7:10" x14ac:dyDescent="0.2">
      <c r="G2028" s="333"/>
      <c r="H2028" s="333"/>
      <c r="I2028" s="333"/>
      <c r="J2028" s="333"/>
    </row>
    <row r="2029" spans="7:10" x14ac:dyDescent="0.2">
      <c r="G2029" s="333"/>
      <c r="H2029" s="333"/>
      <c r="I2029" s="333"/>
      <c r="J2029" s="333"/>
    </row>
    <row r="2030" spans="7:10" x14ac:dyDescent="0.2">
      <c r="G2030" s="333"/>
      <c r="H2030" s="333"/>
      <c r="I2030" s="333"/>
      <c r="J2030" s="333"/>
    </row>
    <row r="2031" spans="7:10" x14ac:dyDescent="0.2">
      <c r="G2031" s="333"/>
      <c r="H2031" s="333"/>
      <c r="I2031" s="333"/>
      <c r="J2031" s="333"/>
    </row>
    <row r="2032" spans="7:10" x14ac:dyDescent="0.2">
      <c r="G2032" s="333"/>
      <c r="H2032" s="333"/>
      <c r="I2032" s="333"/>
      <c r="J2032" s="333"/>
    </row>
    <row r="2033" spans="7:10" x14ac:dyDescent="0.2">
      <c r="G2033" s="333"/>
      <c r="H2033" s="333"/>
      <c r="I2033" s="333"/>
      <c r="J2033" s="333"/>
    </row>
    <row r="2034" spans="7:10" x14ac:dyDescent="0.2">
      <c r="G2034" s="333"/>
      <c r="H2034" s="333"/>
      <c r="I2034" s="333"/>
      <c r="J2034" s="333"/>
    </row>
    <row r="2035" spans="7:10" x14ac:dyDescent="0.2">
      <c r="G2035" s="333"/>
      <c r="H2035" s="333"/>
      <c r="I2035" s="333"/>
      <c r="J2035" s="333"/>
    </row>
    <row r="2036" spans="7:10" x14ac:dyDescent="0.2">
      <c r="G2036" s="333"/>
      <c r="H2036" s="333"/>
      <c r="I2036" s="333"/>
      <c r="J2036" s="333"/>
    </row>
    <row r="2037" spans="7:10" x14ac:dyDescent="0.2">
      <c r="G2037" s="333"/>
      <c r="H2037" s="333"/>
      <c r="I2037" s="333"/>
      <c r="J2037" s="333"/>
    </row>
    <row r="2038" spans="7:10" x14ac:dyDescent="0.2">
      <c r="G2038" s="333"/>
      <c r="H2038" s="333"/>
      <c r="I2038" s="333"/>
      <c r="J2038" s="333"/>
    </row>
    <row r="2039" spans="7:10" x14ac:dyDescent="0.2">
      <c r="G2039" s="333"/>
      <c r="H2039" s="333"/>
      <c r="I2039" s="333"/>
      <c r="J2039" s="333"/>
    </row>
    <row r="2040" spans="7:10" x14ac:dyDescent="0.2">
      <c r="G2040" s="333"/>
      <c r="H2040" s="333"/>
      <c r="I2040" s="333"/>
      <c r="J2040" s="333"/>
    </row>
    <row r="2041" spans="7:10" x14ac:dyDescent="0.2">
      <c r="G2041" s="333"/>
      <c r="H2041" s="333"/>
      <c r="I2041" s="333"/>
      <c r="J2041" s="333"/>
    </row>
    <row r="2042" spans="7:10" x14ac:dyDescent="0.2">
      <c r="G2042" s="333"/>
      <c r="H2042" s="333"/>
      <c r="I2042" s="333"/>
      <c r="J2042" s="333"/>
    </row>
    <row r="2043" spans="7:10" x14ac:dyDescent="0.2">
      <c r="G2043" s="333"/>
      <c r="H2043" s="333"/>
      <c r="I2043" s="333"/>
      <c r="J2043" s="333"/>
    </row>
    <row r="2044" spans="7:10" x14ac:dyDescent="0.2">
      <c r="G2044" s="333"/>
      <c r="H2044" s="333"/>
      <c r="I2044" s="333"/>
      <c r="J2044" s="333"/>
    </row>
    <row r="2045" spans="7:10" x14ac:dyDescent="0.2">
      <c r="G2045" s="333"/>
      <c r="H2045" s="333"/>
      <c r="I2045" s="333"/>
      <c r="J2045" s="333"/>
    </row>
    <row r="2046" spans="7:10" x14ac:dyDescent="0.2">
      <c r="G2046" s="333"/>
      <c r="H2046" s="333"/>
      <c r="I2046" s="333"/>
      <c r="J2046" s="333"/>
    </row>
    <row r="2047" spans="7:10" x14ac:dyDescent="0.2">
      <c r="G2047" s="333"/>
      <c r="H2047" s="333"/>
      <c r="I2047" s="333"/>
      <c r="J2047" s="333"/>
    </row>
    <row r="2048" spans="7:10" x14ac:dyDescent="0.2">
      <c r="G2048" s="333"/>
      <c r="H2048" s="333"/>
      <c r="I2048" s="333"/>
      <c r="J2048" s="333"/>
    </row>
    <row r="2049" spans="7:10" x14ac:dyDescent="0.2">
      <c r="G2049" s="333"/>
      <c r="H2049" s="333"/>
      <c r="I2049" s="333"/>
      <c r="J2049" s="333"/>
    </row>
    <row r="2050" spans="7:10" x14ac:dyDescent="0.2">
      <c r="G2050" s="333"/>
      <c r="H2050" s="333"/>
      <c r="I2050" s="333"/>
      <c r="J2050" s="333"/>
    </row>
    <row r="2051" spans="7:10" x14ac:dyDescent="0.2">
      <c r="G2051" s="333"/>
      <c r="H2051" s="333"/>
      <c r="I2051" s="333"/>
      <c r="J2051" s="333"/>
    </row>
    <row r="2052" spans="7:10" x14ac:dyDescent="0.2">
      <c r="G2052" s="333"/>
      <c r="H2052" s="333"/>
      <c r="I2052" s="333"/>
      <c r="J2052" s="333"/>
    </row>
    <row r="2053" spans="7:10" x14ac:dyDescent="0.2">
      <c r="G2053" s="333"/>
      <c r="H2053" s="333"/>
      <c r="I2053" s="333"/>
      <c r="J2053" s="333"/>
    </row>
    <row r="2054" spans="7:10" x14ac:dyDescent="0.2">
      <c r="G2054" s="333"/>
      <c r="H2054" s="333"/>
      <c r="I2054" s="333"/>
      <c r="J2054" s="333"/>
    </row>
    <row r="2055" spans="7:10" x14ac:dyDescent="0.2">
      <c r="G2055" s="333"/>
      <c r="H2055" s="333"/>
      <c r="I2055" s="333"/>
      <c r="J2055" s="333"/>
    </row>
    <row r="2056" spans="7:10" x14ac:dyDescent="0.2">
      <c r="G2056" s="333"/>
      <c r="H2056" s="333"/>
      <c r="I2056" s="333"/>
      <c r="J2056" s="333"/>
    </row>
    <row r="2057" spans="7:10" x14ac:dyDescent="0.2">
      <c r="G2057" s="333"/>
      <c r="H2057" s="333"/>
      <c r="I2057" s="333"/>
      <c r="J2057" s="333"/>
    </row>
    <row r="2058" spans="7:10" x14ac:dyDescent="0.2">
      <c r="G2058" s="333"/>
      <c r="H2058" s="333"/>
      <c r="I2058" s="333"/>
      <c r="J2058" s="333"/>
    </row>
    <row r="2059" spans="7:10" x14ac:dyDescent="0.2">
      <c r="G2059" s="333"/>
      <c r="H2059" s="333"/>
      <c r="I2059" s="333"/>
      <c r="J2059" s="333"/>
    </row>
    <row r="2060" spans="7:10" x14ac:dyDescent="0.2">
      <c r="G2060" s="333"/>
      <c r="H2060" s="333"/>
      <c r="I2060" s="333"/>
      <c r="J2060" s="333"/>
    </row>
    <row r="2061" spans="7:10" x14ac:dyDescent="0.2">
      <c r="G2061" s="333"/>
      <c r="H2061" s="333"/>
      <c r="I2061" s="333"/>
      <c r="J2061" s="333"/>
    </row>
    <row r="2062" spans="7:10" x14ac:dyDescent="0.2">
      <c r="G2062" s="333"/>
      <c r="H2062" s="333"/>
      <c r="I2062" s="333"/>
      <c r="J2062" s="333"/>
    </row>
    <row r="2063" spans="7:10" x14ac:dyDescent="0.2">
      <c r="G2063" s="333"/>
      <c r="H2063" s="333"/>
      <c r="I2063" s="333"/>
      <c r="J2063" s="333"/>
    </row>
    <row r="2064" spans="7:10" x14ac:dyDescent="0.2">
      <c r="G2064" s="333"/>
      <c r="H2064" s="333"/>
      <c r="I2064" s="333"/>
      <c r="J2064" s="333"/>
    </row>
    <row r="2065" spans="7:10" x14ac:dyDescent="0.2">
      <c r="G2065" s="333"/>
      <c r="H2065" s="333"/>
      <c r="I2065" s="333"/>
      <c r="J2065" s="333"/>
    </row>
    <row r="2066" spans="7:10" x14ac:dyDescent="0.2">
      <c r="G2066" s="333"/>
      <c r="H2066" s="333"/>
      <c r="I2066" s="333"/>
      <c r="J2066" s="333"/>
    </row>
    <row r="2067" spans="7:10" x14ac:dyDescent="0.2">
      <c r="G2067" s="333"/>
      <c r="H2067" s="333"/>
      <c r="I2067" s="333"/>
      <c r="J2067" s="333"/>
    </row>
    <row r="2068" spans="7:10" x14ac:dyDescent="0.2">
      <c r="G2068" s="333"/>
      <c r="H2068" s="333"/>
      <c r="I2068" s="333"/>
      <c r="J2068" s="333"/>
    </row>
    <row r="2069" spans="7:10" x14ac:dyDescent="0.2">
      <c r="G2069" s="333"/>
      <c r="H2069" s="333"/>
      <c r="I2069" s="333"/>
      <c r="J2069" s="333"/>
    </row>
    <row r="2070" spans="7:10" x14ac:dyDescent="0.2">
      <c r="G2070" s="333"/>
      <c r="H2070" s="333"/>
      <c r="I2070" s="333"/>
      <c r="J2070" s="333"/>
    </row>
    <row r="2071" spans="7:10" x14ac:dyDescent="0.2">
      <c r="G2071" s="333"/>
      <c r="H2071" s="333"/>
      <c r="I2071" s="333"/>
      <c r="J2071" s="333"/>
    </row>
    <row r="2072" spans="7:10" x14ac:dyDescent="0.2">
      <c r="G2072" s="333"/>
      <c r="H2072" s="333"/>
      <c r="I2072" s="333"/>
      <c r="J2072" s="333"/>
    </row>
    <row r="2073" spans="7:10" x14ac:dyDescent="0.2">
      <c r="G2073" s="333"/>
      <c r="H2073" s="333"/>
      <c r="I2073" s="333"/>
      <c r="J2073" s="333"/>
    </row>
    <row r="2074" spans="7:10" x14ac:dyDescent="0.2">
      <c r="G2074" s="333"/>
      <c r="H2074" s="333"/>
      <c r="I2074" s="333"/>
      <c r="J2074" s="333"/>
    </row>
    <row r="2075" spans="7:10" x14ac:dyDescent="0.2">
      <c r="G2075" s="333"/>
      <c r="H2075" s="333"/>
      <c r="I2075" s="333"/>
      <c r="J2075" s="333"/>
    </row>
    <row r="2076" spans="7:10" x14ac:dyDescent="0.2">
      <c r="G2076" s="333"/>
      <c r="H2076" s="333"/>
      <c r="I2076" s="333"/>
      <c r="J2076" s="333"/>
    </row>
    <row r="2077" spans="7:10" x14ac:dyDescent="0.2">
      <c r="G2077" s="333"/>
      <c r="H2077" s="333"/>
      <c r="I2077" s="333"/>
      <c r="J2077" s="333"/>
    </row>
    <row r="2078" spans="7:10" x14ac:dyDescent="0.2">
      <c r="G2078" s="333"/>
      <c r="H2078" s="333"/>
      <c r="I2078" s="333"/>
      <c r="J2078" s="333"/>
    </row>
    <row r="2079" spans="7:10" x14ac:dyDescent="0.2">
      <c r="G2079" s="333"/>
      <c r="H2079" s="333"/>
      <c r="I2079" s="333"/>
      <c r="J2079" s="333"/>
    </row>
    <row r="2080" spans="7:10" x14ac:dyDescent="0.2">
      <c r="G2080" s="333"/>
      <c r="H2080" s="333"/>
      <c r="I2080" s="333"/>
      <c r="J2080" s="333"/>
    </row>
    <row r="2081" spans="7:10" x14ac:dyDescent="0.2">
      <c r="G2081" s="333"/>
      <c r="H2081" s="333"/>
      <c r="I2081" s="333"/>
      <c r="J2081" s="333"/>
    </row>
    <row r="2082" spans="7:10" x14ac:dyDescent="0.2">
      <c r="G2082" s="333"/>
      <c r="H2082" s="333"/>
      <c r="I2082" s="333"/>
      <c r="J2082" s="333"/>
    </row>
    <row r="2083" spans="7:10" x14ac:dyDescent="0.2">
      <c r="G2083" s="333"/>
      <c r="H2083" s="333"/>
      <c r="I2083" s="333"/>
      <c r="J2083" s="333"/>
    </row>
    <row r="2084" spans="7:10" x14ac:dyDescent="0.2">
      <c r="G2084" s="333"/>
      <c r="H2084" s="333"/>
      <c r="I2084" s="333"/>
      <c r="J2084" s="333"/>
    </row>
    <row r="2085" spans="7:10" x14ac:dyDescent="0.2">
      <c r="G2085" s="333"/>
      <c r="H2085" s="333"/>
      <c r="I2085" s="333"/>
      <c r="J2085" s="333"/>
    </row>
    <row r="2086" spans="7:10" x14ac:dyDescent="0.2">
      <c r="G2086" s="333"/>
      <c r="H2086" s="333"/>
      <c r="I2086" s="333"/>
      <c r="J2086" s="333"/>
    </row>
    <row r="2087" spans="7:10" x14ac:dyDescent="0.2">
      <c r="G2087" s="333"/>
      <c r="H2087" s="333"/>
      <c r="I2087" s="333"/>
      <c r="J2087" s="333"/>
    </row>
    <row r="2088" spans="7:10" x14ac:dyDescent="0.2">
      <c r="G2088" s="333"/>
      <c r="H2088" s="333"/>
      <c r="I2088" s="333"/>
      <c r="J2088" s="333"/>
    </row>
    <row r="2089" spans="7:10" x14ac:dyDescent="0.2">
      <c r="G2089" s="333"/>
      <c r="H2089" s="333"/>
      <c r="I2089" s="333"/>
      <c r="J2089" s="333"/>
    </row>
    <row r="2090" spans="7:10" x14ac:dyDescent="0.2">
      <c r="G2090" s="333"/>
      <c r="H2090" s="333"/>
      <c r="I2090" s="333"/>
      <c r="J2090" s="333"/>
    </row>
    <row r="2091" spans="7:10" x14ac:dyDescent="0.2">
      <c r="G2091" s="333"/>
      <c r="H2091" s="333"/>
      <c r="I2091" s="333"/>
      <c r="J2091" s="333"/>
    </row>
    <row r="2092" spans="7:10" x14ac:dyDescent="0.2">
      <c r="G2092" s="333"/>
      <c r="H2092" s="333"/>
      <c r="I2092" s="333"/>
      <c r="J2092" s="333"/>
    </row>
    <row r="2093" spans="7:10" x14ac:dyDescent="0.2">
      <c r="G2093" s="333"/>
      <c r="H2093" s="333"/>
      <c r="I2093" s="333"/>
      <c r="J2093" s="333"/>
    </row>
    <row r="2094" spans="7:10" x14ac:dyDescent="0.2">
      <c r="G2094" s="333"/>
      <c r="H2094" s="333"/>
      <c r="I2094" s="333"/>
      <c r="J2094" s="333"/>
    </row>
    <row r="2095" spans="7:10" x14ac:dyDescent="0.2">
      <c r="G2095" s="333"/>
      <c r="H2095" s="333"/>
      <c r="I2095" s="333"/>
      <c r="J2095" s="333"/>
    </row>
    <row r="2096" spans="7:10" x14ac:dyDescent="0.2">
      <c r="G2096" s="333"/>
      <c r="H2096" s="333"/>
      <c r="I2096" s="333"/>
      <c r="J2096" s="333"/>
    </row>
    <row r="2097" spans="7:10" x14ac:dyDescent="0.2">
      <c r="G2097" s="333"/>
      <c r="H2097" s="333"/>
      <c r="I2097" s="333"/>
      <c r="J2097" s="333"/>
    </row>
    <row r="2098" spans="7:10" x14ac:dyDescent="0.2">
      <c r="G2098" s="333"/>
      <c r="H2098" s="333"/>
      <c r="I2098" s="333"/>
      <c r="J2098" s="333"/>
    </row>
    <row r="2099" spans="7:10" x14ac:dyDescent="0.2">
      <c r="G2099" s="333"/>
      <c r="H2099" s="333"/>
      <c r="I2099" s="333"/>
      <c r="J2099" s="333"/>
    </row>
    <row r="2100" spans="7:10" x14ac:dyDescent="0.2">
      <c r="G2100" s="333"/>
      <c r="H2100" s="333"/>
      <c r="I2100" s="333"/>
      <c r="J2100" s="333"/>
    </row>
    <row r="2101" spans="7:10" x14ac:dyDescent="0.2">
      <c r="G2101" s="333"/>
      <c r="H2101" s="333"/>
      <c r="I2101" s="333"/>
      <c r="J2101" s="333"/>
    </row>
    <row r="2102" spans="7:10" x14ac:dyDescent="0.2">
      <c r="G2102" s="333"/>
      <c r="H2102" s="333"/>
      <c r="I2102" s="333"/>
      <c r="J2102" s="333"/>
    </row>
    <row r="2103" spans="7:10" x14ac:dyDescent="0.2">
      <c r="G2103" s="333"/>
      <c r="H2103" s="333"/>
      <c r="I2103" s="333"/>
      <c r="J2103" s="333"/>
    </row>
    <row r="2104" spans="7:10" x14ac:dyDescent="0.2">
      <c r="G2104" s="333"/>
      <c r="H2104" s="333"/>
      <c r="I2104" s="333"/>
      <c r="J2104" s="333"/>
    </row>
    <row r="2105" spans="7:10" x14ac:dyDescent="0.2">
      <c r="G2105" s="333"/>
      <c r="H2105" s="333"/>
      <c r="I2105" s="333"/>
      <c r="J2105" s="333"/>
    </row>
    <row r="2106" spans="7:10" x14ac:dyDescent="0.2">
      <c r="G2106" s="333"/>
      <c r="H2106" s="333"/>
      <c r="I2106" s="333"/>
      <c r="J2106" s="333"/>
    </row>
    <row r="2107" spans="7:10" x14ac:dyDescent="0.2">
      <c r="G2107" s="333"/>
      <c r="H2107" s="333"/>
      <c r="I2107" s="333"/>
      <c r="J2107" s="333"/>
    </row>
    <row r="2108" spans="7:10" x14ac:dyDescent="0.2">
      <c r="G2108" s="333"/>
      <c r="H2108" s="333"/>
      <c r="I2108" s="333"/>
      <c r="J2108" s="333"/>
    </row>
    <row r="2109" spans="7:10" x14ac:dyDescent="0.2">
      <c r="G2109" s="333"/>
      <c r="H2109" s="333"/>
      <c r="I2109" s="333"/>
      <c r="J2109" s="333"/>
    </row>
    <row r="2110" spans="7:10" x14ac:dyDescent="0.2">
      <c r="G2110" s="333"/>
      <c r="H2110" s="333"/>
      <c r="I2110" s="333"/>
      <c r="J2110" s="333"/>
    </row>
    <row r="2111" spans="7:10" x14ac:dyDescent="0.2">
      <c r="G2111" s="333"/>
      <c r="H2111" s="333"/>
      <c r="I2111" s="333"/>
      <c r="J2111" s="333"/>
    </row>
    <row r="2112" spans="7:10" x14ac:dyDescent="0.2">
      <c r="G2112" s="333"/>
      <c r="H2112" s="333"/>
      <c r="I2112" s="333"/>
      <c r="J2112" s="333"/>
    </row>
    <row r="2113" spans="7:10" x14ac:dyDescent="0.2">
      <c r="G2113" s="333"/>
      <c r="H2113" s="333"/>
      <c r="I2113" s="333"/>
      <c r="J2113" s="333"/>
    </row>
    <row r="2114" spans="7:10" x14ac:dyDescent="0.2">
      <c r="G2114" s="333"/>
      <c r="H2114" s="333"/>
      <c r="I2114" s="333"/>
      <c r="J2114" s="333"/>
    </row>
    <row r="2115" spans="7:10" x14ac:dyDescent="0.2">
      <c r="G2115" s="333"/>
      <c r="H2115" s="333"/>
      <c r="I2115" s="333"/>
      <c r="J2115" s="333"/>
    </row>
    <row r="2116" spans="7:10" x14ac:dyDescent="0.2">
      <c r="G2116" s="333"/>
      <c r="H2116" s="333"/>
      <c r="I2116" s="333"/>
      <c r="J2116" s="333"/>
    </row>
    <row r="2117" spans="7:10" x14ac:dyDescent="0.2">
      <c r="G2117" s="333"/>
      <c r="H2117" s="333"/>
      <c r="I2117" s="333"/>
      <c r="J2117" s="333"/>
    </row>
    <row r="2118" spans="7:10" x14ac:dyDescent="0.2">
      <c r="G2118" s="333"/>
      <c r="H2118" s="333"/>
      <c r="I2118" s="333"/>
      <c r="J2118" s="333"/>
    </row>
    <row r="2119" spans="7:10" x14ac:dyDescent="0.2">
      <c r="G2119" s="333"/>
      <c r="H2119" s="333"/>
      <c r="I2119" s="333"/>
      <c r="J2119" s="333"/>
    </row>
    <row r="2120" spans="7:10" x14ac:dyDescent="0.2">
      <c r="G2120" s="333"/>
      <c r="H2120" s="333"/>
      <c r="I2120" s="333"/>
      <c r="J2120" s="333"/>
    </row>
    <row r="2121" spans="7:10" x14ac:dyDescent="0.2">
      <c r="G2121" s="333"/>
      <c r="H2121" s="333"/>
      <c r="I2121" s="333"/>
      <c r="J2121" s="333"/>
    </row>
    <row r="2122" spans="7:10" x14ac:dyDescent="0.2">
      <c r="G2122" s="333"/>
      <c r="H2122" s="333"/>
      <c r="I2122" s="333"/>
      <c r="J2122" s="333"/>
    </row>
    <row r="2123" spans="7:10" x14ac:dyDescent="0.2">
      <c r="G2123" s="333"/>
      <c r="H2123" s="333"/>
      <c r="I2123" s="333"/>
      <c r="J2123" s="333"/>
    </row>
    <row r="2124" spans="7:10" x14ac:dyDescent="0.2">
      <c r="G2124" s="333"/>
      <c r="H2124" s="333"/>
      <c r="I2124" s="333"/>
      <c r="J2124" s="333"/>
    </row>
    <row r="2125" spans="7:10" x14ac:dyDescent="0.2">
      <c r="G2125" s="333"/>
      <c r="H2125" s="333"/>
      <c r="I2125" s="333"/>
      <c r="J2125" s="333"/>
    </row>
    <row r="2126" spans="7:10" x14ac:dyDescent="0.2">
      <c r="G2126" s="333"/>
      <c r="H2126" s="333"/>
      <c r="I2126" s="333"/>
      <c r="J2126" s="333"/>
    </row>
    <row r="2127" spans="7:10" x14ac:dyDescent="0.2">
      <c r="G2127" s="333"/>
      <c r="H2127" s="333"/>
      <c r="I2127" s="333"/>
      <c r="J2127" s="333"/>
    </row>
    <row r="2128" spans="7:10" x14ac:dyDescent="0.2">
      <c r="G2128" s="333"/>
      <c r="H2128" s="333"/>
      <c r="I2128" s="333"/>
      <c r="J2128" s="333"/>
    </row>
    <row r="2129" spans="7:10" x14ac:dyDescent="0.2">
      <c r="G2129" s="333"/>
      <c r="H2129" s="333"/>
      <c r="I2129" s="333"/>
      <c r="J2129" s="333"/>
    </row>
    <row r="2130" spans="7:10" x14ac:dyDescent="0.2">
      <c r="G2130" s="333"/>
      <c r="H2130" s="333"/>
      <c r="I2130" s="333"/>
      <c r="J2130" s="333"/>
    </row>
    <row r="2131" spans="7:10" x14ac:dyDescent="0.2">
      <c r="G2131" s="333"/>
      <c r="H2131" s="333"/>
      <c r="I2131" s="333"/>
      <c r="J2131" s="333"/>
    </row>
    <row r="2132" spans="7:10" x14ac:dyDescent="0.2">
      <c r="G2132" s="333"/>
      <c r="H2132" s="333"/>
      <c r="I2132" s="333"/>
      <c r="J2132" s="333"/>
    </row>
    <row r="2133" spans="7:10" x14ac:dyDescent="0.2">
      <c r="G2133" s="333"/>
      <c r="H2133" s="333"/>
      <c r="I2133" s="333"/>
      <c r="J2133" s="333"/>
    </row>
    <row r="2134" spans="7:10" x14ac:dyDescent="0.2">
      <c r="G2134" s="333"/>
      <c r="H2134" s="333"/>
      <c r="I2134" s="333"/>
      <c r="J2134" s="333"/>
    </row>
    <row r="2135" spans="7:10" x14ac:dyDescent="0.2">
      <c r="G2135" s="333"/>
      <c r="H2135" s="333"/>
      <c r="I2135" s="333"/>
      <c r="J2135" s="333"/>
    </row>
    <row r="2136" spans="7:10" x14ac:dyDescent="0.2">
      <c r="G2136" s="333"/>
      <c r="H2136" s="333"/>
      <c r="I2136" s="333"/>
      <c r="J2136" s="333"/>
    </row>
    <row r="2137" spans="7:10" x14ac:dyDescent="0.2">
      <c r="G2137" s="333"/>
      <c r="H2137" s="333"/>
      <c r="I2137" s="333"/>
      <c r="J2137" s="333"/>
    </row>
    <row r="2138" spans="7:10" x14ac:dyDescent="0.2">
      <c r="G2138" s="333"/>
      <c r="H2138" s="333"/>
      <c r="I2138" s="333"/>
      <c r="J2138" s="333"/>
    </row>
    <row r="2139" spans="7:10" x14ac:dyDescent="0.2">
      <c r="G2139" s="333"/>
      <c r="H2139" s="333"/>
      <c r="I2139" s="333"/>
      <c r="J2139" s="333"/>
    </row>
    <row r="2140" spans="7:10" x14ac:dyDescent="0.2">
      <c r="G2140" s="333"/>
      <c r="H2140" s="333"/>
      <c r="I2140" s="333"/>
      <c r="J2140" s="333"/>
    </row>
    <row r="2141" spans="7:10" x14ac:dyDescent="0.2">
      <c r="G2141" s="333"/>
      <c r="H2141" s="333"/>
      <c r="I2141" s="333"/>
      <c r="J2141" s="333"/>
    </row>
    <row r="2142" spans="7:10" x14ac:dyDescent="0.2">
      <c r="G2142" s="333"/>
      <c r="H2142" s="333"/>
      <c r="I2142" s="333"/>
      <c r="J2142" s="333"/>
    </row>
    <row r="2143" spans="7:10" x14ac:dyDescent="0.2">
      <c r="G2143" s="333"/>
      <c r="H2143" s="333"/>
      <c r="I2143" s="333"/>
      <c r="J2143" s="333"/>
    </row>
    <row r="2144" spans="7:10" x14ac:dyDescent="0.2">
      <c r="G2144" s="333"/>
      <c r="H2144" s="333"/>
      <c r="I2144" s="333"/>
      <c r="J2144" s="333"/>
    </row>
    <row r="2145" spans="7:10" x14ac:dyDescent="0.2">
      <c r="G2145" s="333"/>
      <c r="H2145" s="333"/>
      <c r="I2145" s="333"/>
      <c r="J2145" s="333"/>
    </row>
    <row r="2146" spans="7:10" x14ac:dyDescent="0.2">
      <c r="G2146" s="333"/>
      <c r="H2146" s="333"/>
      <c r="I2146" s="333"/>
      <c r="J2146" s="333"/>
    </row>
    <row r="2147" spans="7:10" x14ac:dyDescent="0.2">
      <c r="G2147" s="333"/>
      <c r="H2147" s="333"/>
      <c r="I2147" s="333"/>
      <c r="J2147" s="333"/>
    </row>
    <row r="2148" spans="7:10" x14ac:dyDescent="0.2">
      <c r="G2148" s="333"/>
      <c r="H2148" s="333"/>
      <c r="I2148" s="333"/>
      <c r="J2148" s="333"/>
    </row>
    <row r="2149" spans="7:10" x14ac:dyDescent="0.2">
      <c r="G2149" s="333"/>
      <c r="H2149" s="333"/>
      <c r="I2149" s="333"/>
      <c r="J2149" s="333"/>
    </row>
    <row r="2150" spans="7:10" x14ac:dyDescent="0.2">
      <c r="G2150" s="333"/>
      <c r="H2150" s="333"/>
      <c r="I2150" s="333"/>
      <c r="J2150" s="333"/>
    </row>
    <row r="2151" spans="7:10" x14ac:dyDescent="0.2">
      <c r="G2151" s="333"/>
      <c r="H2151" s="333"/>
      <c r="I2151" s="333"/>
      <c r="J2151" s="333"/>
    </row>
    <row r="2152" spans="7:10" x14ac:dyDescent="0.2">
      <c r="G2152" s="333"/>
      <c r="H2152" s="333"/>
      <c r="I2152" s="333"/>
      <c r="J2152" s="333"/>
    </row>
    <row r="2153" spans="7:10" x14ac:dyDescent="0.2">
      <c r="G2153" s="333"/>
      <c r="H2153" s="333"/>
      <c r="I2153" s="333"/>
      <c r="J2153" s="333"/>
    </row>
    <row r="2154" spans="7:10" x14ac:dyDescent="0.2">
      <c r="G2154" s="333"/>
      <c r="H2154" s="333"/>
      <c r="I2154" s="333"/>
      <c r="J2154" s="333"/>
    </row>
    <row r="2155" spans="7:10" x14ac:dyDescent="0.2">
      <c r="G2155" s="333"/>
      <c r="H2155" s="333"/>
      <c r="I2155" s="333"/>
      <c r="J2155" s="333"/>
    </row>
    <row r="2156" spans="7:10" x14ac:dyDescent="0.2">
      <c r="G2156" s="333"/>
      <c r="H2156" s="333"/>
      <c r="I2156" s="333"/>
      <c r="J2156" s="333"/>
    </row>
    <row r="2157" spans="7:10" x14ac:dyDescent="0.2">
      <c r="G2157" s="333"/>
      <c r="H2157" s="333"/>
      <c r="I2157" s="333"/>
      <c r="J2157" s="333"/>
    </row>
    <row r="2158" spans="7:10" x14ac:dyDescent="0.2">
      <c r="G2158" s="333"/>
      <c r="H2158" s="333"/>
      <c r="I2158" s="333"/>
      <c r="J2158" s="333"/>
    </row>
    <row r="2159" spans="7:10" x14ac:dyDescent="0.2">
      <c r="G2159" s="333"/>
      <c r="H2159" s="333"/>
      <c r="I2159" s="333"/>
      <c r="J2159" s="333"/>
    </row>
    <row r="2160" spans="7:10" x14ac:dyDescent="0.2">
      <c r="G2160" s="333"/>
      <c r="H2160" s="333"/>
      <c r="I2160" s="333"/>
      <c r="J2160" s="333"/>
    </row>
    <row r="2161" spans="7:10" x14ac:dyDescent="0.2">
      <c r="G2161" s="333"/>
      <c r="H2161" s="333"/>
      <c r="I2161" s="333"/>
      <c r="J2161" s="333"/>
    </row>
    <row r="2162" spans="7:10" x14ac:dyDescent="0.2">
      <c r="G2162" s="333"/>
      <c r="H2162" s="333"/>
      <c r="I2162" s="333"/>
      <c r="J2162" s="333"/>
    </row>
    <row r="2163" spans="7:10" x14ac:dyDescent="0.2">
      <c r="G2163" s="333"/>
      <c r="H2163" s="333"/>
      <c r="I2163" s="333"/>
      <c r="J2163" s="333"/>
    </row>
    <row r="2164" spans="7:10" x14ac:dyDescent="0.2">
      <c r="G2164" s="333"/>
      <c r="H2164" s="333"/>
      <c r="I2164" s="333"/>
      <c r="J2164" s="333"/>
    </row>
    <row r="2165" spans="7:10" x14ac:dyDescent="0.2">
      <c r="G2165" s="333"/>
      <c r="H2165" s="333"/>
      <c r="I2165" s="333"/>
      <c r="J2165" s="333"/>
    </row>
    <row r="2166" spans="7:10" x14ac:dyDescent="0.2">
      <c r="G2166" s="333"/>
      <c r="H2166" s="333"/>
      <c r="I2166" s="333"/>
      <c r="J2166" s="333"/>
    </row>
    <row r="2167" spans="7:10" x14ac:dyDescent="0.2">
      <c r="G2167" s="333"/>
      <c r="H2167" s="333"/>
      <c r="I2167" s="333"/>
      <c r="J2167" s="333"/>
    </row>
    <row r="2168" spans="7:10" x14ac:dyDescent="0.2">
      <c r="G2168" s="333"/>
      <c r="H2168" s="333"/>
      <c r="I2168" s="333"/>
      <c r="J2168" s="333"/>
    </row>
    <row r="2169" spans="7:10" x14ac:dyDescent="0.2">
      <c r="G2169" s="333"/>
      <c r="H2169" s="333"/>
      <c r="I2169" s="333"/>
      <c r="J2169" s="333"/>
    </row>
    <row r="2170" spans="7:10" x14ac:dyDescent="0.2">
      <c r="G2170" s="333"/>
      <c r="H2170" s="333"/>
      <c r="I2170" s="333"/>
      <c r="J2170" s="333"/>
    </row>
    <row r="2171" spans="7:10" x14ac:dyDescent="0.2">
      <c r="G2171" s="333"/>
      <c r="H2171" s="333"/>
      <c r="I2171" s="333"/>
      <c r="J2171" s="333"/>
    </row>
    <row r="2172" spans="7:10" x14ac:dyDescent="0.2">
      <c r="G2172" s="333"/>
      <c r="H2172" s="333"/>
      <c r="I2172" s="333"/>
      <c r="J2172" s="333"/>
    </row>
    <row r="2173" spans="7:10" x14ac:dyDescent="0.2">
      <c r="G2173" s="333"/>
      <c r="H2173" s="333"/>
      <c r="I2173" s="333"/>
      <c r="J2173" s="333"/>
    </row>
    <row r="2174" spans="7:10" x14ac:dyDescent="0.2">
      <c r="G2174" s="333"/>
      <c r="H2174" s="333"/>
      <c r="I2174" s="333"/>
      <c r="J2174" s="333"/>
    </row>
    <row r="2175" spans="7:10" x14ac:dyDescent="0.2">
      <c r="G2175" s="333"/>
      <c r="H2175" s="333"/>
      <c r="I2175" s="333"/>
      <c r="J2175" s="333"/>
    </row>
    <row r="2176" spans="7:10" x14ac:dyDescent="0.2">
      <c r="G2176" s="333"/>
      <c r="H2176" s="333"/>
      <c r="I2176" s="333"/>
      <c r="J2176" s="333"/>
    </row>
    <row r="2177" spans="7:10" x14ac:dyDescent="0.2">
      <c r="G2177" s="333"/>
      <c r="H2177" s="333"/>
      <c r="I2177" s="333"/>
      <c r="J2177" s="333"/>
    </row>
    <row r="2178" spans="7:10" x14ac:dyDescent="0.2">
      <c r="G2178" s="333"/>
      <c r="H2178" s="333"/>
      <c r="I2178" s="333"/>
      <c r="J2178" s="333"/>
    </row>
    <row r="2179" spans="7:10" x14ac:dyDescent="0.2">
      <c r="G2179" s="333"/>
      <c r="H2179" s="333"/>
      <c r="I2179" s="333"/>
      <c r="J2179" s="333"/>
    </row>
    <row r="2180" spans="7:10" x14ac:dyDescent="0.2">
      <c r="G2180" s="333"/>
      <c r="H2180" s="333"/>
      <c r="I2180" s="333"/>
      <c r="J2180" s="333"/>
    </row>
    <row r="2181" spans="7:10" x14ac:dyDescent="0.2">
      <c r="G2181" s="333"/>
      <c r="H2181" s="333"/>
      <c r="I2181" s="333"/>
      <c r="J2181" s="333"/>
    </row>
    <row r="2182" spans="7:10" x14ac:dyDescent="0.2">
      <c r="G2182" s="333"/>
      <c r="H2182" s="333"/>
      <c r="I2182" s="333"/>
      <c r="J2182" s="333"/>
    </row>
    <row r="2183" spans="7:10" x14ac:dyDescent="0.2">
      <c r="G2183" s="333"/>
      <c r="H2183" s="333"/>
      <c r="I2183" s="333"/>
      <c r="J2183" s="333"/>
    </row>
    <row r="2184" spans="7:10" x14ac:dyDescent="0.2">
      <c r="G2184" s="333"/>
      <c r="H2184" s="333"/>
      <c r="I2184" s="333"/>
      <c r="J2184" s="333"/>
    </row>
    <row r="2185" spans="7:10" x14ac:dyDescent="0.2">
      <c r="G2185" s="333"/>
      <c r="H2185" s="333"/>
      <c r="I2185" s="333"/>
      <c r="J2185" s="333"/>
    </row>
    <row r="2186" spans="7:10" x14ac:dyDescent="0.2">
      <c r="G2186" s="333"/>
      <c r="H2186" s="333"/>
      <c r="I2186" s="333"/>
      <c r="J2186" s="333"/>
    </row>
    <row r="2187" spans="7:10" x14ac:dyDescent="0.2">
      <c r="G2187" s="333"/>
      <c r="H2187" s="333"/>
      <c r="I2187" s="333"/>
      <c r="J2187" s="333"/>
    </row>
    <row r="2188" spans="7:10" x14ac:dyDescent="0.2">
      <c r="G2188" s="333"/>
      <c r="H2188" s="333"/>
      <c r="I2188" s="333"/>
      <c r="J2188" s="333"/>
    </row>
    <row r="2189" spans="7:10" x14ac:dyDescent="0.2">
      <c r="G2189" s="333"/>
      <c r="H2189" s="333"/>
      <c r="I2189" s="333"/>
      <c r="J2189" s="333"/>
    </row>
    <row r="2190" spans="7:10" x14ac:dyDescent="0.2">
      <c r="G2190" s="333"/>
      <c r="H2190" s="333"/>
      <c r="I2190" s="333"/>
      <c r="J2190" s="333"/>
    </row>
    <row r="2191" spans="7:10" x14ac:dyDescent="0.2">
      <c r="G2191" s="333"/>
      <c r="H2191" s="333"/>
      <c r="I2191" s="333"/>
      <c r="J2191" s="333"/>
    </row>
    <row r="2192" spans="7:10" x14ac:dyDescent="0.2">
      <c r="G2192" s="333"/>
      <c r="H2192" s="333"/>
      <c r="I2192" s="333"/>
      <c r="J2192" s="333"/>
    </row>
    <row r="2193" spans="7:10" x14ac:dyDescent="0.2">
      <c r="G2193" s="333"/>
      <c r="H2193" s="333"/>
      <c r="I2193" s="333"/>
      <c r="J2193" s="333"/>
    </row>
    <row r="2194" spans="7:10" x14ac:dyDescent="0.2">
      <c r="G2194" s="333"/>
      <c r="H2194" s="333"/>
      <c r="I2194" s="333"/>
      <c r="J2194" s="333"/>
    </row>
    <row r="2195" spans="7:10" x14ac:dyDescent="0.2">
      <c r="G2195" s="333"/>
      <c r="H2195" s="333"/>
      <c r="I2195" s="333"/>
      <c r="J2195" s="333"/>
    </row>
    <row r="2196" spans="7:10" x14ac:dyDescent="0.2">
      <c r="G2196" s="333"/>
      <c r="H2196" s="333"/>
      <c r="I2196" s="333"/>
      <c r="J2196" s="333"/>
    </row>
    <row r="2197" spans="7:10" x14ac:dyDescent="0.2">
      <c r="G2197" s="333"/>
      <c r="H2197" s="333"/>
      <c r="I2197" s="333"/>
      <c r="J2197" s="333"/>
    </row>
    <row r="2198" spans="7:10" x14ac:dyDescent="0.2">
      <c r="G2198" s="333"/>
      <c r="H2198" s="333"/>
      <c r="I2198" s="333"/>
      <c r="J2198" s="333"/>
    </row>
    <row r="2199" spans="7:10" x14ac:dyDescent="0.2">
      <c r="G2199" s="333"/>
      <c r="H2199" s="333"/>
      <c r="I2199" s="333"/>
      <c r="J2199" s="333"/>
    </row>
    <row r="2200" spans="7:10" x14ac:dyDescent="0.2">
      <c r="G2200" s="333"/>
      <c r="H2200" s="333"/>
      <c r="I2200" s="333"/>
      <c r="J2200" s="333"/>
    </row>
    <row r="2201" spans="7:10" x14ac:dyDescent="0.2">
      <c r="G2201" s="333"/>
      <c r="H2201" s="333"/>
      <c r="I2201" s="333"/>
      <c r="J2201" s="333"/>
    </row>
    <row r="2202" spans="7:10" x14ac:dyDescent="0.2">
      <c r="G2202" s="333"/>
      <c r="H2202" s="333"/>
      <c r="I2202" s="333"/>
      <c r="J2202" s="333"/>
    </row>
    <row r="2203" spans="7:10" x14ac:dyDescent="0.2">
      <c r="G2203" s="333"/>
      <c r="H2203" s="333"/>
      <c r="I2203" s="333"/>
      <c r="J2203" s="333"/>
    </row>
    <row r="2204" spans="7:10" x14ac:dyDescent="0.2">
      <c r="G2204" s="333"/>
      <c r="H2204" s="333"/>
      <c r="I2204" s="333"/>
      <c r="J2204" s="333"/>
    </row>
    <row r="2205" spans="7:10" x14ac:dyDescent="0.2">
      <c r="G2205" s="333"/>
      <c r="H2205" s="333"/>
      <c r="I2205" s="333"/>
      <c r="J2205" s="333"/>
    </row>
    <row r="2206" spans="7:10" x14ac:dyDescent="0.2">
      <c r="G2206" s="333"/>
      <c r="H2206" s="333"/>
      <c r="I2206" s="333"/>
      <c r="J2206" s="333"/>
    </row>
    <row r="2207" spans="7:10" x14ac:dyDescent="0.2">
      <c r="G2207" s="333"/>
      <c r="H2207" s="333"/>
      <c r="I2207" s="333"/>
      <c r="J2207" s="333"/>
    </row>
    <row r="2208" spans="7:10" x14ac:dyDescent="0.2">
      <c r="G2208" s="333"/>
      <c r="H2208" s="333"/>
      <c r="I2208" s="333"/>
      <c r="J2208" s="333"/>
    </row>
    <row r="2209" spans="7:10" x14ac:dyDescent="0.2">
      <c r="G2209" s="333"/>
      <c r="H2209" s="333"/>
      <c r="I2209" s="333"/>
      <c r="J2209" s="333"/>
    </row>
    <row r="2210" spans="7:10" x14ac:dyDescent="0.2">
      <c r="G2210" s="333"/>
      <c r="H2210" s="333"/>
      <c r="I2210" s="333"/>
      <c r="J2210" s="333"/>
    </row>
    <row r="2211" spans="7:10" x14ac:dyDescent="0.2">
      <c r="G2211" s="333"/>
      <c r="H2211" s="333"/>
      <c r="I2211" s="333"/>
      <c r="J2211" s="333"/>
    </row>
    <row r="2212" spans="7:10" x14ac:dyDescent="0.2">
      <c r="G2212" s="333"/>
      <c r="H2212" s="333"/>
      <c r="I2212" s="333"/>
      <c r="J2212" s="333"/>
    </row>
    <row r="2213" spans="7:10" x14ac:dyDescent="0.2">
      <c r="G2213" s="333"/>
      <c r="H2213" s="333"/>
      <c r="I2213" s="333"/>
      <c r="J2213" s="333"/>
    </row>
    <row r="2214" spans="7:10" x14ac:dyDescent="0.2">
      <c r="G2214" s="333"/>
      <c r="H2214" s="333"/>
      <c r="I2214" s="333"/>
      <c r="J2214" s="333"/>
    </row>
    <row r="2215" spans="7:10" x14ac:dyDescent="0.2">
      <c r="G2215" s="333"/>
      <c r="H2215" s="333"/>
      <c r="I2215" s="333"/>
      <c r="J2215" s="333"/>
    </row>
    <row r="2216" spans="7:10" x14ac:dyDescent="0.2">
      <c r="G2216" s="333"/>
      <c r="H2216" s="333"/>
      <c r="I2216" s="333"/>
      <c r="J2216" s="333"/>
    </row>
    <row r="2217" spans="7:10" x14ac:dyDescent="0.2">
      <c r="G2217" s="333"/>
      <c r="H2217" s="333"/>
      <c r="I2217" s="333"/>
      <c r="J2217" s="333"/>
    </row>
    <row r="2218" spans="7:10" x14ac:dyDescent="0.2">
      <c r="G2218" s="333"/>
      <c r="H2218" s="333"/>
      <c r="I2218" s="333"/>
      <c r="J2218" s="333"/>
    </row>
    <row r="2219" spans="7:10" x14ac:dyDescent="0.2">
      <c r="G2219" s="333"/>
      <c r="H2219" s="333"/>
      <c r="I2219" s="333"/>
      <c r="J2219" s="333"/>
    </row>
    <row r="2220" spans="7:10" x14ac:dyDescent="0.2">
      <c r="G2220" s="333"/>
      <c r="H2220" s="333"/>
      <c r="I2220" s="333"/>
      <c r="J2220" s="333"/>
    </row>
    <row r="2221" spans="7:10" x14ac:dyDescent="0.2">
      <c r="G2221" s="333"/>
      <c r="H2221" s="333"/>
      <c r="I2221" s="333"/>
      <c r="J2221" s="333"/>
    </row>
    <row r="2222" spans="7:10" x14ac:dyDescent="0.2">
      <c r="G2222" s="333"/>
      <c r="H2222" s="333"/>
      <c r="I2222" s="333"/>
      <c r="J2222" s="333"/>
    </row>
    <row r="2223" spans="7:10" x14ac:dyDescent="0.2">
      <c r="G2223" s="333"/>
      <c r="H2223" s="333"/>
      <c r="I2223" s="333"/>
      <c r="J2223" s="333"/>
    </row>
    <row r="2224" spans="7:10" x14ac:dyDescent="0.2">
      <c r="G2224" s="333"/>
      <c r="H2224" s="333"/>
      <c r="I2224" s="333"/>
      <c r="J2224" s="333"/>
    </row>
    <row r="2225" spans="7:10" x14ac:dyDescent="0.2">
      <c r="G2225" s="333"/>
      <c r="H2225" s="333"/>
      <c r="I2225" s="333"/>
      <c r="J2225" s="333"/>
    </row>
    <row r="2226" spans="7:10" x14ac:dyDescent="0.2">
      <c r="G2226" s="333"/>
      <c r="H2226" s="333"/>
      <c r="I2226" s="333"/>
      <c r="J2226" s="333"/>
    </row>
    <row r="2227" spans="7:10" x14ac:dyDescent="0.2">
      <c r="G2227" s="333"/>
      <c r="H2227" s="333"/>
      <c r="I2227" s="333"/>
      <c r="J2227" s="333"/>
    </row>
    <row r="2228" spans="7:10" x14ac:dyDescent="0.2">
      <c r="G2228" s="333"/>
      <c r="H2228" s="333"/>
      <c r="I2228" s="333"/>
      <c r="J2228" s="333"/>
    </row>
    <row r="2229" spans="7:10" x14ac:dyDescent="0.2">
      <c r="G2229" s="333"/>
      <c r="H2229" s="333"/>
      <c r="I2229" s="333"/>
      <c r="J2229" s="333"/>
    </row>
    <row r="2230" spans="7:10" x14ac:dyDescent="0.2">
      <c r="G2230" s="333"/>
      <c r="H2230" s="333"/>
      <c r="I2230" s="333"/>
      <c r="J2230" s="333"/>
    </row>
    <row r="2231" spans="7:10" x14ac:dyDescent="0.2">
      <c r="G2231" s="333"/>
      <c r="H2231" s="333"/>
      <c r="I2231" s="333"/>
      <c r="J2231" s="333"/>
    </row>
    <row r="2232" spans="7:10" x14ac:dyDescent="0.2">
      <c r="G2232" s="333"/>
      <c r="H2232" s="333"/>
      <c r="I2232" s="333"/>
      <c r="J2232" s="333"/>
    </row>
    <row r="2233" spans="7:10" x14ac:dyDescent="0.2">
      <c r="G2233" s="333"/>
      <c r="H2233" s="333"/>
      <c r="I2233" s="333"/>
      <c r="J2233" s="333"/>
    </row>
    <row r="2234" spans="7:10" x14ac:dyDescent="0.2">
      <c r="G2234" s="333"/>
      <c r="H2234" s="333"/>
      <c r="I2234" s="333"/>
      <c r="J2234" s="333"/>
    </row>
    <row r="2235" spans="7:10" x14ac:dyDescent="0.2">
      <c r="G2235" s="333"/>
      <c r="H2235" s="333"/>
      <c r="I2235" s="333"/>
      <c r="J2235" s="333"/>
    </row>
    <row r="2236" spans="7:10" x14ac:dyDescent="0.2">
      <c r="G2236" s="333"/>
      <c r="H2236" s="333"/>
      <c r="I2236" s="333"/>
      <c r="J2236" s="333"/>
    </row>
    <row r="2237" spans="7:10" x14ac:dyDescent="0.2">
      <c r="G2237" s="333"/>
      <c r="H2237" s="333"/>
      <c r="I2237" s="333"/>
      <c r="J2237" s="333"/>
    </row>
    <row r="2238" spans="7:10" x14ac:dyDescent="0.2">
      <c r="G2238" s="333"/>
      <c r="H2238" s="333"/>
      <c r="I2238" s="333"/>
      <c r="J2238" s="333"/>
    </row>
    <row r="2239" spans="7:10" x14ac:dyDescent="0.2">
      <c r="G2239" s="333"/>
      <c r="H2239" s="333"/>
      <c r="I2239" s="333"/>
      <c r="J2239" s="333"/>
    </row>
    <row r="2240" spans="7:10" x14ac:dyDescent="0.2">
      <c r="G2240" s="333"/>
      <c r="H2240" s="333"/>
      <c r="I2240" s="333"/>
      <c r="J2240" s="333"/>
    </row>
    <row r="2241" spans="7:10" x14ac:dyDescent="0.2">
      <c r="G2241" s="333"/>
      <c r="H2241" s="333"/>
      <c r="I2241" s="333"/>
      <c r="J2241" s="333"/>
    </row>
    <row r="2242" spans="7:10" x14ac:dyDescent="0.2">
      <c r="G2242" s="333"/>
      <c r="H2242" s="333"/>
      <c r="I2242" s="333"/>
      <c r="J2242" s="333"/>
    </row>
    <row r="2243" spans="7:10" x14ac:dyDescent="0.2">
      <c r="G2243" s="333"/>
      <c r="H2243" s="333"/>
      <c r="I2243" s="333"/>
      <c r="J2243" s="333"/>
    </row>
    <row r="2244" spans="7:10" x14ac:dyDescent="0.2">
      <c r="G2244" s="333"/>
      <c r="H2244" s="333"/>
      <c r="I2244" s="333"/>
      <c r="J2244" s="333"/>
    </row>
    <row r="2245" spans="7:10" x14ac:dyDescent="0.2">
      <c r="G2245" s="333"/>
      <c r="H2245" s="333"/>
      <c r="I2245" s="333"/>
      <c r="J2245" s="333"/>
    </row>
    <row r="2246" spans="7:10" x14ac:dyDescent="0.2">
      <c r="G2246" s="333"/>
      <c r="H2246" s="333"/>
      <c r="I2246" s="333"/>
      <c r="J2246" s="333"/>
    </row>
    <row r="2247" spans="7:10" x14ac:dyDescent="0.2">
      <c r="G2247" s="333"/>
      <c r="H2247" s="333"/>
      <c r="I2247" s="333"/>
      <c r="J2247" s="333"/>
    </row>
    <row r="2248" spans="7:10" x14ac:dyDescent="0.2">
      <c r="G2248" s="333"/>
      <c r="H2248" s="333"/>
      <c r="I2248" s="333"/>
      <c r="J2248" s="333"/>
    </row>
    <row r="2249" spans="7:10" x14ac:dyDescent="0.2">
      <c r="G2249" s="333"/>
      <c r="H2249" s="333"/>
      <c r="I2249" s="333"/>
      <c r="J2249" s="333"/>
    </row>
    <row r="2250" spans="7:10" x14ac:dyDescent="0.2">
      <c r="G2250" s="333"/>
      <c r="H2250" s="333"/>
      <c r="I2250" s="333"/>
      <c r="J2250" s="333"/>
    </row>
    <row r="2251" spans="7:10" x14ac:dyDescent="0.2">
      <c r="G2251" s="333"/>
      <c r="H2251" s="333"/>
      <c r="I2251" s="333"/>
      <c r="J2251" s="333"/>
    </row>
    <row r="2252" spans="7:10" x14ac:dyDescent="0.2">
      <c r="G2252" s="333"/>
      <c r="H2252" s="333"/>
      <c r="I2252" s="333"/>
      <c r="J2252" s="333"/>
    </row>
    <row r="2253" spans="7:10" x14ac:dyDescent="0.2">
      <c r="G2253" s="333"/>
      <c r="H2253" s="333"/>
      <c r="I2253" s="333"/>
      <c r="J2253" s="333"/>
    </row>
    <row r="2254" spans="7:10" x14ac:dyDescent="0.2">
      <c r="G2254" s="333"/>
      <c r="H2254" s="333"/>
      <c r="I2254" s="333"/>
      <c r="J2254" s="333"/>
    </row>
    <row r="2255" spans="7:10" x14ac:dyDescent="0.2">
      <c r="G2255" s="333"/>
      <c r="H2255" s="333"/>
      <c r="I2255" s="333"/>
      <c r="J2255" s="333"/>
    </row>
    <row r="2256" spans="7:10" x14ac:dyDescent="0.2">
      <c r="G2256" s="333"/>
      <c r="H2256" s="333"/>
      <c r="I2256" s="333"/>
      <c r="J2256" s="333"/>
    </row>
    <row r="2257" spans="7:10" x14ac:dyDescent="0.2">
      <c r="G2257" s="333"/>
      <c r="H2257" s="333"/>
      <c r="I2257" s="333"/>
      <c r="J2257" s="333"/>
    </row>
    <row r="2258" spans="7:10" x14ac:dyDescent="0.2">
      <c r="G2258" s="333"/>
      <c r="H2258" s="333"/>
      <c r="I2258" s="333"/>
      <c r="J2258" s="333"/>
    </row>
    <row r="2259" spans="7:10" x14ac:dyDescent="0.2">
      <c r="G2259" s="333"/>
      <c r="H2259" s="333"/>
      <c r="I2259" s="333"/>
      <c r="J2259" s="333"/>
    </row>
    <row r="2260" spans="7:10" x14ac:dyDescent="0.2">
      <c r="G2260" s="333"/>
      <c r="H2260" s="333"/>
      <c r="I2260" s="333"/>
      <c r="J2260" s="333"/>
    </row>
    <row r="2261" spans="7:10" x14ac:dyDescent="0.2">
      <c r="G2261" s="333"/>
      <c r="H2261" s="333"/>
      <c r="I2261" s="333"/>
      <c r="J2261" s="333"/>
    </row>
    <row r="2262" spans="7:10" x14ac:dyDescent="0.2">
      <c r="G2262" s="333"/>
      <c r="H2262" s="333"/>
      <c r="I2262" s="333"/>
      <c r="J2262" s="333"/>
    </row>
    <row r="2263" spans="7:10" x14ac:dyDescent="0.2">
      <c r="G2263" s="333"/>
      <c r="H2263" s="333"/>
      <c r="I2263" s="333"/>
      <c r="J2263" s="333"/>
    </row>
    <row r="2264" spans="7:10" x14ac:dyDescent="0.2">
      <c r="G2264" s="333"/>
      <c r="H2264" s="333"/>
      <c r="I2264" s="333"/>
      <c r="J2264" s="333"/>
    </row>
    <row r="2265" spans="7:10" x14ac:dyDescent="0.2">
      <c r="G2265" s="333"/>
      <c r="H2265" s="333"/>
      <c r="I2265" s="333"/>
      <c r="J2265" s="333"/>
    </row>
    <row r="2266" spans="7:10" x14ac:dyDescent="0.2">
      <c r="G2266" s="333"/>
      <c r="H2266" s="333"/>
      <c r="I2266" s="333"/>
      <c r="J2266" s="333"/>
    </row>
    <row r="2267" spans="7:10" x14ac:dyDescent="0.2">
      <c r="G2267" s="333"/>
      <c r="H2267" s="333"/>
      <c r="I2267" s="333"/>
      <c r="J2267" s="333"/>
    </row>
    <row r="2268" spans="7:10" x14ac:dyDescent="0.2">
      <c r="G2268" s="333"/>
      <c r="H2268" s="333"/>
      <c r="I2268" s="333"/>
      <c r="J2268" s="333"/>
    </row>
    <row r="2269" spans="7:10" x14ac:dyDescent="0.2">
      <c r="G2269" s="333"/>
      <c r="H2269" s="333"/>
      <c r="I2269" s="333"/>
      <c r="J2269" s="333"/>
    </row>
    <row r="2270" spans="7:10" x14ac:dyDescent="0.2">
      <c r="G2270" s="333"/>
      <c r="H2270" s="333"/>
      <c r="I2270" s="333"/>
      <c r="J2270" s="333"/>
    </row>
    <row r="2271" spans="7:10" x14ac:dyDescent="0.2">
      <c r="G2271" s="333"/>
      <c r="H2271" s="333"/>
      <c r="I2271" s="333"/>
      <c r="J2271" s="333"/>
    </row>
    <row r="2272" spans="7:10" x14ac:dyDescent="0.2">
      <c r="G2272" s="333"/>
      <c r="H2272" s="333"/>
      <c r="I2272" s="333"/>
      <c r="J2272" s="333"/>
    </row>
    <row r="2273" spans="7:10" x14ac:dyDescent="0.2">
      <c r="G2273" s="333"/>
      <c r="H2273" s="333"/>
      <c r="I2273" s="333"/>
      <c r="J2273" s="333"/>
    </row>
    <row r="2274" spans="7:10" x14ac:dyDescent="0.2">
      <c r="G2274" s="333"/>
      <c r="H2274" s="333"/>
      <c r="I2274" s="333"/>
      <c r="J2274" s="333"/>
    </row>
    <row r="2275" spans="7:10" x14ac:dyDescent="0.2">
      <c r="G2275" s="333"/>
      <c r="H2275" s="333"/>
      <c r="I2275" s="333"/>
      <c r="J2275" s="333"/>
    </row>
    <row r="2276" spans="7:10" x14ac:dyDescent="0.2">
      <c r="G2276" s="333"/>
      <c r="H2276" s="333"/>
      <c r="I2276" s="333"/>
      <c r="J2276" s="333"/>
    </row>
    <row r="2277" spans="7:10" x14ac:dyDescent="0.2">
      <c r="G2277" s="333"/>
      <c r="H2277" s="333"/>
      <c r="I2277" s="333"/>
      <c r="J2277" s="333"/>
    </row>
    <row r="2278" spans="7:10" x14ac:dyDescent="0.2">
      <c r="G2278" s="333"/>
      <c r="H2278" s="333"/>
      <c r="I2278" s="333"/>
      <c r="J2278" s="333"/>
    </row>
    <row r="2279" spans="7:10" x14ac:dyDescent="0.2">
      <c r="G2279" s="333"/>
      <c r="H2279" s="333"/>
      <c r="I2279" s="333"/>
      <c r="J2279" s="333"/>
    </row>
    <row r="2280" spans="7:10" x14ac:dyDescent="0.2">
      <c r="G2280" s="333"/>
      <c r="H2280" s="333"/>
      <c r="I2280" s="333"/>
      <c r="J2280" s="333"/>
    </row>
    <row r="2281" spans="7:10" x14ac:dyDescent="0.2">
      <c r="G2281" s="333"/>
      <c r="H2281" s="333"/>
      <c r="I2281" s="333"/>
      <c r="J2281" s="333"/>
    </row>
    <row r="2282" spans="7:10" x14ac:dyDescent="0.2">
      <c r="G2282" s="333"/>
      <c r="H2282" s="333"/>
      <c r="I2282" s="333"/>
      <c r="J2282" s="333"/>
    </row>
    <row r="2283" spans="7:10" x14ac:dyDescent="0.2">
      <c r="G2283" s="333"/>
      <c r="H2283" s="333"/>
      <c r="I2283" s="333"/>
      <c r="J2283" s="333"/>
    </row>
    <row r="2284" spans="7:10" x14ac:dyDescent="0.2">
      <c r="G2284" s="333"/>
      <c r="H2284" s="333"/>
      <c r="I2284" s="333"/>
      <c r="J2284" s="333"/>
    </row>
    <row r="2285" spans="7:10" x14ac:dyDescent="0.2">
      <c r="G2285" s="333"/>
      <c r="H2285" s="333"/>
      <c r="I2285" s="333"/>
      <c r="J2285" s="333"/>
    </row>
    <row r="2286" spans="7:10" x14ac:dyDescent="0.2">
      <c r="G2286" s="333"/>
      <c r="H2286" s="333"/>
      <c r="I2286" s="333"/>
      <c r="J2286" s="333"/>
    </row>
    <row r="2287" spans="7:10" x14ac:dyDescent="0.2">
      <c r="G2287" s="333"/>
      <c r="H2287" s="333"/>
      <c r="I2287" s="333"/>
      <c r="J2287" s="333"/>
    </row>
    <row r="2288" spans="7:10" x14ac:dyDescent="0.2">
      <c r="G2288" s="333"/>
      <c r="H2288" s="333"/>
      <c r="I2288" s="333"/>
      <c r="J2288" s="333"/>
    </row>
    <row r="2289" spans="7:10" x14ac:dyDescent="0.2">
      <c r="G2289" s="333"/>
      <c r="H2289" s="333"/>
      <c r="I2289" s="333"/>
      <c r="J2289" s="333"/>
    </row>
    <row r="2290" spans="7:10" x14ac:dyDescent="0.2">
      <c r="G2290" s="333"/>
      <c r="H2290" s="333"/>
      <c r="I2290" s="333"/>
      <c r="J2290" s="333"/>
    </row>
    <row r="2291" spans="7:10" x14ac:dyDescent="0.2">
      <c r="G2291" s="333"/>
      <c r="H2291" s="333"/>
      <c r="I2291" s="333"/>
      <c r="J2291" s="333"/>
    </row>
    <row r="2292" spans="7:10" x14ac:dyDescent="0.2">
      <c r="G2292" s="333"/>
      <c r="H2292" s="333"/>
      <c r="I2292" s="333"/>
      <c r="J2292" s="333"/>
    </row>
    <row r="2293" spans="7:10" x14ac:dyDescent="0.2">
      <c r="G2293" s="333"/>
      <c r="H2293" s="333"/>
      <c r="I2293" s="333"/>
      <c r="J2293" s="333"/>
    </row>
    <row r="2294" spans="7:10" x14ac:dyDescent="0.2">
      <c r="G2294" s="333"/>
      <c r="H2294" s="333"/>
      <c r="I2294" s="333"/>
      <c r="J2294" s="333"/>
    </row>
    <row r="2295" spans="7:10" x14ac:dyDescent="0.2">
      <c r="G2295" s="333"/>
      <c r="H2295" s="333"/>
      <c r="I2295" s="333"/>
      <c r="J2295" s="333"/>
    </row>
    <row r="2296" spans="7:10" x14ac:dyDescent="0.2">
      <c r="G2296" s="333"/>
      <c r="H2296" s="333"/>
      <c r="I2296" s="333"/>
      <c r="J2296" s="333"/>
    </row>
    <row r="2297" spans="7:10" x14ac:dyDescent="0.2">
      <c r="G2297" s="333"/>
      <c r="H2297" s="333"/>
      <c r="I2297" s="333"/>
      <c r="J2297" s="333"/>
    </row>
    <row r="2298" spans="7:10" x14ac:dyDescent="0.2">
      <c r="G2298" s="333"/>
      <c r="H2298" s="333"/>
      <c r="I2298" s="333"/>
      <c r="J2298" s="333"/>
    </row>
    <row r="2299" spans="7:10" x14ac:dyDescent="0.2">
      <c r="G2299" s="333"/>
      <c r="H2299" s="333"/>
      <c r="I2299" s="333"/>
      <c r="J2299" s="333"/>
    </row>
    <row r="2300" spans="7:10" x14ac:dyDescent="0.2">
      <c r="G2300" s="333"/>
      <c r="H2300" s="333"/>
      <c r="I2300" s="333"/>
      <c r="J2300" s="333"/>
    </row>
    <row r="2301" spans="7:10" x14ac:dyDescent="0.2">
      <c r="G2301" s="333"/>
      <c r="H2301" s="333"/>
      <c r="I2301" s="333"/>
      <c r="J2301" s="333"/>
    </row>
    <row r="2302" spans="7:10" x14ac:dyDescent="0.2">
      <c r="G2302" s="333"/>
      <c r="H2302" s="333"/>
      <c r="I2302" s="333"/>
      <c r="J2302" s="333"/>
    </row>
    <row r="2303" spans="7:10" x14ac:dyDescent="0.2">
      <c r="G2303" s="333"/>
      <c r="H2303" s="333"/>
      <c r="I2303" s="333"/>
      <c r="J2303" s="333"/>
    </row>
    <row r="2304" spans="7:10" x14ac:dyDescent="0.2">
      <c r="G2304" s="333"/>
      <c r="H2304" s="333"/>
      <c r="I2304" s="333"/>
      <c r="J2304" s="333"/>
    </row>
    <row r="2305" spans="7:10" x14ac:dyDescent="0.2">
      <c r="G2305" s="333"/>
      <c r="H2305" s="333"/>
      <c r="I2305" s="333"/>
      <c r="J2305" s="333"/>
    </row>
    <row r="2306" spans="7:10" x14ac:dyDescent="0.2">
      <c r="G2306" s="333"/>
      <c r="H2306" s="333"/>
      <c r="I2306" s="333"/>
      <c r="J2306" s="333"/>
    </row>
    <row r="2307" spans="7:10" x14ac:dyDescent="0.2">
      <c r="G2307" s="333"/>
      <c r="H2307" s="333"/>
      <c r="I2307" s="333"/>
      <c r="J2307" s="333"/>
    </row>
    <row r="2308" spans="7:10" x14ac:dyDescent="0.2">
      <c r="G2308" s="333"/>
      <c r="H2308" s="333"/>
      <c r="I2308" s="333"/>
      <c r="J2308" s="333"/>
    </row>
    <row r="2309" spans="7:10" x14ac:dyDescent="0.2">
      <c r="G2309" s="333"/>
      <c r="H2309" s="333"/>
      <c r="I2309" s="333"/>
      <c r="J2309" s="333"/>
    </row>
    <row r="2310" spans="7:10" x14ac:dyDescent="0.2">
      <c r="G2310" s="333"/>
      <c r="H2310" s="333"/>
      <c r="I2310" s="333"/>
      <c r="J2310" s="333"/>
    </row>
    <row r="2311" spans="7:10" x14ac:dyDescent="0.2">
      <c r="G2311" s="333"/>
      <c r="H2311" s="333"/>
      <c r="I2311" s="333"/>
      <c r="J2311" s="333"/>
    </row>
    <row r="2312" spans="7:10" x14ac:dyDescent="0.2">
      <c r="G2312" s="333"/>
      <c r="H2312" s="333"/>
      <c r="I2312" s="333"/>
      <c r="J2312" s="333"/>
    </row>
    <row r="2313" spans="7:10" x14ac:dyDescent="0.2">
      <c r="G2313" s="333"/>
      <c r="H2313" s="333"/>
      <c r="I2313" s="333"/>
      <c r="J2313" s="333"/>
    </row>
    <row r="2314" spans="7:10" x14ac:dyDescent="0.2">
      <c r="G2314" s="333"/>
      <c r="H2314" s="333"/>
      <c r="I2314" s="333"/>
      <c r="J2314" s="333"/>
    </row>
    <row r="2315" spans="7:10" x14ac:dyDescent="0.2">
      <c r="G2315" s="333"/>
      <c r="H2315" s="333"/>
      <c r="I2315" s="333"/>
      <c r="J2315" s="333"/>
    </row>
    <row r="2316" spans="7:10" x14ac:dyDescent="0.2">
      <c r="G2316" s="333"/>
      <c r="H2316" s="333"/>
      <c r="I2316" s="333"/>
      <c r="J2316" s="333"/>
    </row>
    <row r="2317" spans="7:10" x14ac:dyDescent="0.2">
      <c r="G2317" s="333"/>
      <c r="H2317" s="333"/>
      <c r="I2317" s="333"/>
      <c r="J2317" s="333"/>
    </row>
    <row r="2318" spans="7:10" x14ac:dyDescent="0.2">
      <c r="G2318" s="333"/>
      <c r="H2318" s="333"/>
      <c r="I2318" s="333"/>
      <c r="J2318" s="333"/>
    </row>
    <row r="2319" spans="7:10" x14ac:dyDescent="0.2">
      <c r="G2319" s="333"/>
      <c r="H2319" s="333"/>
      <c r="I2319" s="333"/>
      <c r="J2319" s="333"/>
    </row>
    <row r="2320" spans="7:10" x14ac:dyDescent="0.2">
      <c r="G2320" s="333"/>
      <c r="H2320" s="333"/>
      <c r="I2320" s="333"/>
      <c r="J2320" s="333"/>
    </row>
    <row r="2321" spans="7:10" x14ac:dyDescent="0.2">
      <c r="G2321" s="333"/>
      <c r="H2321" s="333"/>
      <c r="I2321" s="333"/>
      <c r="J2321" s="333"/>
    </row>
    <row r="2322" spans="7:10" x14ac:dyDescent="0.2">
      <c r="G2322" s="333"/>
      <c r="H2322" s="333"/>
      <c r="I2322" s="333"/>
      <c r="J2322" s="333"/>
    </row>
    <row r="2323" spans="7:10" x14ac:dyDescent="0.2">
      <c r="G2323" s="333"/>
      <c r="H2323" s="333"/>
      <c r="I2323" s="333"/>
      <c r="J2323" s="333"/>
    </row>
    <row r="2324" spans="7:10" x14ac:dyDescent="0.2">
      <c r="G2324" s="333"/>
      <c r="H2324" s="333"/>
      <c r="I2324" s="333"/>
      <c r="J2324" s="333"/>
    </row>
    <row r="2325" spans="7:10" x14ac:dyDescent="0.2">
      <c r="G2325" s="333"/>
      <c r="H2325" s="333"/>
      <c r="I2325" s="333"/>
      <c r="J2325" s="333"/>
    </row>
    <row r="2326" spans="7:10" x14ac:dyDescent="0.2">
      <c r="G2326" s="333"/>
      <c r="H2326" s="333"/>
      <c r="I2326" s="333"/>
      <c r="J2326" s="333"/>
    </row>
    <row r="2327" spans="7:10" x14ac:dyDescent="0.2">
      <c r="G2327" s="333"/>
      <c r="H2327" s="333"/>
      <c r="I2327" s="333"/>
      <c r="J2327" s="333"/>
    </row>
    <row r="2328" spans="7:10" x14ac:dyDescent="0.2">
      <c r="G2328" s="333"/>
      <c r="H2328" s="333"/>
      <c r="I2328" s="333"/>
      <c r="J2328" s="333"/>
    </row>
    <row r="2329" spans="7:10" x14ac:dyDescent="0.2">
      <c r="G2329" s="333"/>
      <c r="H2329" s="333"/>
      <c r="I2329" s="333"/>
      <c r="J2329" s="333"/>
    </row>
    <row r="2330" spans="7:10" x14ac:dyDescent="0.2">
      <c r="G2330" s="333"/>
      <c r="H2330" s="333"/>
      <c r="I2330" s="333"/>
      <c r="J2330" s="333"/>
    </row>
    <row r="2331" spans="7:10" x14ac:dyDescent="0.2">
      <c r="G2331" s="333"/>
      <c r="H2331" s="333"/>
      <c r="I2331" s="333"/>
      <c r="J2331" s="333"/>
    </row>
    <row r="2332" spans="7:10" x14ac:dyDescent="0.2">
      <c r="G2332" s="333"/>
      <c r="H2332" s="333"/>
      <c r="I2332" s="333"/>
      <c r="J2332" s="333"/>
    </row>
    <row r="2333" spans="7:10" x14ac:dyDescent="0.2">
      <c r="G2333" s="333"/>
      <c r="H2333" s="333"/>
      <c r="I2333" s="333"/>
      <c r="J2333" s="333"/>
    </row>
    <row r="2334" spans="7:10" x14ac:dyDescent="0.2">
      <c r="G2334" s="333"/>
      <c r="H2334" s="333"/>
      <c r="I2334" s="333"/>
      <c r="J2334" s="333"/>
    </row>
    <row r="2335" spans="7:10" x14ac:dyDescent="0.2">
      <c r="G2335" s="333"/>
      <c r="H2335" s="333"/>
      <c r="I2335" s="333"/>
      <c r="J2335" s="333"/>
    </row>
    <row r="2336" spans="7:10" x14ac:dyDescent="0.2">
      <c r="G2336" s="333"/>
      <c r="H2336" s="333"/>
      <c r="I2336" s="333"/>
      <c r="J2336" s="333"/>
    </row>
    <row r="2337" spans="7:10" x14ac:dyDescent="0.2">
      <c r="G2337" s="333"/>
      <c r="H2337" s="333"/>
      <c r="I2337" s="333"/>
      <c r="J2337" s="333"/>
    </row>
    <row r="2338" spans="7:10" x14ac:dyDescent="0.2">
      <c r="G2338" s="333"/>
      <c r="H2338" s="333"/>
      <c r="I2338" s="333"/>
      <c r="J2338" s="333"/>
    </row>
    <row r="2339" spans="7:10" x14ac:dyDescent="0.2">
      <c r="G2339" s="333"/>
      <c r="H2339" s="333"/>
      <c r="I2339" s="333"/>
      <c r="J2339" s="333"/>
    </row>
    <row r="2340" spans="7:10" x14ac:dyDescent="0.2">
      <c r="G2340" s="333"/>
      <c r="H2340" s="333"/>
      <c r="I2340" s="333"/>
      <c r="J2340" s="333"/>
    </row>
    <row r="2341" spans="7:10" x14ac:dyDescent="0.2">
      <c r="G2341" s="333"/>
      <c r="H2341" s="333"/>
      <c r="I2341" s="333"/>
      <c r="J2341" s="333"/>
    </row>
    <row r="2342" spans="7:10" x14ac:dyDescent="0.2">
      <c r="G2342" s="333"/>
      <c r="H2342" s="333"/>
      <c r="I2342" s="333"/>
      <c r="J2342" s="333"/>
    </row>
    <row r="2343" spans="7:10" x14ac:dyDescent="0.2">
      <c r="G2343" s="333"/>
      <c r="H2343" s="333"/>
      <c r="I2343" s="333"/>
      <c r="J2343" s="333"/>
    </row>
    <row r="2344" spans="7:10" x14ac:dyDescent="0.2">
      <c r="G2344" s="333"/>
      <c r="H2344" s="333"/>
      <c r="I2344" s="333"/>
      <c r="J2344" s="333"/>
    </row>
    <row r="2345" spans="7:10" x14ac:dyDescent="0.2">
      <c r="G2345" s="333"/>
      <c r="H2345" s="333"/>
      <c r="I2345" s="333"/>
      <c r="J2345" s="333"/>
    </row>
    <row r="2346" spans="7:10" x14ac:dyDescent="0.2">
      <c r="G2346" s="333"/>
      <c r="H2346" s="333"/>
      <c r="I2346" s="333"/>
      <c r="J2346" s="333"/>
    </row>
    <row r="2347" spans="7:10" x14ac:dyDescent="0.2">
      <c r="G2347" s="333"/>
      <c r="H2347" s="333"/>
      <c r="I2347" s="333"/>
      <c r="J2347" s="333"/>
    </row>
    <row r="2348" spans="7:10" x14ac:dyDescent="0.2">
      <c r="G2348" s="333"/>
      <c r="H2348" s="333"/>
      <c r="I2348" s="333"/>
      <c r="J2348" s="333"/>
    </row>
    <row r="2349" spans="7:10" x14ac:dyDescent="0.2">
      <c r="G2349" s="333"/>
      <c r="H2349" s="333"/>
      <c r="I2349" s="333"/>
      <c r="J2349" s="333"/>
    </row>
    <row r="2350" spans="7:10" x14ac:dyDescent="0.2">
      <c r="G2350" s="333"/>
      <c r="H2350" s="333"/>
      <c r="I2350" s="333"/>
      <c r="J2350" s="333"/>
    </row>
    <row r="2351" spans="7:10" x14ac:dyDescent="0.2">
      <c r="G2351" s="333"/>
      <c r="H2351" s="333"/>
      <c r="I2351" s="333"/>
      <c r="J2351" s="333"/>
    </row>
    <row r="2352" spans="7:10" x14ac:dyDescent="0.2">
      <c r="G2352" s="333"/>
      <c r="H2352" s="333"/>
      <c r="I2352" s="333"/>
      <c r="J2352" s="333"/>
    </row>
    <row r="2353" spans="7:10" x14ac:dyDescent="0.2">
      <c r="G2353" s="333"/>
      <c r="H2353" s="333"/>
      <c r="I2353" s="333"/>
      <c r="J2353" s="333"/>
    </row>
    <row r="2354" spans="7:10" x14ac:dyDescent="0.2">
      <c r="G2354" s="333"/>
      <c r="H2354" s="333"/>
      <c r="I2354" s="333"/>
      <c r="J2354" s="333"/>
    </row>
    <row r="2355" spans="7:10" x14ac:dyDescent="0.2">
      <c r="G2355" s="333"/>
      <c r="H2355" s="333"/>
      <c r="I2355" s="333"/>
      <c r="J2355" s="333"/>
    </row>
    <row r="2356" spans="7:10" x14ac:dyDescent="0.2">
      <c r="G2356" s="333"/>
      <c r="H2356" s="333"/>
      <c r="I2356" s="333"/>
      <c r="J2356" s="333"/>
    </row>
    <row r="2357" spans="7:10" x14ac:dyDescent="0.2">
      <c r="G2357" s="333"/>
      <c r="H2357" s="333"/>
      <c r="I2357" s="333"/>
      <c r="J2357" s="333"/>
    </row>
    <row r="2358" spans="7:10" x14ac:dyDescent="0.2">
      <c r="G2358" s="333"/>
      <c r="H2358" s="333"/>
      <c r="I2358" s="333"/>
      <c r="J2358" s="333"/>
    </row>
    <row r="2359" spans="7:10" x14ac:dyDescent="0.2">
      <c r="G2359" s="333"/>
      <c r="H2359" s="333"/>
      <c r="I2359" s="333"/>
      <c r="J2359" s="333"/>
    </row>
    <row r="2360" spans="7:10" x14ac:dyDescent="0.2">
      <c r="G2360" s="333"/>
      <c r="H2360" s="333"/>
      <c r="I2360" s="333"/>
      <c r="J2360" s="333"/>
    </row>
    <row r="2361" spans="7:10" x14ac:dyDescent="0.2">
      <c r="G2361" s="333"/>
      <c r="H2361" s="333"/>
      <c r="I2361" s="333"/>
      <c r="J2361" s="333"/>
    </row>
    <row r="2362" spans="7:10" x14ac:dyDescent="0.2">
      <c r="G2362" s="333"/>
      <c r="H2362" s="333"/>
      <c r="I2362" s="333"/>
      <c r="J2362" s="333"/>
    </row>
    <row r="2363" spans="7:10" x14ac:dyDescent="0.2">
      <c r="G2363" s="333"/>
      <c r="H2363" s="333"/>
      <c r="I2363" s="333"/>
      <c r="J2363" s="333"/>
    </row>
    <row r="2364" spans="7:10" x14ac:dyDescent="0.2">
      <c r="G2364" s="333"/>
      <c r="H2364" s="333"/>
      <c r="I2364" s="333"/>
      <c r="J2364" s="333"/>
    </row>
    <row r="2365" spans="7:10" x14ac:dyDescent="0.2">
      <c r="G2365" s="333"/>
      <c r="H2365" s="333"/>
      <c r="I2365" s="333"/>
      <c r="J2365" s="333"/>
    </row>
    <row r="2366" spans="7:10" x14ac:dyDescent="0.2">
      <c r="G2366" s="333"/>
      <c r="H2366" s="333"/>
      <c r="I2366" s="333"/>
      <c r="J2366" s="333"/>
    </row>
    <row r="2367" spans="7:10" x14ac:dyDescent="0.2">
      <c r="G2367" s="333"/>
      <c r="H2367" s="333"/>
      <c r="I2367" s="333"/>
      <c r="J2367" s="333"/>
    </row>
    <row r="2368" spans="7:10" x14ac:dyDescent="0.2">
      <c r="G2368" s="333"/>
      <c r="H2368" s="333"/>
      <c r="I2368" s="333"/>
      <c r="J2368" s="333"/>
    </row>
    <row r="2369" spans="7:10" x14ac:dyDescent="0.2">
      <c r="G2369" s="333"/>
      <c r="H2369" s="333"/>
      <c r="I2369" s="333"/>
      <c r="J2369" s="333"/>
    </row>
    <row r="2370" spans="7:10" x14ac:dyDescent="0.2">
      <c r="G2370" s="333"/>
      <c r="H2370" s="333"/>
      <c r="I2370" s="333"/>
      <c r="J2370" s="333"/>
    </row>
    <row r="2371" spans="7:10" x14ac:dyDescent="0.2">
      <c r="G2371" s="333"/>
      <c r="H2371" s="333"/>
      <c r="I2371" s="333"/>
      <c r="J2371" s="333"/>
    </row>
    <row r="2372" spans="7:10" x14ac:dyDescent="0.2">
      <c r="G2372" s="333"/>
      <c r="H2372" s="333"/>
      <c r="I2372" s="333"/>
      <c r="J2372" s="333"/>
    </row>
    <row r="2373" spans="7:10" x14ac:dyDescent="0.2">
      <c r="G2373" s="333"/>
      <c r="H2373" s="333"/>
      <c r="I2373" s="333"/>
      <c r="J2373" s="333"/>
    </row>
    <row r="2374" spans="7:10" x14ac:dyDescent="0.2">
      <c r="G2374" s="333"/>
      <c r="H2374" s="333"/>
      <c r="I2374" s="333"/>
      <c r="J2374" s="333"/>
    </row>
    <row r="2375" spans="7:10" x14ac:dyDescent="0.2">
      <c r="G2375" s="333"/>
      <c r="H2375" s="333"/>
      <c r="I2375" s="333"/>
      <c r="J2375" s="333"/>
    </row>
    <row r="2376" spans="7:10" x14ac:dyDescent="0.2">
      <c r="G2376" s="333"/>
      <c r="H2376" s="333"/>
      <c r="I2376" s="333"/>
      <c r="J2376" s="333"/>
    </row>
    <row r="2377" spans="7:10" x14ac:dyDescent="0.2">
      <c r="G2377" s="333"/>
      <c r="H2377" s="333"/>
      <c r="I2377" s="333"/>
      <c r="J2377" s="333"/>
    </row>
    <row r="2378" spans="7:10" x14ac:dyDescent="0.2">
      <c r="G2378" s="333"/>
      <c r="H2378" s="333"/>
      <c r="I2378" s="333"/>
      <c r="J2378" s="333"/>
    </row>
    <row r="2379" spans="7:10" x14ac:dyDescent="0.2">
      <c r="G2379" s="333"/>
      <c r="H2379" s="333"/>
      <c r="I2379" s="333"/>
      <c r="J2379" s="333"/>
    </row>
    <row r="2380" spans="7:10" x14ac:dyDescent="0.2">
      <c r="G2380" s="333"/>
      <c r="H2380" s="333"/>
      <c r="I2380" s="333"/>
      <c r="J2380" s="333"/>
    </row>
    <row r="2381" spans="7:10" x14ac:dyDescent="0.2">
      <c r="G2381" s="333"/>
      <c r="H2381" s="333"/>
      <c r="I2381" s="333"/>
      <c r="J2381" s="333"/>
    </row>
    <row r="2382" spans="7:10" x14ac:dyDescent="0.2">
      <c r="G2382" s="333"/>
      <c r="H2382" s="333"/>
      <c r="I2382" s="333"/>
      <c r="J2382" s="333"/>
    </row>
    <row r="2383" spans="7:10" x14ac:dyDescent="0.2">
      <c r="G2383" s="333"/>
      <c r="H2383" s="333"/>
      <c r="I2383" s="333"/>
      <c r="J2383" s="333"/>
    </row>
    <row r="2384" spans="7:10" x14ac:dyDescent="0.2">
      <c r="G2384" s="333"/>
      <c r="H2384" s="333"/>
      <c r="I2384" s="333"/>
      <c r="J2384" s="333"/>
    </row>
    <row r="2385" spans="7:10" x14ac:dyDescent="0.2">
      <c r="G2385" s="333"/>
      <c r="H2385" s="333"/>
      <c r="I2385" s="333"/>
      <c r="J2385" s="333"/>
    </row>
    <row r="2386" spans="7:10" x14ac:dyDescent="0.2">
      <c r="G2386" s="333"/>
      <c r="H2386" s="333"/>
      <c r="I2386" s="333"/>
      <c r="J2386" s="333"/>
    </row>
    <row r="2387" spans="7:10" x14ac:dyDescent="0.2">
      <c r="G2387" s="333"/>
      <c r="H2387" s="333"/>
      <c r="I2387" s="333"/>
      <c r="J2387" s="333"/>
    </row>
    <row r="2388" spans="7:10" x14ac:dyDescent="0.2">
      <c r="G2388" s="333"/>
      <c r="H2388" s="333"/>
      <c r="I2388" s="333"/>
      <c r="J2388" s="333"/>
    </row>
    <row r="2389" spans="7:10" x14ac:dyDescent="0.2">
      <c r="G2389" s="333"/>
      <c r="H2389" s="333"/>
      <c r="I2389" s="333"/>
      <c r="J2389" s="333"/>
    </row>
    <row r="2390" spans="7:10" x14ac:dyDescent="0.2">
      <c r="G2390" s="333"/>
      <c r="H2390" s="333"/>
      <c r="I2390" s="333"/>
      <c r="J2390" s="333"/>
    </row>
    <row r="2391" spans="7:10" x14ac:dyDescent="0.2">
      <c r="G2391" s="333"/>
      <c r="H2391" s="333"/>
      <c r="I2391" s="333"/>
      <c r="J2391" s="333"/>
    </row>
    <row r="2392" spans="7:10" x14ac:dyDescent="0.2">
      <c r="G2392" s="333"/>
      <c r="H2392" s="333"/>
      <c r="I2392" s="333"/>
      <c r="J2392" s="333"/>
    </row>
    <row r="2393" spans="7:10" x14ac:dyDescent="0.2">
      <c r="G2393" s="333"/>
      <c r="H2393" s="333"/>
      <c r="I2393" s="333"/>
      <c r="J2393" s="333"/>
    </row>
    <row r="2394" spans="7:10" x14ac:dyDescent="0.2">
      <c r="G2394" s="333"/>
      <c r="H2394" s="333"/>
      <c r="I2394" s="333"/>
      <c r="J2394" s="333"/>
    </row>
    <row r="2395" spans="7:10" x14ac:dyDescent="0.2">
      <c r="G2395" s="333"/>
      <c r="H2395" s="333"/>
      <c r="I2395" s="333"/>
      <c r="J2395" s="333"/>
    </row>
    <row r="2396" spans="7:10" x14ac:dyDescent="0.2">
      <c r="G2396" s="333"/>
      <c r="H2396" s="333"/>
      <c r="I2396" s="333"/>
      <c r="J2396" s="333"/>
    </row>
    <row r="2397" spans="7:10" x14ac:dyDescent="0.2">
      <c r="G2397" s="333"/>
      <c r="H2397" s="333"/>
      <c r="I2397" s="333"/>
      <c r="J2397" s="333"/>
    </row>
    <row r="2398" spans="7:10" x14ac:dyDescent="0.2">
      <c r="G2398" s="333"/>
      <c r="H2398" s="333"/>
      <c r="I2398" s="333"/>
      <c r="J2398" s="333"/>
    </row>
    <row r="2399" spans="7:10" x14ac:dyDescent="0.2">
      <c r="G2399" s="333"/>
      <c r="H2399" s="333"/>
      <c r="I2399" s="333"/>
      <c r="J2399" s="333"/>
    </row>
    <row r="2400" spans="7:10" x14ac:dyDescent="0.2">
      <c r="G2400" s="333"/>
      <c r="H2400" s="333"/>
      <c r="I2400" s="333"/>
      <c r="J2400" s="333"/>
    </row>
    <row r="2401" spans="7:10" x14ac:dyDescent="0.2">
      <c r="G2401" s="333"/>
      <c r="H2401" s="333"/>
      <c r="I2401" s="333"/>
      <c r="J2401" s="333"/>
    </row>
    <row r="2402" spans="7:10" x14ac:dyDescent="0.2">
      <c r="G2402" s="333"/>
      <c r="H2402" s="333"/>
      <c r="I2402" s="333"/>
      <c r="J2402" s="333"/>
    </row>
    <row r="2403" spans="7:10" x14ac:dyDescent="0.2">
      <c r="G2403" s="333"/>
      <c r="H2403" s="333"/>
      <c r="I2403" s="333"/>
      <c r="J2403" s="333"/>
    </row>
    <row r="2404" spans="7:10" x14ac:dyDescent="0.2">
      <c r="G2404" s="333"/>
      <c r="H2404" s="333"/>
      <c r="I2404" s="333"/>
      <c r="J2404" s="333"/>
    </row>
    <row r="2405" spans="7:10" x14ac:dyDescent="0.2">
      <c r="G2405" s="333"/>
      <c r="H2405" s="333"/>
      <c r="I2405" s="333"/>
      <c r="J2405" s="333"/>
    </row>
    <row r="2406" spans="7:10" x14ac:dyDescent="0.2">
      <c r="G2406" s="333"/>
      <c r="H2406" s="333"/>
      <c r="I2406" s="333"/>
      <c r="J2406" s="333"/>
    </row>
    <row r="2407" spans="7:10" x14ac:dyDescent="0.2">
      <c r="G2407" s="333"/>
      <c r="H2407" s="333"/>
      <c r="I2407" s="333"/>
      <c r="J2407" s="333"/>
    </row>
    <row r="2408" spans="7:10" x14ac:dyDescent="0.2">
      <c r="G2408" s="333"/>
      <c r="H2408" s="333"/>
      <c r="I2408" s="333"/>
      <c r="J2408" s="333"/>
    </row>
    <row r="2409" spans="7:10" x14ac:dyDescent="0.2">
      <c r="G2409" s="333"/>
      <c r="H2409" s="333"/>
      <c r="I2409" s="333"/>
      <c r="J2409" s="333"/>
    </row>
    <row r="2410" spans="7:10" x14ac:dyDescent="0.2">
      <c r="G2410" s="333"/>
      <c r="H2410" s="333"/>
      <c r="I2410" s="333"/>
      <c r="J2410" s="333"/>
    </row>
    <row r="2411" spans="7:10" x14ac:dyDescent="0.2">
      <c r="G2411" s="333"/>
      <c r="H2411" s="333"/>
      <c r="I2411" s="333"/>
      <c r="J2411" s="333"/>
    </row>
    <row r="2412" spans="7:10" x14ac:dyDescent="0.2">
      <c r="G2412" s="333"/>
      <c r="H2412" s="333"/>
      <c r="I2412" s="333"/>
      <c r="J2412" s="333"/>
    </row>
    <row r="2413" spans="7:10" x14ac:dyDescent="0.2">
      <c r="G2413" s="333"/>
      <c r="H2413" s="333"/>
      <c r="I2413" s="333"/>
      <c r="J2413" s="333"/>
    </row>
    <row r="2414" spans="7:10" x14ac:dyDescent="0.2">
      <c r="G2414" s="333"/>
      <c r="H2414" s="333"/>
      <c r="I2414" s="333"/>
      <c r="J2414" s="333"/>
    </row>
    <row r="2415" spans="7:10" x14ac:dyDescent="0.2">
      <c r="G2415" s="333"/>
      <c r="H2415" s="333"/>
      <c r="I2415" s="333"/>
      <c r="J2415" s="333"/>
    </row>
    <row r="2416" spans="7:10" x14ac:dyDescent="0.2">
      <c r="G2416" s="333"/>
      <c r="H2416" s="333"/>
      <c r="I2416" s="333"/>
      <c r="J2416" s="333"/>
    </row>
    <row r="2417" spans="7:10" x14ac:dyDescent="0.2">
      <c r="G2417" s="333"/>
      <c r="H2417" s="333"/>
      <c r="I2417" s="333"/>
      <c r="J2417" s="333"/>
    </row>
    <row r="2418" spans="7:10" x14ac:dyDescent="0.2">
      <c r="G2418" s="333"/>
      <c r="H2418" s="333"/>
      <c r="I2418" s="333"/>
      <c r="J2418" s="333"/>
    </row>
    <row r="2419" spans="7:10" x14ac:dyDescent="0.2">
      <c r="G2419" s="333"/>
      <c r="H2419" s="333"/>
      <c r="I2419" s="333"/>
      <c r="J2419" s="333"/>
    </row>
    <row r="2420" spans="7:10" x14ac:dyDescent="0.2">
      <c r="G2420" s="333"/>
      <c r="H2420" s="333"/>
      <c r="I2420" s="333"/>
      <c r="J2420" s="333"/>
    </row>
    <row r="2421" spans="7:10" x14ac:dyDescent="0.2">
      <c r="G2421" s="333"/>
      <c r="H2421" s="333"/>
      <c r="I2421" s="333"/>
      <c r="J2421" s="333"/>
    </row>
    <row r="2422" spans="7:10" x14ac:dyDescent="0.2">
      <c r="G2422" s="333"/>
      <c r="H2422" s="333"/>
      <c r="I2422" s="333"/>
      <c r="J2422" s="333"/>
    </row>
    <row r="2423" spans="7:10" x14ac:dyDescent="0.2">
      <c r="G2423" s="333"/>
      <c r="H2423" s="333"/>
      <c r="I2423" s="333"/>
      <c r="J2423" s="333"/>
    </row>
    <row r="2424" spans="7:10" x14ac:dyDescent="0.2">
      <c r="G2424" s="333"/>
      <c r="H2424" s="333"/>
      <c r="I2424" s="333"/>
      <c r="J2424" s="333"/>
    </row>
    <row r="2425" spans="7:10" x14ac:dyDescent="0.2">
      <c r="G2425" s="333"/>
      <c r="H2425" s="333"/>
      <c r="I2425" s="333"/>
      <c r="J2425" s="333"/>
    </row>
    <row r="2426" spans="7:10" x14ac:dyDescent="0.2">
      <c r="G2426" s="333"/>
      <c r="H2426" s="333"/>
      <c r="I2426" s="333"/>
      <c r="J2426" s="333"/>
    </row>
    <row r="2427" spans="7:10" x14ac:dyDescent="0.2">
      <c r="G2427" s="333"/>
      <c r="H2427" s="333"/>
      <c r="I2427" s="333"/>
      <c r="J2427" s="333"/>
    </row>
    <row r="2428" spans="7:10" x14ac:dyDescent="0.2">
      <c r="G2428" s="333"/>
      <c r="H2428" s="333"/>
      <c r="I2428" s="333"/>
      <c r="J2428" s="333"/>
    </row>
    <row r="2429" spans="7:10" x14ac:dyDescent="0.2">
      <c r="G2429" s="333"/>
      <c r="H2429" s="333"/>
      <c r="I2429" s="333"/>
      <c r="J2429" s="333"/>
    </row>
    <row r="2430" spans="7:10" x14ac:dyDescent="0.2">
      <c r="G2430" s="333"/>
      <c r="H2430" s="333"/>
      <c r="I2430" s="333"/>
      <c r="J2430" s="333"/>
    </row>
    <row r="2431" spans="7:10" x14ac:dyDescent="0.2">
      <c r="G2431" s="333"/>
      <c r="H2431" s="333"/>
      <c r="I2431" s="333"/>
      <c r="J2431" s="333"/>
    </row>
    <row r="2432" spans="7:10" x14ac:dyDescent="0.2">
      <c r="G2432" s="333"/>
      <c r="H2432" s="333"/>
      <c r="I2432" s="333"/>
      <c r="J2432" s="333"/>
    </row>
    <row r="2433" spans="7:10" x14ac:dyDescent="0.2">
      <c r="G2433" s="333"/>
      <c r="H2433" s="333"/>
      <c r="I2433" s="333"/>
      <c r="J2433" s="333"/>
    </row>
    <row r="2434" spans="7:10" x14ac:dyDescent="0.2">
      <c r="G2434" s="333"/>
      <c r="H2434" s="333"/>
      <c r="I2434" s="333"/>
      <c r="J2434" s="333"/>
    </row>
    <row r="2435" spans="7:10" x14ac:dyDescent="0.2">
      <c r="G2435" s="333"/>
      <c r="H2435" s="333"/>
      <c r="I2435" s="333"/>
      <c r="J2435" s="333"/>
    </row>
    <row r="2436" spans="7:10" x14ac:dyDescent="0.2">
      <c r="G2436" s="333"/>
      <c r="H2436" s="333"/>
      <c r="I2436" s="333"/>
      <c r="J2436" s="333"/>
    </row>
    <row r="2437" spans="7:10" x14ac:dyDescent="0.2">
      <c r="G2437" s="333"/>
      <c r="H2437" s="333"/>
      <c r="I2437" s="333"/>
      <c r="J2437" s="333"/>
    </row>
    <row r="2438" spans="7:10" x14ac:dyDescent="0.2">
      <c r="G2438" s="333"/>
      <c r="H2438" s="333"/>
      <c r="I2438" s="333"/>
      <c r="J2438" s="333"/>
    </row>
    <row r="2439" spans="7:10" x14ac:dyDescent="0.2">
      <c r="G2439" s="333"/>
      <c r="H2439" s="333"/>
      <c r="I2439" s="333"/>
      <c r="J2439" s="333"/>
    </row>
    <row r="2440" spans="7:10" x14ac:dyDescent="0.2">
      <c r="G2440" s="333"/>
      <c r="H2440" s="333"/>
      <c r="I2440" s="333"/>
      <c r="J2440" s="333"/>
    </row>
    <row r="2441" spans="7:10" x14ac:dyDescent="0.2">
      <c r="G2441" s="333"/>
      <c r="H2441" s="333"/>
      <c r="I2441" s="333"/>
      <c r="J2441" s="333"/>
    </row>
    <row r="2442" spans="7:10" x14ac:dyDescent="0.2">
      <c r="G2442" s="333"/>
      <c r="H2442" s="333"/>
      <c r="I2442" s="333"/>
      <c r="J2442" s="333"/>
    </row>
    <row r="2443" spans="7:10" x14ac:dyDescent="0.2">
      <c r="G2443" s="333"/>
      <c r="H2443" s="333"/>
      <c r="I2443" s="333"/>
      <c r="J2443" s="333"/>
    </row>
    <row r="2444" spans="7:10" x14ac:dyDescent="0.2">
      <c r="G2444" s="333"/>
      <c r="H2444" s="333"/>
      <c r="I2444" s="333"/>
      <c r="J2444" s="333"/>
    </row>
    <row r="2445" spans="7:10" x14ac:dyDescent="0.2">
      <c r="G2445" s="333"/>
      <c r="H2445" s="333"/>
      <c r="I2445" s="333"/>
      <c r="J2445" s="333"/>
    </row>
    <row r="2446" spans="7:10" x14ac:dyDescent="0.2">
      <c r="G2446" s="333"/>
      <c r="H2446" s="333"/>
      <c r="I2446" s="333"/>
      <c r="J2446" s="333"/>
    </row>
    <row r="2447" spans="7:10" x14ac:dyDescent="0.2">
      <c r="G2447" s="333"/>
      <c r="H2447" s="333"/>
      <c r="I2447" s="333"/>
      <c r="J2447" s="333"/>
    </row>
    <row r="2448" spans="7:10" x14ac:dyDescent="0.2">
      <c r="G2448" s="333"/>
      <c r="H2448" s="333"/>
      <c r="I2448" s="333"/>
      <c r="J2448" s="333"/>
    </row>
    <row r="2449" spans="7:10" x14ac:dyDescent="0.2">
      <c r="G2449" s="333"/>
      <c r="H2449" s="333"/>
      <c r="I2449" s="333"/>
      <c r="J2449" s="333"/>
    </row>
    <row r="2450" spans="7:10" x14ac:dyDescent="0.2">
      <c r="G2450" s="333"/>
      <c r="H2450" s="333"/>
      <c r="I2450" s="333"/>
      <c r="J2450" s="333"/>
    </row>
    <row r="2451" spans="7:10" x14ac:dyDescent="0.2">
      <c r="G2451" s="333"/>
      <c r="H2451" s="333"/>
      <c r="I2451" s="333"/>
      <c r="J2451" s="333"/>
    </row>
    <row r="2452" spans="7:10" x14ac:dyDescent="0.2">
      <c r="G2452" s="333"/>
      <c r="H2452" s="333"/>
      <c r="I2452" s="333"/>
      <c r="J2452" s="333"/>
    </row>
    <row r="2453" spans="7:10" x14ac:dyDescent="0.2">
      <c r="G2453" s="333"/>
      <c r="H2453" s="333"/>
      <c r="I2453" s="333"/>
      <c r="J2453" s="333"/>
    </row>
    <row r="2454" spans="7:10" x14ac:dyDescent="0.2">
      <c r="G2454" s="333"/>
      <c r="H2454" s="333"/>
      <c r="I2454" s="333"/>
      <c r="J2454" s="333"/>
    </row>
    <row r="2455" spans="7:10" x14ac:dyDescent="0.2">
      <c r="G2455" s="333"/>
      <c r="H2455" s="333"/>
      <c r="I2455" s="333"/>
      <c r="J2455" s="333"/>
    </row>
    <row r="2456" spans="7:10" x14ac:dyDescent="0.2">
      <c r="G2456" s="333"/>
      <c r="H2456" s="333"/>
      <c r="I2456" s="333"/>
      <c r="J2456" s="333"/>
    </row>
    <row r="2457" spans="7:10" x14ac:dyDescent="0.2">
      <c r="G2457" s="333"/>
      <c r="H2457" s="333"/>
      <c r="I2457" s="333"/>
      <c r="J2457" s="333"/>
    </row>
    <row r="2458" spans="7:10" x14ac:dyDescent="0.2">
      <c r="G2458" s="333"/>
      <c r="H2458" s="333"/>
      <c r="I2458" s="333"/>
      <c r="J2458" s="333"/>
    </row>
    <row r="2459" spans="7:10" x14ac:dyDescent="0.2">
      <c r="G2459" s="333"/>
      <c r="H2459" s="333"/>
      <c r="I2459" s="333"/>
      <c r="J2459" s="333"/>
    </row>
    <row r="2460" spans="7:10" x14ac:dyDescent="0.2">
      <c r="G2460" s="333"/>
      <c r="H2460" s="333"/>
      <c r="I2460" s="333"/>
      <c r="J2460" s="333"/>
    </row>
    <row r="2461" spans="7:10" x14ac:dyDescent="0.2">
      <c r="G2461" s="333"/>
      <c r="H2461" s="333"/>
      <c r="I2461" s="333"/>
      <c r="J2461" s="333"/>
    </row>
    <row r="2462" spans="7:10" x14ac:dyDescent="0.2">
      <c r="G2462" s="333"/>
      <c r="H2462" s="333"/>
      <c r="I2462" s="333"/>
      <c r="J2462" s="333"/>
    </row>
    <row r="2463" spans="7:10" x14ac:dyDescent="0.2">
      <c r="G2463" s="333"/>
      <c r="H2463" s="333"/>
      <c r="I2463" s="333"/>
      <c r="J2463" s="333"/>
    </row>
    <row r="2464" spans="7:10" x14ac:dyDescent="0.2">
      <c r="G2464" s="333"/>
      <c r="H2464" s="333"/>
      <c r="I2464" s="333"/>
      <c r="J2464" s="333"/>
    </row>
    <row r="2465" spans="7:10" x14ac:dyDescent="0.2">
      <c r="G2465" s="333"/>
      <c r="H2465" s="333"/>
      <c r="I2465" s="333"/>
      <c r="J2465" s="333"/>
    </row>
    <row r="2466" spans="7:10" x14ac:dyDescent="0.2">
      <c r="G2466" s="333"/>
      <c r="H2466" s="333"/>
      <c r="I2466" s="333"/>
      <c r="J2466" s="333"/>
    </row>
    <row r="2467" spans="7:10" x14ac:dyDescent="0.2">
      <c r="G2467" s="333"/>
      <c r="H2467" s="333"/>
      <c r="I2467" s="333"/>
      <c r="J2467" s="333"/>
    </row>
    <row r="2468" spans="7:10" x14ac:dyDescent="0.2">
      <c r="G2468" s="333"/>
      <c r="H2468" s="333"/>
      <c r="I2468" s="333"/>
      <c r="J2468" s="333"/>
    </row>
    <row r="2469" spans="7:10" x14ac:dyDescent="0.2">
      <c r="G2469" s="333"/>
      <c r="H2469" s="333"/>
      <c r="I2469" s="333"/>
      <c r="J2469" s="333"/>
    </row>
    <row r="2470" spans="7:10" x14ac:dyDescent="0.2">
      <c r="G2470" s="333"/>
      <c r="H2470" s="333"/>
      <c r="I2470" s="333"/>
      <c r="J2470" s="333"/>
    </row>
    <row r="2471" spans="7:10" x14ac:dyDescent="0.2">
      <c r="G2471" s="333"/>
      <c r="H2471" s="333"/>
      <c r="I2471" s="333"/>
      <c r="J2471" s="333"/>
    </row>
    <row r="2472" spans="7:10" x14ac:dyDescent="0.2">
      <c r="G2472" s="333"/>
      <c r="H2472" s="333"/>
      <c r="I2472" s="333"/>
      <c r="J2472" s="333"/>
    </row>
    <row r="2473" spans="7:10" x14ac:dyDescent="0.2">
      <c r="G2473" s="333"/>
      <c r="H2473" s="333"/>
      <c r="I2473" s="333"/>
      <c r="J2473" s="333"/>
    </row>
    <row r="2474" spans="7:10" x14ac:dyDescent="0.2">
      <c r="G2474" s="333"/>
      <c r="H2474" s="333"/>
      <c r="I2474" s="333"/>
      <c r="J2474" s="333"/>
    </row>
    <row r="2475" spans="7:10" x14ac:dyDescent="0.2">
      <c r="G2475" s="333"/>
      <c r="H2475" s="333"/>
      <c r="I2475" s="333"/>
      <c r="J2475" s="333"/>
    </row>
    <row r="2476" spans="7:10" x14ac:dyDescent="0.2">
      <c r="G2476" s="333"/>
      <c r="H2476" s="333"/>
      <c r="I2476" s="333"/>
      <c r="J2476" s="333"/>
    </row>
    <row r="2477" spans="7:10" x14ac:dyDescent="0.2">
      <c r="G2477" s="333"/>
      <c r="H2477" s="333"/>
      <c r="I2477" s="333"/>
      <c r="J2477" s="333"/>
    </row>
    <row r="2478" spans="7:10" x14ac:dyDescent="0.2">
      <c r="G2478" s="333"/>
      <c r="H2478" s="333"/>
      <c r="I2478" s="333"/>
      <c r="J2478" s="333"/>
    </row>
    <row r="2479" spans="7:10" x14ac:dyDescent="0.2">
      <c r="G2479" s="333"/>
      <c r="H2479" s="333"/>
      <c r="I2479" s="333"/>
      <c r="J2479" s="333"/>
    </row>
    <row r="2480" spans="7:10" x14ac:dyDescent="0.2">
      <c r="G2480" s="333"/>
      <c r="H2480" s="333"/>
      <c r="I2480" s="333"/>
      <c r="J2480" s="333"/>
    </row>
    <row r="2481" spans="7:10" x14ac:dyDescent="0.2">
      <c r="G2481" s="333"/>
      <c r="H2481" s="333"/>
      <c r="I2481" s="333"/>
      <c r="J2481" s="333"/>
    </row>
    <row r="2482" spans="7:10" x14ac:dyDescent="0.2">
      <c r="G2482" s="333"/>
      <c r="H2482" s="333"/>
      <c r="I2482" s="333"/>
      <c r="J2482" s="333"/>
    </row>
    <row r="2483" spans="7:10" x14ac:dyDescent="0.2">
      <c r="G2483" s="333"/>
      <c r="H2483" s="333"/>
      <c r="I2483" s="333"/>
      <c r="J2483" s="333"/>
    </row>
    <row r="2484" spans="7:10" x14ac:dyDescent="0.2">
      <c r="G2484" s="333"/>
      <c r="H2484" s="333"/>
      <c r="I2484" s="333"/>
      <c r="J2484" s="333"/>
    </row>
    <row r="2485" spans="7:10" x14ac:dyDescent="0.2">
      <c r="G2485" s="333"/>
      <c r="H2485" s="333"/>
      <c r="I2485" s="333"/>
      <c r="J2485" s="333"/>
    </row>
    <row r="2486" spans="7:10" x14ac:dyDescent="0.2">
      <c r="G2486" s="333"/>
      <c r="H2486" s="333"/>
      <c r="I2486" s="333"/>
      <c r="J2486" s="333"/>
    </row>
    <row r="2487" spans="7:10" x14ac:dyDescent="0.2">
      <c r="G2487" s="333"/>
      <c r="H2487" s="333"/>
      <c r="I2487" s="333"/>
      <c r="J2487" s="333"/>
    </row>
    <row r="2488" spans="7:10" x14ac:dyDescent="0.2">
      <c r="G2488" s="333"/>
      <c r="H2488" s="333"/>
      <c r="I2488" s="333"/>
      <c r="J2488" s="333"/>
    </row>
    <row r="2489" spans="7:10" x14ac:dyDescent="0.2">
      <c r="G2489" s="333"/>
      <c r="H2489" s="333"/>
      <c r="I2489" s="333"/>
      <c r="J2489" s="333"/>
    </row>
    <row r="2490" spans="7:10" x14ac:dyDescent="0.2">
      <c r="G2490" s="333"/>
      <c r="H2490" s="333"/>
      <c r="I2490" s="333"/>
      <c r="J2490" s="333"/>
    </row>
    <row r="2491" spans="7:10" x14ac:dyDescent="0.2">
      <c r="G2491" s="333"/>
      <c r="H2491" s="333"/>
      <c r="I2491" s="333"/>
      <c r="J2491" s="333"/>
    </row>
    <row r="2492" spans="7:10" x14ac:dyDescent="0.2">
      <c r="G2492" s="333"/>
      <c r="H2492" s="333"/>
      <c r="I2492" s="333"/>
      <c r="J2492" s="333"/>
    </row>
    <row r="2493" spans="7:10" x14ac:dyDescent="0.2">
      <c r="G2493" s="333"/>
      <c r="H2493" s="333"/>
      <c r="I2493" s="333"/>
      <c r="J2493" s="333"/>
    </row>
    <row r="2494" spans="7:10" x14ac:dyDescent="0.2">
      <c r="G2494" s="333"/>
      <c r="H2494" s="333"/>
      <c r="I2494" s="333"/>
      <c r="J2494" s="333"/>
    </row>
    <row r="2495" spans="7:10" x14ac:dyDescent="0.2">
      <c r="G2495" s="333"/>
      <c r="H2495" s="333"/>
      <c r="I2495" s="333"/>
      <c r="J2495" s="333"/>
    </row>
    <row r="2496" spans="7:10" x14ac:dyDescent="0.2">
      <c r="G2496" s="333"/>
      <c r="H2496" s="333"/>
      <c r="I2496" s="333"/>
      <c r="J2496" s="333"/>
    </row>
    <row r="2497" spans="7:10" x14ac:dyDescent="0.2">
      <c r="G2497" s="333"/>
      <c r="H2497" s="333"/>
      <c r="I2497" s="333"/>
      <c r="J2497" s="333"/>
    </row>
    <row r="2498" spans="7:10" x14ac:dyDescent="0.2">
      <c r="G2498" s="333"/>
      <c r="H2498" s="333"/>
      <c r="I2498" s="333"/>
      <c r="J2498" s="333"/>
    </row>
    <row r="2499" spans="7:10" x14ac:dyDescent="0.2">
      <c r="G2499" s="333"/>
      <c r="H2499" s="333"/>
      <c r="I2499" s="333"/>
      <c r="J2499" s="333"/>
    </row>
    <row r="2500" spans="7:10" x14ac:dyDescent="0.2">
      <c r="G2500" s="333"/>
      <c r="H2500" s="333"/>
      <c r="I2500" s="333"/>
      <c r="J2500" s="333"/>
    </row>
    <row r="2501" spans="7:10" x14ac:dyDescent="0.2">
      <c r="G2501" s="333"/>
      <c r="H2501" s="333"/>
      <c r="I2501" s="333"/>
      <c r="J2501" s="333"/>
    </row>
    <row r="2502" spans="7:10" x14ac:dyDescent="0.2">
      <c r="G2502" s="333"/>
      <c r="H2502" s="333"/>
      <c r="I2502" s="333"/>
      <c r="J2502" s="333"/>
    </row>
    <row r="2503" spans="7:10" x14ac:dyDescent="0.2">
      <c r="G2503" s="333"/>
      <c r="H2503" s="333"/>
      <c r="I2503" s="333"/>
      <c r="J2503" s="333"/>
    </row>
    <row r="2504" spans="7:10" x14ac:dyDescent="0.2">
      <c r="G2504" s="333"/>
      <c r="H2504" s="333"/>
      <c r="I2504" s="333"/>
      <c r="J2504" s="333"/>
    </row>
    <row r="2505" spans="7:10" x14ac:dyDescent="0.2">
      <c r="G2505" s="333"/>
      <c r="H2505" s="333"/>
      <c r="I2505" s="333"/>
      <c r="J2505" s="333"/>
    </row>
    <row r="2506" spans="7:10" x14ac:dyDescent="0.2">
      <c r="G2506" s="333"/>
      <c r="H2506" s="333"/>
      <c r="I2506" s="333"/>
      <c r="J2506" s="333"/>
    </row>
    <row r="2507" spans="7:10" x14ac:dyDescent="0.2">
      <c r="G2507" s="333"/>
      <c r="H2507" s="333"/>
      <c r="I2507" s="333"/>
      <c r="J2507" s="333"/>
    </row>
    <row r="2508" spans="7:10" x14ac:dyDescent="0.2">
      <c r="G2508" s="333"/>
      <c r="H2508" s="333"/>
      <c r="I2508" s="333"/>
      <c r="J2508" s="333"/>
    </row>
    <row r="2509" spans="7:10" x14ac:dyDescent="0.2">
      <c r="G2509" s="333"/>
      <c r="H2509" s="333"/>
      <c r="I2509" s="333"/>
      <c r="J2509" s="333"/>
    </row>
    <row r="2510" spans="7:10" x14ac:dyDescent="0.2">
      <c r="G2510" s="333"/>
      <c r="H2510" s="333"/>
      <c r="I2510" s="333"/>
      <c r="J2510" s="333"/>
    </row>
    <row r="2511" spans="7:10" x14ac:dyDescent="0.2">
      <c r="G2511" s="333"/>
      <c r="H2511" s="333"/>
      <c r="I2511" s="333"/>
      <c r="J2511" s="333"/>
    </row>
    <row r="2512" spans="7:10" x14ac:dyDescent="0.2">
      <c r="G2512" s="333"/>
      <c r="H2512" s="333"/>
      <c r="I2512" s="333"/>
      <c r="J2512" s="333"/>
    </row>
    <row r="2513" spans="7:10" x14ac:dyDescent="0.2">
      <c r="G2513" s="333"/>
      <c r="H2513" s="333"/>
      <c r="I2513" s="333"/>
      <c r="J2513" s="333"/>
    </row>
    <row r="2514" spans="7:10" x14ac:dyDescent="0.2">
      <c r="G2514" s="333"/>
      <c r="H2514" s="333"/>
      <c r="I2514" s="333"/>
      <c r="J2514" s="333"/>
    </row>
    <row r="2515" spans="7:10" x14ac:dyDescent="0.2">
      <c r="G2515" s="333"/>
      <c r="H2515" s="333"/>
      <c r="I2515" s="333"/>
      <c r="J2515" s="333"/>
    </row>
    <row r="2516" spans="7:10" x14ac:dyDescent="0.2">
      <c r="G2516" s="333"/>
      <c r="H2516" s="333"/>
      <c r="I2516" s="333"/>
      <c r="J2516" s="333"/>
    </row>
    <row r="2517" spans="7:10" x14ac:dyDescent="0.2">
      <c r="G2517" s="333"/>
      <c r="H2517" s="333"/>
      <c r="I2517" s="333"/>
      <c r="J2517" s="333"/>
    </row>
    <row r="2518" spans="7:10" x14ac:dyDescent="0.2">
      <c r="G2518" s="333"/>
      <c r="H2518" s="333"/>
      <c r="I2518" s="333"/>
      <c r="J2518" s="333"/>
    </row>
    <row r="2519" spans="7:10" x14ac:dyDescent="0.2">
      <c r="G2519" s="333"/>
      <c r="H2519" s="333"/>
      <c r="I2519" s="333"/>
      <c r="J2519" s="333"/>
    </row>
    <row r="2520" spans="7:10" x14ac:dyDescent="0.2">
      <c r="G2520" s="333"/>
      <c r="H2520" s="333"/>
      <c r="I2520" s="333"/>
      <c r="J2520" s="333"/>
    </row>
    <row r="2521" spans="7:10" x14ac:dyDescent="0.2">
      <c r="G2521" s="333"/>
      <c r="H2521" s="333"/>
      <c r="I2521" s="333"/>
      <c r="J2521" s="333"/>
    </row>
    <row r="2522" spans="7:10" x14ac:dyDescent="0.2">
      <c r="G2522" s="333"/>
      <c r="H2522" s="333"/>
      <c r="I2522" s="333"/>
      <c r="J2522" s="333"/>
    </row>
    <row r="2523" spans="7:10" x14ac:dyDescent="0.2">
      <c r="G2523" s="333"/>
      <c r="H2523" s="333"/>
      <c r="I2523" s="333"/>
      <c r="J2523" s="333"/>
    </row>
    <row r="2524" spans="7:10" x14ac:dyDescent="0.2">
      <c r="G2524" s="333"/>
      <c r="H2524" s="333"/>
      <c r="I2524" s="333"/>
      <c r="J2524" s="333"/>
    </row>
    <row r="2525" spans="7:10" x14ac:dyDescent="0.2">
      <c r="G2525" s="333"/>
      <c r="H2525" s="333"/>
      <c r="I2525" s="333"/>
      <c r="J2525" s="333"/>
    </row>
    <row r="2526" spans="7:10" x14ac:dyDescent="0.2">
      <c r="G2526" s="333"/>
      <c r="H2526" s="333"/>
      <c r="I2526" s="333"/>
      <c r="J2526" s="333"/>
    </row>
    <row r="2527" spans="7:10" x14ac:dyDescent="0.2">
      <c r="G2527" s="333"/>
      <c r="H2527" s="333"/>
      <c r="I2527" s="333"/>
      <c r="J2527" s="333"/>
    </row>
    <row r="2528" spans="7:10" x14ac:dyDescent="0.2">
      <c r="G2528" s="333"/>
      <c r="H2528" s="333"/>
      <c r="I2528" s="333"/>
      <c r="J2528" s="333"/>
    </row>
    <row r="2529" spans="7:10" x14ac:dyDescent="0.2">
      <c r="G2529" s="333"/>
      <c r="H2529" s="333"/>
      <c r="I2529" s="333"/>
      <c r="J2529" s="333"/>
    </row>
    <row r="2530" spans="7:10" x14ac:dyDescent="0.2">
      <c r="G2530" s="333"/>
      <c r="H2530" s="333"/>
      <c r="I2530" s="333"/>
      <c r="J2530" s="333"/>
    </row>
    <row r="2531" spans="7:10" x14ac:dyDescent="0.2">
      <c r="G2531" s="333"/>
      <c r="H2531" s="333"/>
      <c r="I2531" s="333"/>
      <c r="J2531" s="333"/>
    </row>
    <row r="2532" spans="7:10" x14ac:dyDescent="0.2">
      <c r="G2532" s="333"/>
      <c r="H2532" s="333"/>
      <c r="I2532" s="333"/>
      <c r="J2532" s="333"/>
    </row>
    <row r="2533" spans="7:10" x14ac:dyDescent="0.2">
      <c r="G2533" s="333"/>
      <c r="H2533" s="333"/>
      <c r="I2533" s="333"/>
      <c r="J2533" s="333"/>
    </row>
    <row r="2534" spans="7:10" x14ac:dyDescent="0.2">
      <c r="G2534" s="333"/>
      <c r="H2534" s="333"/>
      <c r="I2534" s="333"/>
      <c r="J2534" s="333"/>
    </row>
    <row r="2535" spans="7:10" x14ac:dyDescent="0.2">
      <c r="G2535" s="333"/>
      <c r="H2535" s="333"/>
      <c r="I2535" s="333"/>
      <c r="J2535" s="333"/>
    </row>
    <row r="2536" spans="7:10" x14ac:dyDescent="0.2">
      <c r="G2536" s="333"/>
      <c r="H2536" s="333"/>
      <c r="I2536" s="333"/>
      <c r="J2536" s="333"/>
    </row>
    <row r="2537" spans="7:10" x14ac:dyDescent="0.2">
      <c r="G2537" s="333"/>
      <c r="H2537" s="333"/>
      <c r="I2537" s="333"/>
      <c r="J2537" s="333"/>
    </row>
    <row r="2538" spans="7:10" x14ac:dyDescent="0.2">
      <c r="G2538" s="333"/>
      <c r="H2538" s="333"/>
      <c r="I2538" s="333"/>
      <c r="J2538" s="333"/>
    </row>
    <row r="2539" spans="7:10" x14ac:dyDescent="0.2">
      <c r="G2539" s="333"/>
      <c r="H2539" s="333"/>
      <c r="I2539" s="333"/>
      <c r="J2539" s="333"/>
    </row>
    <row r="2540" spans="7:10" x14ac:dyDescent="0.2">
      <c r="G2540" s="333"/>
      <c r="H2540" s="333"/>
      <c r="I2540" s="333"/>
      <c r="J2540" s="333"/>
    </row>
    <row r="2541" spans="7:10" x14ac:dyDescent="0.2">
      <c r="G2541" s="333"/>
      <c r="H2541" s="333"/>
      <c r="I2541" s="333"/>
      <c r="J2541" s="333"/>
    </row>
    <row r="2542" spans="7:10" x14ac:dyDescent="0.2">
      <c r="G2542" s="333"/>
      <c r="H2542" s="333"/>
      <c r="I2542" s="333"/>
      <c r="J2542" s="333"/>
    </row>
    <row r="2543" spans="7:10" x14ac:dyDescent="0.2">
      <c r="G2543" s="333"/>
      <c r="H2543" s="333"/>
      <c r="I2543" s="333"/>
      <c r="J2543" s="333"/>
    </row>
    <row r="2544" spans="7:10" x14ac:dyDescent="0.2">
      <c r="G2544" s="333"/>
      <c r="H2544" s="333"/>
      <c r="I2544" s="333"/>
      <c r="J2544" s="333"/>
    </row>
    <row r="2545" spans="7:10" x14ac:dyDescent="0.2">
      <c r="G2545" s="333"/>
      <c r="H2545" s="333"/>
      <c r="I2545" s="333"/>
      <c r="J2545" s="333"/>
    </row>
    <row r="2546" spans="7:10" x14ac:dyDescent="0.2">
      <c r="G2546" s="333"/>
      <c r="H2546" s="333"/>
      <c r="I2546" s="333"/>
      <c r="J2546" s="333"/>
    </row>
    <row r="2547" spans="7:10" x14ac:dyDescent="0.2">
      <c r="G2547" s="333"/>
      <c r="H2547" s="333"/>
      <c r="I2547" s="333"/>
      <c r="J2547" s="333"/>
    </row>
    <row r="2548" spans="7:10" x14ac:dyDescent="0.2">
      <c r="G2548" s="333"/>
      <c r="H2548" s="333"/>
      <c r="I2548" s="333"/>
      <c r="J2548" s="333"/>
    </row>
    <row r="2549" spans="7:10" x14ac:dyDescent="0.2">
      <c r="G2549" s="333"/>
      <c r="H2549" s="333"/>
      <c r="I2549" s="333"/>
      <c r="J2549" s="333"/>
    </row>
    <row r="2550" spans="7:10" x14ac:dyDescent="0.2">
      <c r="G2550" s="333"/>
      <c r="H2550" s="333"/>
      <c r="I2550" s="333"/>
      <c r="J2550" s="333"/>
    </row>
    <row r="2551" spans="7:10" x14ac:dyDescent="0.2">
      <c r="G2551" s="333"/>
      <c r="H2551" s="333"/>
      <c r="I2551" s="333"/>
      <c r="J2551" s="333"/>
    </row>
    <row r="2552" spans="7:10" x14ac:dyDescent="0.2">
      <c r="G2552" s="333"/>
      <c r="H2552" s="333"/>
      <c r="I2552" s="333"/>
      <c r="J2552" s="333"/>
    </row>
    <row r="2553" spans="7:10" x14ac:dyDescent="0.2">
      <c r="G2553" s="333"/>
      <c r="H2553" s="333"/>
      <c r="I2553" s="333"/>
      <c r="J2553" s="333"/>
    </row>
    <row r="2554" spans="7:10" x14ac:dyDescent="0.2">
      <c r="G2554" s="333"/>
      <c r="H2554" s="333"/>
      <c r="I2554" s="333"/>
      <c r="J2554" s="333"/>
    </row>
    <row r="2555" spans="7:10" x14ac:dyDescent="0.2">
      <c r="G2555" s="333"/>
      <c r="H2555" s="333"/>
      <c r="I2555" s="333"/>
      <c r="J2555" s="333"/>
    </row>
    <row r="2556" spans="7:10" x14ac:dyDescent="0.2">
      <c r="G2556" s="333"/>
      <c r="H2556" s="333"/>
      <c r="I2556" s="333"/>
      <c r="J2556" s="333"/>
    </row>
    <row r="2557" spans="7:10" x14ac:dyDescent="0.2">
      <c r="G2557" s="333"/>
      <c r="H2557" s="333"/>
      <c r="I2557" s="333"/>
      <c r="J2557" s="333"/>
    </row>
    <row r="2558" spans="7:10" x14ac:dyDescent="0.2">
      <c r="G2558" s="333"/>
      <c r="H2558" s="333"/>
      <c r="I2558" s="333"/>
      <c r="J2558" s="333"/>
    </row>
    <row r="2559" spans="7:10" x14ac:dyDescent="0.2">
      <c r="G2559" s="333"/>
      <c r="H2559" s="333"/>
      <c r="I2559" s="333"/>
      <c r="J2559" s="333"/>
    </row>
    <row r="2560" spans="7:10" x14ac:dyDescent="0.2">
      <c r="G2560" s="333"/>
      <c r="H2560" s="333"/>
      <c r="I2560" s="333"/>
      <c r="J2560" s="333"/>
    </row>
    <row r="2561" spans="7:10" x14ac:dyDescent="0.2">
      <c r="G2561" s="333"/>
      <c r="H2561" s="333"/>
      <c r="I2561" s="333"/>
      <c r="J2561" s="333"/>
    </row>
    <row r="2562" spans="7:10" x14ac:dyDescent="0.2">
      <c r="G2562" s="333"/>
      <c r="H2562" s="333"/>
      <c r="I2562" s="333"/>
      <c r="J2562" s="333"/>
    </row>
    <row r="2563" spans="7:10" x14ac:dyDescent="0.2">
      <c r="G2563" s="333"/>
      <c r="H2563" s="333"/>
      <c r="I2563" s="333"/>
      <c r="J2563" s="333"/>
    </row>
    <row r="2564" spans="7:10" x14ac:dyDescent="0.2">
      <c r="G2564" s="333"/>
      <c r="H2564" s="333"/>
      <c r="I2564" s="333"/>
      <c r="J2564" s="333"/>
    </row>
    <row r="2565" spans="7:10" x14ac:dyDescent="0.2">
      <c r="G2565" s="333"/>
      <c r="H2565" s="333"/>
      <c r="I2565" s="333"/>
      <c r="J2565" s="333"/>
    </row>
    <row r="2566" spans="7:10" x14ac:dyDescent="0.2">
      <c r="G2566" s="333"/>
      <c r="H2566" s="333"/>
      <c r="I2566" s="333"/>
      <c r="J2566" s="333"/>
    </row>
    <row r="2567" spans="7:10" x14ac:dyDescent="0.2">
      <c r="G2567" s="333"/>
      <c r="H2567" s="333"/>
      <c r="I2567" s="333"/>
      <c r="J2567" s="333"/>
    </row>
    <row r="2568" spans="7:10" x14ac:dyDescent="0.2">
      <c r="G2568" s="333"/>
      <c r="H2568" s="333"/>
      <c r="I2568" s="333"/>
      <c r="J2568" s="333"/>
    </row>
    <row r="2569" spans="7:10" x14ac:dyDescent="0.2">
      <c r="G2569" s="333"/>
      <c r="H2569" s="333"/>
      <c r="I2569" s="333"/>
      <c r="J2569" s="333"/>
    </row>
    <row r="2570" spans="7:10" x14ac:dyDescent="0.2">
      <c r="G2570" s="333"/>
      <c r="H2570" s="333"/>
      <c r="I2570" s="333"/>
      <c r="J2570" s="333"/>
    </row>
    <row r="2571" spans="7:10" x14ac:dyDescent="0.2">
      <c r="G2571" s="333"/>
      <c r="H2571" s="333"/>
      <c r="I2571" s="333"/>
      <c r="J2571" s="333"/>
    </row>
    <row r="2572" spans="7:10" x14ac:dyDescent="0.2">
      <c r="G2572" s="333"/>
      <c r="H2572" s="333"/>
      <c r="I2572" s="333"/>
      <c r="J2572" s="333"/>
    </row>
    <row r="2573" spans="7:10" x14ac:dyDescent="0.2">
      <c r="G2573" s="333"/>
      <c r="H2573" s="333"/>
      <c r="I2573" s="333"/>
      <c r="J2573" s="333"/>
    </row>
    <row r="2574" spans="7:10" x14ac:dyDescent="0.2">
      <c r="G2574" s="333"/>
      <c r="H2574" s="333"/>
      <c r="I2574" s="333"/>
      <c r="J2574" s="333"/>
    </row>
    <row r="2575" spans="7:10" x14ac:dyDescent="0.2">
      <c r="G2575" s="333"/>
      <c r="H2575" s="333"/>
      <c r="I2575" s="333"/>
      <c r="J2575" s="333"/>
    </row>
    <row r="2576" spans="7:10" x14ac:dyDescent="0.2">
      <c r="G2576" s="333"/>
      <c r="H2576" s="333"/>
      <c r="I2576" s="333"/>
      <c r="J2576" s="333"/>
    </row>
    <row r="2577" spans="7:10" x14ac:dyDescent="0.2">
      <c r="G2577" s="333"/>
      <c r="H2577" s="333"/>
      <c r="I2577" s="333"/>
      <c r="J2577" s="333"/>
    </row>
    <row r="2578" spans="7:10" x14ac:dyDescent="0.2">
      <c r="G2578" s="333"/>
      <c r="H2578" s="333"/>
      <c r="I2578" s="333"/>
      <c r="J2578" s="333"/>
    </row>
    <row r="2579" spans="7:10" x14ac:dyDescent="0.2">
      <c r="G2579" s="333"/>
      <c r="H2579" s="333"/>
      <c r="I2579" s="333"/>
      <c r="J2579" s="333"/>
    </row>
    <row r="2580" spans="7:10" x14ac:dyDescent="0.2">
      <c r="G2580" s="333"/>
      <c r="H2580" s="333"/>
      <c r="I2580" s="333"/>
      <c r="J2580" s="333"/>
    </row>
    <row r="2581" spans="7:10" x14ac:dyDescent="0.2">
      <c r="G2581" s="333"/>
      <c r="H2581" s="333"/>
      <c r="I2581" s="333"/>
      <c r="J2581" s="333"/>
    </row>
    <row r="2582" spans="7:10" x14ac:dyDescent="0.2">
      <c r="G2582" s="333"/>
      <c r="H2582" s="333"/>
      <c r="I2582" s="333"/>
      <c r="J2582" s="333"/>
    </row>
    <row r="2583" spans="7:10" x14ac:dyDescent="0.2">
      <c r="G2583" s="333"/>
      <c r="H2583" s="333"/>
      <c r="I2583" s="333"/>
      <c r="J2583" s="333"/>
    </row>
    <row r="2584" spans="7:10" x14ac:dyDescent="0.2">
      <c r="G2584" s="333"/>
      <c r="H2584" s="333"/>
      <c r="I2584" s="333"/>
      <c r="J2584" s="333"/>
    </row>
    <row r="2585" spans="7:10" x14ac:dyDescent="0.2">
      <c r="G2585" s="333"/>
      <c r="H2585" s="333"/>
      <c r="I2585" s="333"/>
      <c r="J2585" s="333"/>
    </row>
    <row r="2586" spans="7:10" x14ac:dyDescent="0.2">
      <c r="G2586" s="333"/>
      <c r="H2586" s="333"/>
      <c r="I2586" s="333"/>
      <c r="J2586" s="333"/>
    </row>
    <row r="2587" spans="7:10" x14ac:dyDescent="0.2">
      <c r="G2587" s="333"/>
      <c r="H2587" s="333"/>
      <c r="I2587" s="333"/>
      <c r="J2587" s="333"/>
    </row>
    <row r="2588" spans="7:10" x14ac:dyDescent="0.2">
      <c r="G2588" s="333"/>
      <c r="H2588" s="333"/>
      <c r="I2588" s="333"/>
      <c r="J2588" s="333"/>
    </row>
    <row r="2589" spans="7:10" x14ac:dyDescent="0.2">
      <c r="G2589" s="333"/>
      <c r="H2589" s="333"/>
      <c r="I2589" s="333"/>
      <c r="J2589" s="333"/>
    </row>
    <row r="2590" spans="7:10" x14ac:dyDescent="0.2">
      <c r="G2590" s="333"/>
      <c r="H2590" s="333"/>
      <c r="I2590" s="333"/>
      <c r="J2590" s="333"/>
    </row>
    <row r="2591" spans="7:10" x14ac:dyDescent="0.2">
      <c r="G2591" s="333"/>
      <c r="H2591" s="333"/>
      <c r="I2591" s="333"/>
      <c r="J2591" s="333"/>
    </row>
    <row r="2592" spans="7:10" x14ac:dyDescent="0.2">
      <c r="G2592" s="333"/>
      <c r="H2592" s="333"/>
      <c r="I2592" s="333"/>
      <c r="J2592" s="333"/>
    </row>
    <row r="2593" spans="7:10" x14ac:dyDescent="0.2">
      <c r="G2593" s="333"/>
      <c r="H2593" s="333"/>
      <c r="I2593" s="333"/>
      <c r="J2593" s="333"/>
    </row>
    <row r="2594" spans="7:10" x14ac:dyDescent="0.2">
      <c r="G2594" s="333"/>
      <c r="H2594" s="333"/>
      <c r="I2594" s="333"/>
      <c r="J2594" s="333"/>
    </row>
    <row r="2595" spans="7:10" x14ac:dyDescent="0.2">
      <c r="G2595" s="333"/>
      <c r="H2595" s="333"/>
      <c r="I2595" s="333"/>
      <c r="J2595" s="333"/>
    </row>
    <row r="2596" spans="7:10" x14ac:dyDescent="0.2">
      <c r="G2596" s="333"/>
      <c r="H2596" s="333"/>
      <c r="I2596" s="333"/>
      <c r="J2596" s="333"/>
    </row>
    <row r="2597" spans="7:10" x14ac:dyDescent="0.2">
      <c r="G2597" s="333"/>
      <c r="H2597" s="333"/>
      <c r="I2597" s="333"/>
      <c r="J2597" s="333"/>
    </row>
    <row r="2598" spans="7:10" x14ac:dyDescent="0.2">
      <c r="G2598" s="333"/>
      <c r="H2598" s="333"/>
      <c r="I2598" s="333"/>
      <c r="J2598" s="333"/>
    </row>
    <row r="2599" spans="7:10" x14ac:dyDescent="0.2">
      <c r="G2599" s="333"/>
      <c r="H2599" s="333"/>
      <c r="I2599" s="333"/>
      <c r="J2599" s="333"/>
    </row>
    <row r="2600" spans="7:10" x14ac:dyDescent="0.2">
      <c r="G2600" s="333"/>
      <c r="H2600" s="333"/>
      <c r="I2600" s="333"/>
      <c r="J2600" s="333"/>
    </row>
    <row r="2601" spans="7:10" x14ac:dyDescent="0.2">
      <c r="G2601" s="333"/>
      <c r="H2601" s="333"/>
      <c r="I2601" s="333"/>
      <c r="J2601" s="333"/>
    </row>
    <row r="2602" spans="7:10" x14ac:dyDescent="0.2">
      <c r="G2602" s="333"/>
      <c r="H2602" s="333"/>
      <c r="I2602" s="333"/>
      <c r="J2602" s="333"/>
    </row>
    <row r="2603" spans="7:10" x14ac:dyDescent="0.2">
      <c r="G2603" s="333"/>
      <c r="H2603" s="333"/>
      <c r="I2603" s="333"/>
      <c r="J2603" s="333"/>
    </row>
    <row r="2604" spans="7:10" x14ac:dyDescent="0.2">
      <c r="G2604" s="333"/>
      <c r="H2604" s="333"/>
      <c r="I2604" s="333"/>
      <c r="J2604" s="333"/>
    </row>
    <row r="2605" spans="7:10" x14ac:dyDescent="0.2">
      <c r="G2605" s="333"/>
      <c r="H2605" s="333"/>
      <c r="I2605" s="333"/>
      <c r="J2605" s="333"/>
    </row>
    <row r="2606" spans="7:10" x14ac:dyDescent="0.2">
      <c r="G2606" s="333"/>
      <c r="H2606" s="333"/>
      <c r="I2606" s="333"/>
      <c r="J2606" s="333"/>
    </row>
    <row r="2607" spans="7:10" x14ac:dyDescent="0.2">
      <c r="G2607" s="333"/>
      <c r="H2607" s="333"/>
      <c r="I2607" s="333"/>
      <c r="J2607" s="333"/>
    </row>
    <row r="2608" spans="7:10" x14ac:dyDescent="0.2">
      <c r="G2608" s="333"/>
      <c r="H2608" s="333"/>
      <c r="I2608" s="333"/>
      <c r="J2608" s="333"/>
    </row>
    <row r="2609" spans="7:10" x14ac:dyDescent="0.2">
      <c r="G2609" s="333"/>
      <c r="H2609" s="333"/>
      <c r="I2609" s="333"/>
      <c r="J2609" s="333"/>
    </row>
    <row r="2610" spans="7:10" x14ac:dyDescent="0.2">
      <c r="G2610" s="333"/>
      <c r="H2610" s="333"/>
      <c r="I2610" s="333"/>
      <c r="J2610" s="333"/>
    </row>
    <row r="2611" spans="7:10" x14ac:dyDescent="0.2">
      <c r="G2611" s="333"/>
      <c r="H2611" s="333"/>
      <c r="I2611" s="333"/>
      <c r="J2611" s="333"/>
    </row>
    <row r="2612" spans="7:10" x14ac:dyDescent="0.2">
      <c r="G2612" s="333"/>
      <c r="H2612" s="333"/>
      <c r="I2612" s="333"/>
      <c r="J2612" s="333"/>
    </row>
    <row r="2613" spans="7:10" x14ac:dyDescent="0.2">
      <c r="G2613" s="333"/>
      <c r="H2613" s="333"/>
      <c r="I2613" s="333"/>
      <c r="J2613" s="333"/>
    </row>
    <row r="2614" spans="7:10" x14ac:dyDescent="0.2">
      <c r="G2614" s="333"/>
      <c r="H2614" s="333"/>
      <c r="I2614" s="333"/>
      <c r="J2614" s="333"/>
    </row>
    <row r="2615" spans="7:10" x14ac:dyDescent="0.2">
      <c r="G2615" s="333"/>
      <c r="H2615" s="333"/>
      <c r="I2615" s="333"/>
      <c r="J2615" s="333"/>
    </row>
    <row r="2616" spans="7:10" x14ac:dyDescent="0.2">
      <c r="G2616" s="333"/>
      <c r="H2616" s="333"/>
      <c r="I2616" s="333"/>
      <c r="J2616" s="333"/>
    </row>
    <row r="2617" spans="7:10" x14ac:dyDescent="0.2">
      <c r="G2617" s="333"/>
      <c r="H2617" s="333"/>
      <c r="I2617" s="333"/>
      <c r="J2617" s="333"/>
    </row>
    <row r="2618" spans="7:10" x14ac:dyDescent="0.2">
      <c r="G2618" s="333"/>
      <c r="H2618" s="333"/>
      <c r="I2618" s="333"/>
      <c r="J2618" s="333"/>
    </row>
    <row r="2619" spans="7:10" x14ac:dyDescent="0.2">
      <c r="G2619" s="333"/>
      <c r="H2619" s="333"/>
      <c r="I2619" s="333"/>
      <c r="J2619" s="333"/>
    </row>
    <row r="2620" spans="7:10" x14ac:dyDescent="0.2">
      <c r="G2620" s="333"/>
      <c r="H2620" s="333"/>
      <c r="I2620" s="333"/>
      <c r="J2620" s="333"/>
    </row>
    <row r="2621" spans="7:10" x14ac:dyDescent="0.2">
      <c r="G2621" s="333"/>
      <c r="H2621" s="333"/>
      <c r="I2621" s="333"/>
      <c r="J2621" s="333"/>
    </row>
    <row r="2622" spans="7:10" x14ac:dyDescent="0.2">
      <c r="G2622" s="333"/>
      <c r="H2622" s="333"/>
      <c r="I2622" s="333"/>
      <c r="J2622" s="333"/>
    </row>
    <row r="2623" spans="7:10" x14ac:dyDescent="0.2">
      <c r="G2623" s="333"/>
      <c r="H2623" s="333"/>
      <c r="I2623" s="333"/>
      <c r="J2623" s="333"/>
    </row>
    <row r="2624" spans="7:10" x14ac:dyDescent="0.2">
      <c r="G2624" s="333"/>
      <c r="H2624" s="333"/>
      <c r="I2624" s="333"/>
      <c r="J2624" s="333"/>
    </row>
    <row r="2625" spans="7:10" x14ac:dyDescent="0.2">
      <c r="G2625" s="333"/>
      <c r="H2625" s="333"/>
      <c r="I2625" s="333"/>
      <c r="J2625" s="333"/>
    </row>
    <row r="2626" spans="7:10" x14ac:dyDescent="0.2">
      <c r="G2626" s="333"/>
      <c r="H2626" s="333"/>
      <c r="I2626" s="333"/>
      <c r="J2626" s="333"/>
    </row>
    <row r="2627" spans="7:10" x14ac:dyDescent="0.2">
      <c r="G2627" s="333"/>
      <c r="H2627" s="333"/>
      <c r="I2627" s="333"/>
      <c r="J2627" s="333"/>
    </row>
    <row r="2628" spans="7:10" x14ac:dyDescent="0.2">
      <c r="G2628" s="333"/>
      <c r="H2628" s="333"/>
      <c r="I2628" s="333"/>
      <c r="J2628" s="333"/>
    </row>
    <row r="2629" spans="7:10" x14ac:dyDescent="0.2">
      <c r="G2629" s="333"/>
      <c r="H2629" s="333"/>
      <c r="I2629" s="333"/>
      <c r="J2629" s="333"/>
    </row>
    <row r="2630" spans="7:10" x14ac:dyDescent="0.2">
      <c r="G2630" s="333"/>
      <c r="H2630" s="333"/>
      <c r="I2630" s="333"/>
      <c r="J2630" s="333"/>
    </row>
    <row r="2631" spans="7:10" x14ac:dyDescent="0.2">
      <c r="G2631" s="333"/>
      <c r="H2631" s="333"/>
      <c r="I2631" s="333"/>
      <c r="J2631" s="333"/>
    </row>
    <row r="2632" spans="7:10" x14ac:dyDescent="0.2">
      <c r="G2632" s="333"/>
      <c r="H2632" s="333"/>
      <c r="I2632" s="333"/>
      <c r="J2632" s="333"/>
    </row>
    <row r="2633" spans="7:10" x14ac:dyDescent="0.2">
      <c r="G2633" s="333"/>
      <c r="H2633" s="333"/>
      <c r="I2633" s="333"/>
      <c r="J2633" s="333"/>
    </row>
    <row r="2634" spans="7:10" x14ac:dyDescent="0.2">
      <c r="G2634" s="333"/>
      <c r="H2634" s="333"/>
      <c r="I2634" s="333"/>
      <c r="J2634" s="333"/>
    </row>
    <row r="2635" spans="7:10" x14ac:dyDescent="0.2">
      <c r="G2635" s="333"/>
      <c r="H2635" s="333"/>
      <c r="I2635" s="333"/>
      <c r="J2635" s="333"/>
    </row>
    <row r="2636" spans="7:10" x14ac:dyDescent="0.2">
      <c r="G2636" s="333"/>
      <c r="H2636" s="333"/>
      <c r="I2636" s="333"/>
      <c r="J2636" s="333"/>
    </row>
    <row r="2637" spans="7:10" x14ac:dyDescent="0.2">
      <c r="G2637" s="333"/>
      <c r="H2637" s="333"/>
      <c r="I2637" s="333"/>
      <c r="J2637" s="333"/>
    </row>
    <row r="2638" spans="7:10" x14ac:dyDescent="0.2">
      <c r="G2638" s="333"/>
      <c r="H2638" s="333"/>
      <c r="I2638" s="333"/>
      <c r="J2638" s="333"/>
    </row>
    <row r="2639" spans="7:10" x14ac:dyDescent="0.2">
      <c r="G2639" s="333"/>
      <c r="H2639" s="333"/>
      <c r="I2639" s="333"/>
      <c r="J2639" s="333"/>
    </row>
    <row r="2640" spans="7:10" x14ac:dyDescent="0.2">
      <c r="G2640" s="333"/>
      <c r="H2640" s="333"/>
      <c r="I2640" s="333"/>
      <c r="J2640" s="333"/>
    </row>
    <row r="2641" spans="7:10" x14ac:dyDescent="0.2">
      <c r="G2641" s="333"/>
      <c r="H2641" s="333"/>
      <c r="I2641" s="333"/>
      <c r="J2641" s="333"/>
    </row>
    <row r="2642" spans="7:10" x14ac:dyDescent="0.2">
      <c r="G2642" s="333"/>
      <c r="H2642" s="333"/>
      <c r="I2642" s="333"/>
      <c r="J2642" s="333"/>
    </row>
    <row r="2643" spans="7:10" x14ac:dyDescent="0.2">
      <c r="G2643" s="333"/>
      <c r="H2643" s="333"/>
      <c r="I2643" s="333"/>
      <c r="J2643" s="333"/>
    </row>
    <row r="2644" spans="7:10" x14ac:dyDescent="0.2">
      <c r="G2644" s="333"/>
      <c r="H2644" s="333"/>
      <c r="I2644" s="333"/>
      <c r="J2644" s="333"/>
    </row>
    <row r="2645" spans="7:10" x14ac:dyDescent="0.2">
      <c r="G2645" s="333"/>
      <c r="H2645" s="333"/>
      <c r="I2645" s="333"/>
      <c r="J2645" s="333"/>
    </row>
    <row r="2646" spans="7:10" x14ac:dyDescent="0.2">
      <c r="G2646" s="333"/>
      <c r="H2646" s="333"/>
      <c r="I2646" s="333"/>
      <c r="J2646" s="333"/>
    </row>
    <row r="2647" spans="7:10" x14ac:dyDescent="0.2">
      <c r="G2647" s="333"/>
      <c r="H2647" s="333"/>
      <c r="I2647" s="333"/>
      <c r="J2647" s="333"/>
    </row>
    <row r="2648" spans="7:10" x14ac:dyDescent="0.2">
      <c r="G2648" s="333"/>
      <c r="H2648" s="333"/>
      <c r="I2648" s="333"/>
      <c r="J2648" s="333"/>
    </row>
    <row r="2649" spans="7:10" x14ac:dyDescent="0.2">
      <c r="G2649" s="333"/>
      <c r="H2649" s="333"/>
      <c r="I2649" s="333"/>
      <c r="J2649" s="333"/>
    </row>
    <row r="2650" spans="7:10" x14ac:dyDescent="0.2">
      <c r="G2650" s="333"/>
      <c r="H2650" s="333"/>
      <c r="I2650" s="333"/>
      <c r="J2650" s="333"/>
    </row>
    <row r="2651" spans="7:10" x14ac:dyDescent="0.2">
      <c r="G2651" s="333"/>
      <c r="H2651" s="333"/>
      <c r="I2651" s="333"/>
      <c r="J2651" s="333"/>
    </row>
    <row r="2652" spans="7:10" x14ac:dyDescent="0.2">
      <c r="G2652" s="333"/>
      <c r="H2652" s="333"/>
      <c r="I2652" s="333"/>
      <c r="J2652" s="333"/>
    </row>
    <row r="2653" spans="7:10" x14ac:dyDescent="0.2">
      <c r="G2653" s="333"/>
      <c r="H2653" s="333"/>
      <c r="I2653" s="333"/>
      <c r="J2653" s="333"/>
    </row>
    <row r="2654" spans="7:10" x14ac:dyDescent="0.2">
      <c r="G2654" s="333"/>
      <c r="H2654" s="333"/>
      <c r="I2654" s="333"/>
      <c r="J2654" s="333"/>
    </row>
    <row r="2655" spans="7:10" x14ac:dyDescent="0.2">
      <c r="G2655" s="333"/>
      <c r="H2655" s="333"/>
      <c r="I2655" s="333"/>
      <c r="J2655" s="333"/>
    </row>
    <row r="2656" spans="7:10" x14ac:dyDescent="0.2">
      <c r="G2656" s="333"/>
      <c r="H2656" s="333"/>
      <c r="I2656" s="333"/>
      <c r="J2656" s="333"/>
    </row>
    <row r="2657" spans="7:10" x14ac:dyDescent="0.2">
      <c r="G2657" s="333"/>
      <c r="H2657" s="333"/>
      <c r="I2657" s="333"/>
      <c r="J2657" s="333"/>
    </row>
    <row r="2658" spans="7:10" x14ac:dyDescent="0.2">
      <c r="G2658" s="333"/>
      <c r="H2658" s="333"/>
      <c r="I2658" s="333"/>
      <c r="J2658" s="333"/>
    </row>
    <row r="2659" spans="7:10" x14ac:dyDescent="0.2">
      <c r="G2659" s="333"/>
      <c r="H2659" s="333"/>
      <c r="I2659" s="333"/>
      <c r="J2659" s="333"/>
    </row>
    <row r="2660" spans="7:10" x14ac:dyDescent="0.2">
      <c r="G2660" s="333"/>
      <c r="H2660" s="333"/>
      <c r="I2660" s="333"/>
      <c r="J2660" s="333"/>
    </row>
    <row r="2661" spans="7:10" x14ac:dyDescent="0.2">
      <c r="G2661" s="333"/>
      <c r="H2661" s="333"/>
      <c r="I2661" s="333"/>
      <c r="J2661" s="333"/>
    </row>
    <row r="2662" spans="7:10" x14ac:dyDescent="0.2">
      <c r="G2662" s="333"/>
      <c r="H2662" s="333"/>
      <c r="I2662" s="333"/>
      <c r="J2662" s="333"/>
    </row>
    <row r="2663" spans="7:10" x14ac:dyDescent="0.2">
      <c r="G2663" s="333"/>
      <c r="H2663" s="333"/>
      <c r="I2663" s="333"/>
      <c r="J2663" s="333"/>
    </row>
    <row r="2664" spans="7:10" x14ac:dyDescent="0.2">
      <c r="G2664" s="333"/>
      <c r="H2664" s="333"/>
      <c r="I2664" s="333"/>
      <c r="J2664" s="333"/>
    </row>
    <row r="2665" spans="7:10" x14ac:dyDescent="0.2">
      <c r="G2665" s="333"/>
      <c r="H2665" s="333"/>
      <c r="I2665" s="333"/>
      <c r="J2665" s="333"/>
    </row>
    <row r="2666" spans="7:10" x14ac:dyDescent="0.2">
      <c r="G2666" s="333"/>
      <c r="H2666" s="333"/>
      <c r="I2666" s="333"/>
      <c r="J2666" s="333"/>
    </row>
    <row r="2667" spans="7:10" x14ac:dyDescent="0.2">
      <c r="G2667" s="333"/>
      <c r="H2667" s="333"/>
      <c r="I2667" s="333"/>
      <c r="J2667" s="333"/>
    </row>
    <row r="2668" spans="7:10" x14ac:dyDescent="0.2">
      <c r="G2668" s="333"/>
      <c r="H2668" s="333"/>
      <c r="I2668" s="333"/>
      <c r="J2668" s="333"/>
    </row>
    <row r="2669" spans="7:10" x14ac:dyDescent="0.2">
      <c r="G2669" s="333"/>
      <c r="H2669" s="333"/>
      <c r="I2669" s="333"/>
      <c r="J2669" s="333"/>
    </row>
    <row r="2670" spans="7:10" x14ac:dyDescent="0.2">
      <c r="G2670" s="333"/>
      <c r="H2670" s="333"/>
      <c r="I2670" s="333"/>
      <c r="J2670" s="333"/>
    </row>
    <row r="2671" spans="7:10" x14ac:dyDescent="0.2">
      <c r="G2671" s="333"/>
      <c r="H2671" s="333"/>
      <c r="I2671" s="333"/>
      <c r="J2671" s="333"/>
    </row>
    <row r="2672" spans="7:10" x14ac:dyDescent="0.2">
      <c r="G2672" s="333"/>
      <c r="H2672" s="333"/>
      <c r="I2672" s="333"/>
      <c r="J2672" s="333"/>
    </row>
    <row r="2673" spans="7:10" x14ac:dyDescent="0.2">
      <c r="G2673" s="333"/>
      <c r="H2673" s="333"/>
      <c r="I2673" s="333"/>
      <c r="J2673" s="333"/>
    </row>
    <row r="2674" spans="7:10" x14ac:dyDescent="0.2">
      <c r="G2674" s="333"/>
      <c r="H2674" s="333"/>
      <c r="I2674" s="333"/>
      <c r="J2674" s="333"/>
    </row>
    <row r="2675" spans="7:10" x14ac:dyDescent="0.2">
      <c r="G2675" s="333"/>
      <c r="H2675" s="333"/>
      <c r="I2675" s="333"/>
      <c r="J2675" s="333"/>
    </row>
    <row r="2676" spans="7:10" x14ac:dyDescent="0.2">
      <c r="G2676" s="333"/>
      <c r="H2676" s="333"/>
      <c r="I2676" s="333"/>
      <c r="J2676" s="333"/>
    </row>
    <row r="2677" spans="7:10" x14ac:dyDescent="0.2">
      <c r="G2677" s="333"/>
      <c r="H2677" s="333"/>
      <c r="I2677" s="333"/>
      <c r="J2677" s="333"/>
    </row>
    <row r="2678" spans="7:10" x14ac:dyDescent="0.2">
      <c r="G2678" s="333"/>
      <c r="H2678" s="333"/>
      <c r="I2678" s="333"/>
      <c r="J2678" s="333"/>
    </row>
    <row r="2679" spans="7:10" x14ac:dyDescent="0.2">
      <c r="G2679" s="333"/>
      <c r="H2679" s="333"/>
      <c r="I2679" s="333"/>
      <c r="J2679" s="333"/>
    </row>
    <row r="2680" spans="7:10" x14ac:dyDescent="0.2">
      <c r="G2680" s="333"/>
      <c r="H2680" s="333"/>
      <c r="I2680" s="333"/>
      <c r="J2680" s="333"/>
    </row>
    <row r="2681" spans="7:10" x14ac:dyDescent="0.2">
      <c r="G2681" s="333"/>
      <c r="H2681" s="333"/>
      <c r="I2681" s="333"/>
      <c r="J2681" s="333"/>
    </row>
    <row r="2682" spans="7:10" x14ac:dyDescent="0.2">
      <c r="G2682" s="333"/>
      <c r="H2682" s="333"/>
      <c r="I2682" s="333"/>
      <c r="J2682" s="333"/>
    </row>
    <row r="2683" spans="7:10" x14ac:dyDescent="0.2">
      <c r="G2683" s="333"/>
      <c r="H2683" s="333"/>
      <c r="I2683" s="333"/>
      <c r="J2683" s="333"/>
    </row>
    <row r="2684" spans="7:10" x14ac:dyDescent="0.2">
      <c r="G2684" s="333"/>
      <c r="H2684" s="333"/>
      <c r="I2684" s="333"/>
      <c r="J2684" s="333"/>
    </row>
    <row r="2685" spans="7:10" x14ac:dyDescent="0.2">
      <c r="G2685" s="333"/>
      <c r="H2685" s="333"/>
      <c r="I2685" s="333"/>
      <c r="J2685" s="333"/>
    </row>
    <row r="2686" spans="7:10" x14ac:dyDescent="0.2">
      <c r="G2686" s="333"/>
      <c r="H2686" s="333"/>
      <c r="I2686" s="333"/>
      <c r="J2686" s="333"/>
    </row>
    <row r="2687" spans="7:10" x14ac:dyDescent="0.2">
      <c r="G2687" s="333"/>
      <c r="H2687" s="333"/>
      <c r="I2687" s="333"/>
      <c r="J2687" s="333"/>
    </row>
    <row r="2688" spans="7:10" x14ac:dyDescent="0.2">
      <c r="G2688" s="333"/>
      <c r="H2688" s="333"/>
      <c r="I2688" s="333"/>
      <c r="J2688" s="333"/>
    </row>
    <row r="2689" spans="7:10" x14ac:dyDescent="0.2">
      <c r="G2689" s="333"/>
      <c r="H2689" s="333"/>
      <c r="I2689" s="333"/>
      <c r="J2689" s="333"/>
    </row>
    <row r="2690" spans="7:10" x14ac:dyDescent="0.2">
      <c r="G2690" s="333"/>
      <c r="H2690" s="333"/>
      <c r="I2690" s="333"/>
      <c r="J2690" s="333"/>
    </row>
    <row r="2691" spans="7:10" x14ac:dyDescent="0.2">
      <c r="G2691" s="333"/>
      <c r="H2691" s="333"/>
      <c r="I2691" s="333"/>
      <c r="J2691" s="333"/>
    </row>
    <row r="2692" spans="7:10" x14ac:dyDescent="0.2">
      <c r="G2692" s="333"/>
      <c r="H2692" s="333"/>
      <c r="I2692" s="333"/>
      <c r="J2692" s="333"/>
    </row>
    <row r="2693" spans="7:10" x14ac:dyDescent="0.2">
      <c r="G2693" s="333"/>
      <c r="H2693" s="333"/>
      <c r="I2693" s="333"/>
      <c r="J2693" s="333"/>
    </row>
    <row r="2694" spans="7:10" x14ac:dyDescent="0.2">
      <c r="G2694" s="333"/>
      <c r="H2694" s="333"/>
      <c r="I2694" s="333"/>
      <c r="J2694" s="333"/>
    </row>
    <row r="2695" spans="7:10" x14ac:dyDescent="0.2">
      <c r="G2695" s="333"/>
      <c r="H2695" s="333"/>
      <c r="I2695" s="333"/>
      <c r="J2695" s="333"/>
    </row>
    <row r="2696" spans="7:10" x14ac:dyDescent="0.2">
      <c r="G2696" s="333"/>
      <c r="H2696" s="333"/>
      <c r="I2696" s="333"/>
      <c r="J2696" s="333"/>
    </row>
    <row r="2697" spans="7:10" x14ac:dyDescent="0.2">
      <c r="G2697" s="333"/>
      <c r="H2697" s="333"/>
      <c r="I2697" s="333"/>
      <c r="J2697" s="333"/>
    </row>
    <row r="2698" spans="7:10" x14ac:dyDescent="0.2">
      <c r="G2698" s="333"/>
      <c r="H2698" s="333"/>
      <c r="I2698" s="333"/>
      <c r="J2698" s="333"/>
    </row>
    <row r="2699" spans="7:10" x14ac:dyDescent="0.2">
      <c r="G2699" s="333"/>
      <c r="H2699" s="333"/>
      <c r="I2699" s="333"/>
      <c r="J2699" s="333"/>
    </row>
    <row r="2700" spans="7:10" x14ac:dyDescent="0.2">
      <c r="G2700" s="333"/>
      <c r="H2700" s="333"/>
      <c r="I2700" s="333"/>
      <c r="J2700" s="333"/>
    </row>
    <row r="2701" spans="7:10" x14ac:dyDescent="0.2">
      <c r="G2701" s="333"/>
      <c r="H2701" s="333"/>
      <c r="I2701" s="333"/>
      <c r="J2701" s="333"/>
    </row>
    <row r="2702" spans="7:10" x14ac:dyDescent="0.2">
      <c r="G2702" s="333"/>
      <c r="H2702" s="333"/>
      <c r="I2702" s="333"/>
      <c r="J2702" s="333"/>
    </row>
    <row r="2703" spans="7:10" x14ac:dyDescent="0.2">
      <c r="G2703" s="333"/>
      <c r="H2703" s="333"/>
      <c r="I2703" s="333"/>
      <c r="J2703" s="333"/>
    </row>
    <row r="2704" spans="7:10" x14ac:dyDescent="0.2">
      <c r="G2704" s="333"/>
      <c r="H2704" s="333"/>
      <c r="I2704" s="333"/>
      <c r="J2704" s="333"/>
    </row>
    <row r="2705" spans="7:10" x14ac:dyDescent="0.2">
      <c r="G2705" s="333"/>
      <c r="H2705" s="333"/>
      <c r="I2705" s="333"/>
      <c r="J2705" s="333"/>
    </row>
    <row r="2706" spans="7:10" x14ac:dyDescent="0.2">
      <c r="G2706" s="333"/>
      <c r="H2706" s="333"/>
      <c r="I2706" s="333"/>
      <c r="J2706" s="333"/>
    </row>
    <row r="2707" spans="7:10" x14ac:dyDescent="0.2">
      <c r="G2707" s="333"/>
      <c r="H2707" s="333"/>
      <c r="I2707" s="333"/>
      <c r="J2707" s="333"/>
    </row>
    <row r="2708" spans="7:10" x14ac:dyDescent="0.2">
      <c r="G2708" s="333"/>
      <c r="H2708" s="333"/>
      <c r="I2708" s="333"/>
      <c r="J2708" s="333"/>
    </row>
    <row r="2709" spans="7:10" x14ac:dyDescent="0.2">
      <c r="G2709" s="333"/>
      <c r="H2709" s="333"/>
      <c r="I2709" s="333"/>
      <c r="J2709" s="333"/>
    </row>
    <row r="2710" spans="7:10" x14ac:dyDescent="0.2">
      <c r="G2710" s="333"/>
      <c r="H2710" s="333"/>
      <c r="I2710" s="333"/>
      <c r="J2710" s="333"/>
    </row>
    <row r="2711" spans="7:10" x14ac:dyDescent="0.2">
      <c r="G2711" s="333"/>
      <c r="H2711" s="333"/>
      <c r="I2711" s="333"/>
      <c r="J2711" s="333"/>
    </row>
    <row r="2712" spans="7:10" x14ac:dyDescent="0.2">
      <c r="G2712" s="333"/>
      <c r="H2712" s="333"/>
      <c r="I2712" s="333"/>
      <c r="J2712" s="333"/>
    </row>
    <row r="2713" spans="7:10" x14ac:dyDescent="0.2">
      <c r="G2713" s="333"/>
      <c r="H2713" s="333"/>
      <c r="I2713" s="333"/>
      <c r="J2713" s="333"/>
    </row>
    <row r="2714" spans="7:10" x14ac:dyDescent="0.2">
      <c r="G2714" s="333"/>
      <c r="H2714" s="333"/>
      <c r="I2714" s="333"/>
      <c r="J2714" s="333"/>
    </row>
    <row r="2715" spans="7:10" x14ac:dyDescent="0.2">
      <c r="G2715" s="333"/>
      <c r="H2715" s="333"/>
      <c r="I2715" s="333"/>
      <c r="J2715" s="333"/>
    </row>
    <row r="2716" spans="7:10" x14ac:dyDescent="0.2">
      <c r="G2716" s="333"/>
      <c r="H2716" s="333"/>
      <c r="I2716" s="333"/>
      <c r="J2716" s="333"/>
    </row>
    <row r="2717" spans="7:10" x14ac:dyDescent="0.2">
      <c r="G2717" s="333"/>
      <c r="H2717" s="333"/>
      <c r="I2717" s="333"/>
      <c r="J2717" s="333"/>
    </row>
    <row r="2718" spans="7:10" x14ac:dyDescent="0.2">
      <c r="G2718" s="333"/>
      <c r="H2718" s="333"/>
      <c r="I2718" s="333"/>
      <c r="J2718" s="333"/>
    </row>
    <row r="2719" spans="7:10" x14ac:dyDescent="0.2">
      <c r="G2719" s="333"/>
      <c r="H2719" s="333"/>
      <c r="I2719" s="333"/>
      <c r="J2719" s="333"/>
    </row>
    <row r="2720" spans="7:10" x14ac:dyDescent="0.2">
      <c r="G2720" s="333"/>
      <c r="H2720" s="333"/>
      <c r="I2720" s="333"/>
      <c r="J2720" s="333"/>
    </row>
    <row r="2721" spans="7:10" x14ac:dyDescent="0.2">
      <c r="G2721" s="333"/>
      <c r="H2721" s="333"/>
      <c r="I2721" s="333"/>
      <c r="J2721" s="333"/>
    </row>
    <row r="2722" spans="7:10" x14ac:dyDescent="0.2">
      <c r="G2722" s="333"/>
      <c r="H2722" s="333"/>
      <c r="I2722" s="333"/>
      <c r="J2722" s="333"/>
    </row>
    <row r="2723" spans="7:10" x14ac:dyDescent="0.2">
      <c r="G2723" s="333"/>
      <c r="H2723" s="333"/>
      <c r="I2723" s="333"/>
      <c r="J2723" s="333"/>
    </row>
    <row r="2724" spans="7:10" x14ac:dyDescent="0.2">
      <c r="G2724" s="333"/>
      <c r="H2724" s="333"/>
      <c r="I2724" s="333"/>
      <c r="J2724" s="333"/>
    </row>
    <row r="2725" spans="7:10" x14ac:dyDescent="0.2">
      <c r="G2725" s="333"/>
      <c r="H2725" s="333"/>
      <c r="I2725" s="333"/>
      <c r="J2725" s="333"/>
    </row>
    <row r="2726" spans="7:10" x14ac:dyDescent="0.2">
      <c r="G2726" s="333"/>
      <c r="H2726" s="333"/>
      <c r="I2726" s="333"/>
      <c r="J2726" s="333"/>
    </row>
    <row r="2727" spans="7:10" x14ac:dyDescent="0.2">
      <c r="G2727" s="333"/>
      <c r="H2727" s="333"/>
      <c r="I2727" s="333"/>
      <c r="J2727" s="333"/>
    </row>
    <row r="2728" spans="7:10" x14ac:dyDescent="0.2">
      <c r="G2728" s="333"/>
      <c r="H2728" s="333"/>
      <c r="I2728" s="333"/>
      <c r="J2728" s="333"/>
    </row>
    <row r="2729" spans="7:10" x14ac:dyDescent="0.2">
      <c r="G2729" s="333"/>
      <c r="H2729" s="333"/>
      <c r="I2729" s="333"/>
      <c r="J2729" s="333"/>
    </row>
    <row r="2730" spans="7:10" x14ac:dyDescent="0.2">
      <c r="G2730" s="333"/>
      <c r="H2730" s="333"/>
      <c r="I2730" s="333"/>
      <c r="J2730" s="333"/>
    </row>
    <row r="2731" spans="7:10" x14ac:dyDescent="0.2">
      <c r="G2731" s="333"/>
      <c r="H2731" s="333"/>
      <c r="I2731" s="333"/>
      <c r="J2731" s="333"/>
    </row>
    <row r="2732" spans="7:10" x14ac:dyDescent="0.2">
      <c r="G2732" s="333"/>
      <c r="H2732" s="333"/>
      <c r="I2732" s="333"/>
      <c r="J2732" s="333"/>
    </row>
    <row r="2733" spans="7:10" x14ac:dyDescent="0.2">
      <c r="G2733" s="333"/>
      <c r="H2733" s="333"/>
      <c r="I2733" s="333"/>
      <c r="J2733" s="333"/>
    </row>
    <row r="2734" spans="7:10" x14ac:dyDescent="0.2">
      <c r="G2734" s="333"/>
      <c r="H2734" s="333"/>
      <c r="I2734" s="333"/>
      <c r="J2734" s="333"/>
    </row>
    <row r="2735" spans="7:10" x14ac:dyDescent="0.2">
      <c r="G2735" s="333"/>
      <c r="H2735" s="333"/>
      <c r="I2735" s="333"/>
      <c r="J2735" s="333"/>
    </row>
    <row r="2736" spans="7:10" x14ac:dyDescent="0.2">
      <c r="G2736" s="333"/>
      <c r="H2736" s="333"/>
      <c r="I2736" s="333"/>
      <c r="J2736" s="333"/>
    </row>
    <row r="2737" spans="7:10" x14ac:dyDescent="0.2">
      <c r="G2737" s="333"/>
      <c r="H2737" s="333"/>
      <c r="I2737" s="333"/>
      <c r="J2737" s="333"/>
    </row>
    <row r="2738" spans="7:10" x14ac:dyDescent="0.2">
      <c r="G2738" s="333"/>
      <c r="H2738" s="333"/>
      <c r="I2738" s="333"/>
      <c r="J2738" s="333"/>
    </row>
    <row r="2739" spans="7:10" x14ac:dyDescent="0.2">
      <c r="G2739" s="333"/>
      <c r="H2739" s="333"/>
      <c r="I2739" s="333"/>
      <c r="J2739" s="333"/>
    </row>
    <row r="2740" spans="7:10" x14ac:dyDescent="0.2">
      <c r="G2740" s="333"/>
      <c r="H2740" s="333"/>
      <c r="I2740" s="333"/>
      <c r="J2740" s="333"/>
    </row>
    <row r="2741" spans="7:10" x14ac:dyDescent="0.2">
      <c r="G2741" s="333"/>
      <c r="H2741" s="333"/>
      <c r="I2741" s="333"/>
      <c r="J2741" s="333"/>
    </row>
    <row r="2742" spans="7:10" x14ac:dyDescent="0.2">
      <c r="G2742" s="333"/>
      <c r="H2742" s="333"/>
      <c r="I2742" s="333"/>
      <c r="J2742" s="333"/>
    </row>
    <row r="2743" spans="7:10" x14ac:dyDescent="0.2">
      <c r="G2743" s="333"/>
      <c r="H2743" s="333"/>
      <c r="I2743" s="333"/>
      <c r="J2743" s="333"/>
    </row>
    <row r="2744" spans="7:10" x14ac:dyDescent="0.2">
      <c r="G2744" s="333"/>
      <c r="H2744" s="333"/>
      <c r="I2744" s="333"/>
      <c r="J2744" s="333"/>
    </row>
    <row r="2745" spans="7:10" x14ac:dyDescent="0.2">
      <c r="G2745" s="333"/>
      <c r="H2745" s="333"/>
      <c r="I2745" s="333"/>
      <c r="J2745" s="333"/>
    </row>
    <row r="2746" spans="7:10" x14ac:dyDescent="0.2">
      <c r="G2746" s="333"/>
      <c r="H2746" s="333"/>
      <c r="I2746" s="333"/>
      <c r="J2746" s="333"/>
    </row>
    <row r="2747" spans="7:10" x14ac:dyDescent="0.2">
      <c r="G2747" s="333"/>
      <c r="H2747" s="333"/>
      <c r="I2747" s="333"/>
      <c r="J2747" s="333"/>
    </row>
    <row r="2748" spans="7:10" x14ac:dyDescent="0.2">
      <c r="G2748" s="333"/>
      <c r="H2748" s="333"/>
      <c r="I2748" s="333"/>
      <c r="J2748" s="333"/>
    </row>
    <row r="2749" spans="7:10" x14ac:dyDescent="0.2">
      <c r="G2749" s="333"/>
      <c r="H2749" s="333"/>
      <c r="I2749" s="333"/>
      <c r="J2749" s="333"/>
    </row>
    <row r="2750" spans="7:10" x14ac:dyDescent="0.2">
      <c r="G2750" s="333"/>
      <c r="H2750" s="333"/>
      <c r="I2750" s="333"/>
      <c r="J2750" s="333"/>
    </row>
    <row r="2751" spans="7:10" x14ac:dyDescent="0.2">
      <c r="G2751" s="333"/>
      <c r="H2751" s="333"/>
      <c r="I2751" s="333"/>
      <c r="J2751" s="333"/>
    </row>
    <row r="2752" spans="7:10" x14ac:dyDescent="0.2">
      <c r="G2752" s="333"/>
      <c r="H2752" s="333"/>
      <c r="I2752" s="333"/>
      <c r="J2752" s="333"/>
    </row>
    <row r="2753" spans="7:10" x14ac:dyDescent="0.2">
      <c r="G2753" s="333"/>
      <c r="H2753" s="333"/>
      <c r="I2753" s="333"/>
      <c r="J2753" s="333"/>
    </row>
    <row r="2754" spans="7:10" x14ac:dyDescent="0.2">
      <c r="G2754" s="333"/>
      <c r="H2754" s="333"/>
      <c r="I2754" s="333"/>
      <c r="J2754" s="333"/>
    </row>
    <row r="2755" spans="7:10" x14ac:dyDescent="0.2">
      <c r="G2755" s="333"/>
      <c r="H2755" s="333"/>
      <c r="I2755" s="333"/>
      <c r="J2755" s="333"/>
    </row>
    <row r="2756" spans="7:10" x14ac:dyDescent="0.2">
      <c r="G2756" s="333"/>
      <c r="H2756" s="333"/>
      <c r="I2756" s="333"/>
      <c r="J2756" s="333"/>
    </row>
    <row r="2757" spans="7:10" x14ac:dyDescent="0.2">
      <c r="G2757" s="333"/>
      <c r="H2757" s="333"/>
      <c r="I2757" s="333"/>
      <c r="J2757" s="333"/>
    </row>
    <row r="2758" spans="7:10" x14ac:dyDescent="0.2">
      <c r="G2758" s="333"/>
      <c r="H2758" s="333"/>
      <c r="I2758" s="333"/>
      <c r="J2758" s="333"/>
    </row>
    <row r="2759" spans="7:10" x14ac:dyDescent="0.2">
      <c r="G2759" s="333"/>
      <c r="H2759" s="333"/>
      <c r="I2759" s="333"/>
      <c r="J2759" s="333"/>
    </row>
    <row r="2760" spans="7:10" x14ac:dyDescent="0.2">
      <c r="G2760" s="333"/>
      <c r="H2760" s="333"/>
      <c r="I2760" s="333"/>
      <c r="J2760" s="333"/>
    </row>
    <row r="2761" spans="7:10" x14ac:dyDescent="0.2">
      <c r="G2761" s="333"/>
      <c r="H2761" s="333"/>
      <c r="I2761" s="333"/>
      <c r="J2761" s="333"/>
    </row>
    <row r="2762" spans="7:10" x14ac:dyDescent="0.2">
      <c r="G2762" s="333"/>
      <c r="H2762" s="333"/>
      <c r="I2762" s="333"/>
      <c r="J2762" s="333"/>
    </row>
    <row r="2763" spans="7:10" x14ac:dyDescent="0.2">
      <c r="G2763" s="333"/>
      <c r="H2763" s="333"/>
      <c r="I2763" s="333"/>
      <c r="J2763" s="333"/>
    </row>
    <row r="2764" spans="7:10" x14ac:dyDescent="0.2">
      <c r="G2764" s="333"/>
      <c r="H2764" s="333"/>
      <c r="I2764" s="333"/>
      <c r="J2764" s="333"/>
    </row>
    <row r="2765" spans="7:10" x14ac:dyDescent="0.2">
      <c r="G2765" s="333"/>
      <c r="H2765" s="333"/>
      <c r="I2765" s="333"/>
      <c r="J2765" s="333"/>
    </row>
    <row r="2766" spans="7:10" x14ac:dyDescent="0.2">
      <c r="G2766" s="333"/>
      <c r="H2766" s="333"/>
      <c r="I2766" s="333"/>
      <c r="J2766" s="333"/>
    </row>
    <row r="2767" spans="7:10" x14ac:dyDescent="0.2">
      <c r="G2767" s="333"/>
      <c r="H2767" s="333"/>
      <c r="I2767" s="333"/>
      <c r="J2767" s="333"/>
    </row>
    <row r="2768" spans="7:10" x14ac:dyDescent="0.2">
      <c r="G2768" s="333"/>
      <c r="H2768" s="333"/>
      <c r="I2768" s="333"/>
      <c r="J2768" s="333"/>
    </row>
    <row r="2769" spans="7:10" x14ac:dyDescent="0.2">
      <c r="G2769" s="333"/>
      <c r="H2769" s="333"/>
      <c r="I2769" s="333"/>
      <c r="J2769" s="333"/>
    </row>
    <row r="2770" spans="7:10" x14ac:dyDescent="0.2">
      <c r="G2770" s="333"/>
      <c r="H2770" s="333"/>
      <c r="I2770" s="333"/>
      <c r="J2770" s="333"/>
    </row>
    <row r="2771" spans="7:10" x14ac:dyDescent="0.2">
      <c r="G2771" s="333"/>
      <c r="H2771" s="333"/>
      <c r="I2771" s="333"/>
      <c r="J2771" s="333"/>
    </row>
    <row r="2772" spans="7:10" x14ac:dyDescent="0.2">
      <c r="G2772" s="333"/>
      <c r="H2772" s="333"/>
      <c r="I2772" s="333"/>
      <c r="J2772" s="333"/>
    </row>
    <row r="2773" spans="7:10" x14ac:dyDescent="0.2">
      <c r="G2773" s="333"/>
      <c r="H2773" s="333"/>
      <c r="I2773" s="333"/>
      <c r="J2773" s="333"/>
    </row>
    <row r="2774" spans="7:10" x14ac:dyDescent="0.2">
      <c r="G2774" s="333"/>
      <c r="H2774" s="333"/>
      <c r="I2774" s="333"/>
      <c r="J2774" s="333"/>
    </row>
    <row r="2775" spans="7:10" x14ac:dyDescent="0.2">
      <c r="G2775" s="333"/>
      <c r="H2775" s="333"/>
      <c r="I2775" s="333"/>
      <c r="J2775" s="333"/>
    </row>
    <row r="2776" spans="7:10" x14ac:dyDescent="0.2">
      <c r="G2776" s="333"/>
      <c r="H2776" s="333"/>
      <c r="I2776" s="333"/>
      <c r="J2776" s="333"/>
    </row>
    <row r="2777" spans="7:10" x14ac:dyDescent="0.2">
      <c r="G2777" s="333"/>
      <c r="H2777" s="333"/>
      <c r="I2777" s="333"/>
      <c r="J2777" s="333"/>
    </row>
    <row r="2778" spans="7:10" x14ac:dyDescent="0.2">
      <c r="G2778" s="333"/>
      <c r="H2778" s="333"/>
      <c r="I2778" s="333"/>
      <c r="J2778" s="333"/>
    </row>
    <row r="2779" spans="7:10" x14ac:dyDescent="0.2">
      <c r="G2779" s="333"/>
      <c r="H2779" s="333"/>
      <c r="I2779" s="333"/>
      <c r="J2779" s="333"/>
    </row>
    <row r="2780" spans="7:10" x14ac:dyDescent="0.2">
      <c r="G2780" s="333"/>
      <c r="H2780" s="333"/>
      <c r="I2780" s="333"/>
      <c r="J2780" s="333"/>
    </row>
    <row r="2781" spans="7:10" x14ac:dyDescent="0.2">
      <c r="G2781" s="333"/>
      <c r="H2781" s="333"/>
      <c r="I2781" s="333"/>
      <c r="J2781" s="333"/>
    </row>
    <row r="2782" spans="7:10" x14ac:dyDescent="0.2">
      <c r="G2782" s="333"/>
      <c r="H2782" s="333"/>
      <c r="I2782" s="333"/>
      <c r="J2782" s="333"/>
    </row>
    <row r="2783" spans="7:10" x14ac:dyDescent="0.2">
      <c r="G2783" s="333"/>
      <c r="H2783" s="333"/>
      <c r="I2783" s="333"/>
      <c r="J2783" s="333"/>
    </row>
    <row r="2784" spans="7:10" x14ac:dyDescent="0.2">
      <c r="G2784" s="333"/>
      <c r="H2784" s="333"/>
      <c r="I2784" s="333"/>
      <c r="J2784" s="333"/>
    </row>
    <row r="2785" spans="7:10" x14ac:dyDescent="0.2">
      <c r="G2785" s="333"/>
      <c r="H2785" s="333"/>
      <c r="I2785" s="333"/>
      <c r="J2785" s="333"/>
    </row>
    <row r="2786" spans="7:10" x14ac:dyDescent="0.2">
      <c r="G2786" s="333"/>
      <c r="H2786" s="333"/>
      <c r="I2786" s="333"/>
      <c r="J2786" s="333"/>
    </row>
    <row r="2787" spans="7:10" x14ac:dyDescent="0.2">
      <c r="G2787" s="333"/>
      <c r="H2787" s="333"/>
      <c r="I2787" s="333"/>
      <c r="J2787" s="333"/>
    </row>
    <row r="2788" spans="7:10" x14ac:dyDescent="0.2">
      <c r="G2788" s="333"/>
      <c r="H2788" s="333"/>
      <c r="I2788" s="333"/>
      <c r="J2788" s="333"/>
    </row>
    <row r="2789" spans="7:10" x14ac:dyDescent="0.2">
      <c r="G2789" s="333"/>
      <c r="H2789" s="333"/>
      <c r="I2789" s="333"/>
      <c r="J2789" s="333"/>
    </row>
    <row r="2790" spans="7:10" x14ac:dyDescent="0.2">
      <c r="G2790" s="333"/>
      <c r="H2790" s="333"/>
      <c r="I2790" s="333"/>
      <c r="J2790" s="333"/>
    </row>
    <row r="2791" spans="7:10" x14ac:dyDescent="0.2">
      <c r="G2791" s="333"/>
      <c r="H2791" s="333"/>
      <c r="I2791" s="333"/>
      <c r="J2791" s="333"/>
    </row>
    <row r="2792" spans="7:10" x14ac:dyDescent="0.2">
      <c r="G2792" s="333"/>
      <c r="H2792" s="333"/>
      <c r="I2792" s="333"/>
      <c r="J2792" s="333"/>
    </row>
    <row r="2793" spans="7:10" x14ac:dyDescent="0.2">
      <c r="G2793" s="333"/>
      <c r="H2793" s="333"/>
      <c r="I2793" s="333"/>
      <c r="J2793" s="333"/>
    </row>
    <row r="2794" spans="7:10" x14ac:dyDescent="0.2">
      <c r="G2794" s="333"/>
      <c r="H2794" s="333"/>
      <c r="I2794" s="333"/>
      <c r="J2794" s="333"/>
    </row>
    <row r="2795" spans="7:10" x14ac:dyDescent="0.2">
      <c r="G2795" s="333"/>
      <c r="H2795" s="333"/>
      <c r="I2795" s="333"/>
      <c r="J2795" s="333"/>
    </row>
    <row r="2796" spans="7:10" x14ac:dyDescent="0.2">
      <c r="G2796" s="333"/>
      <c r="H2796" s="333"/>
      <c r="I2796" s="333"/>
      <c r="J2796" s="333"/>
    </row>
    <row r="2797" spans="7:10" x14ac:dyDescent="0.2">
      <c r="G2797" s="333"/>
      <c r="H2797" s="333"/>
      <c r="I2797" s="333"/>
      <c r="J2797" s="333"/>
    </row>
    <row r="2798" spans="7:10" x14ac:dyDescent="0.2">
      <c r="G2798" s="333"/>
      <c r="H2798" s="333"/>
      <c r="I2798" s="333"/>
      <c r="J2798" s="333"/>
    </row>
    <row r="2799" spans="7:10" x14ac:dyDescent="0.2">
      <c r="G2799" s="333"/>
      <c r="H2799" s="333"/>
      <c r="I2799" s="333"/>
      <c r="J2799" s="333"/>
    </row>
    <row r="2800" spans="7:10" x14ac:dyDescent="0.2">
      <c r="G2800" s="333"/>
      <c r="H2800" s="333"/>
      <c r="I2800" s="333"/>
      <c r="J2800" s="333"/>
    </row>
    <row r="2801" spans="7:10" x14ac:dyDescent="0.2">
      <c r="G2801" s="333"/>
      <c r="H2801" s="333"/>
      <c r="I2801" s="333"/>
      <c r="J2801" s="333"/>
    </row>
    <row r="2802" spans="7:10" x14ac:dyDescent="0.2">
      <c r="G2802" s="333"/>
      <c r="H2802" s="333"/>
      <c r="I2802" s="333"/>
      <c r="J2802" s="333"/>
    </row>
    <row r="2803" spans="7:10" x14ac:dyDescent="0.2">
      <c r="G2803" s="333"/>
      <c r="H2803" s="333"/>
      <c r="I2803" s="333"/>
      <c r="J2803" s="333"/>
    </row>
    <row r="2804" spans="7:10" x14ac:dyDescent="0.2">
      <c r="G2804" s="333"/>
      <c r="H2804" s="333"/>
      <c r="I2804" s="333"/>
      <c r="J2804" s="333"/>
    </row>
    <row r="2805" spans="7:10" x14ac:dyDescent="0.2">
      <c r="G2805" s="333"/>
      <c r="H2805" s="333"/>
      <c r="I2805" s="333"/>
      <c r="J2805" s="333"/>
    </row>
    <row r="2806" spans="7:10" x14ac:dyDescent="0.2">
      <c r="G2806" s="333"/>
      <c r="H2806" s="333"/>
      <c r="I2806" s="333"/>
      <c r="J2806" s="333"/>
    </row>
    <row r="2807" spans="7:10" x14ac:dyDescent="0.2">
      <c r="G2807" s="333"/>
      <c r="H2807" s="333"/>
      <c r="I2807" s="333"/>
      <c r="J2807" s="333"/>
    </row>
    <row r="2808" spans="7:10" x14ac:dyDescent="0.2">
      <c r="G2808" s="333"/>
      <c r="H2808" s="333"/>
      <c r="I2808" s="333"/>
      <c r="J2808" s="333"/>
    </row>
    <row r="2809" spans="7:10" x14ac:dyDescent="0.2">
      <c r="G2809" s="333"/>
      <c r="H2809" s="333"/>
      <c r="I2809" s="333"/>
      <c r="J2809" s="333"/>
    </row>
    <row r="2810" spans="7:10" x14ac:dyDescent="0.2">
      <c r="G2810" s="333"/>
      <c r="H2810" s="333"/>
      <c r="I2810" s="333"/>
      <c r="J2810" s="333"/>
    </row>
    <row r="2811" spans="7:10" x14ac:dyDescent="0.2">
      <c r="G2811" s="333"/>
      <c r="H2811" s="333"/>
      <c r="I2811" s="333"/>
      <c r="J2811" s="333"/>
    </row>
    <row r="2812" spans="7:10" x14ac:dyDescent="0.2">
      <c r="G2812" s="333"/>
      <c r="H2812" s="333"/>
      <c r="I2812" s="333"/>
      <c r="J2812" s="333"/>
    </row>
    <row r="2813" spans="7:10" x14ac:dyDescent="0.2">
      <c r="G2813" s="333"/>
      <c r="H2813" s="333"/>
      <c r="I2813" s="333"/>
      <c r="J2813" s="333"/>
    </row>
    <row r="2814" spans="7:10" x14ac:dyDescent="0.2">
      <c r="G2814" s="333"/>
      <c r="H2814" s="333"/>
      <c r="I2814" s="333"/>
      <c r="J2814" s="333"/>
    </row>
    <row r="2815" spans="7:10" x14ac:dyDescent="0.2">
      <c r="G2815" s="333"/>
      <c r="H2815" s="333"/>
      <c r="I2815" s="333"/>
      <c r="J2815" s="333"/>
    </row>
    <row r="2816" spans="7:10" x14ac:dyDescent="0.2">
      <c r="G2816" s="333"/>
      <c r="H2816" s="333"/>
      <c r="I2816" s="333"/>
      <c r="J2816" s="333"/>
    </row>
    <row r="2817" spans="7:10" x14ac:dyDescent="0.2">
      <c r="G2817" s="333"/>
      <c r="H2817" s="333"/>
      <c r="I2817" s="333"/>
      <c r="J2817" s="333"/>
    </row>
    <row r="2818" spans="7:10" x14ac:dyDescent="0.2">
      <c r="G2818" s="333"/>
      <c r="H2818" s="333"/>
      <c r="I2818" s="333"/>
      <c r="J2818" s="333"/>
    </row>
    <row r="2819" spans="7:10" x14ac:dyDescent="0.2">
      <c r="G2819" s="333"/>
      <c r="H2819" s="333"/>
      <c r="I2819" s="333"/>
      <c r="J2819" s="333"/>
    </row>
    <row r="2820" spans="7:10" x14ac:dyDescent="0.2">
      <c r="G2820" s="333"/>
      <c r="H2820" s="333"/>
      <c r="I2820" s="333"/>
      <c r="J2820" s="333"/>
    </row>
    <row r="2821" spans="7:10" x14ac:dyDescent="0.2">
      <c r="G2821" s="333"/>
      <c r="H2821" s="333"/>
      <c r="I2821" s="333"/>
      <c r="J2821" s="333"/>
    </row>
    <row r="2822" spans="7:10" x14ac:dyDescent="0.2">
      <c r="G2822" s="333"/>
      <c r="H2822" s="333"/>
      <c r="I2822" s="333"/>
      <c r="J2822" s="333"/>
    </row>
    <row r="2823" spans="7:10" x14ac:dyDescent="0.2">
      <c r="G2823" s="333"/>
      <c r="H2823" s="333"/>
      <c r="I2823" s="333"/>
      <c r="J2823" s="333"/>
    </row>
    <row r="2824" spans="7:10" x14ac:dyDescent="0.2">
      <c r="G2824" s="333"/>
      <c r="H2824" s="333"/>
      <c r="I2824" s="333"/>
      <c r="J2824" s="333"/>
    </row>
    <row r="2825" spans="7:10" x14ac:dyDescent="0.2">
      <c r="G2825" s="333"/>
      <c r="H2825" s="333"/>
      <c r="I2825" s="333"/>
      <c r="J2825" s="333"/>
    </row>
    <row r="2826" spans="7:10" x14ac:dyDescent="0.2">
      <c r="G2826" s="333"/>
      <c r="H2826" s="333"/>
      <c r="I2826" s="333"/>
      <c r="J2826" s="333"/>
    </row>
    <row r="2827" spans="7:10" x14ac:dyDescent="0.2">
      <c r="G2827" s="333"/>
      <c r="H2827" s="333"/>
      <c r="I2827" s="333"/>
      <c r="J2827" s="333"/>
    </row>
    <row r="2828" spans="7:10" x14ac:dyDescent="0.2">
      <c r="G2828" s="333"/>
      <c r="H2828" s="333"/>
      <c r="I2828" s="333"/>
      <c r="J2828" s="333"/>
    </row>
    <row r="2829" spans="7:10" x14ac:dyDescent="0.2">
      <c r="G2829" s="333"/>
      <c r="H2829" s="333"/>
      <c r="I2829" s="333"/>
      <c r="J2829" s="333"/>
    </row>
    <row r="2830" spans="7:10" x14ac:dyDescent="0.2">
      <c r="G2830" s="333"/>
      <c r="H2830" s="333"/>
      <c r="I2830" s="333"/>
      <c r="J2830" s="333"/>
    </row>
    <row r="2831" spans="7:10" x14ac:dyDescent="0.2">
      <c r="G2831" s="333"/>
      <c r="H2831" s="333"/>
      <c r="I2831" s="333"/>
      <c r="J2831" s="333"/>
    </row>
    <row r="2832" spans="7:10" x14ac:dyDescent="0.2">
      <c r="G2832" s="333"/>
      <c r="H2832" s="333"/>
      <c r="I2832" s="333"/>
      <c r="J2832" s="333"/>
    </row>
    <row r="2833" spans="7:10" x14ac:dyDescent="0.2">
      <c r="G2833" s="333"/>
      <c r="H2833" s="333"/>
      <c r="I2833" s="333"/>
      <c r="J2833" s="333"/>
    </row>
    <row r="2834" spans="7:10" x14ac:dyDescent="0.2">
      <c r="G2834" s="333"/>
      <c r="H2834" s="333"/>
      <c r="I2834" s="333"/>
      <c r="J2834" s="333"/>
    </row>
    <row r="2835" spans="7:10" x14ac:dyDescent="0.2">
      <c r="G2835" s="333"/>
      <c r="H2835" s="333"/>
      <c r="I2835" s="333"/>
      <c r="J2835" s="333"/>
    </row>
    <row r="2836" spans="7:10" x14ac:dyDescent="0.2">
      <c r="G2836" s="333"/>
      <c r="H2836" s="333"/>
      <c r="I2836" s="333"/>
      <c r="J2836" s="333"/>
    </row>
    <row r="2837" spans="7:10" x14ac:dyDescent="0.2">
      <c r="G2837" s="333"/>
      <c r="H2837" s="333"/>
      <c r="I2837" s="333"/>
      <c r="J2837" s="333"/>
    </row>
    <row r="2838" spans="7:10" x14ac:dyDescent="0.2">
      <c r="G2838" s="333"/>
      <c r="H2838" s="333"/>
      <c r="I2838" s="333"/>
      <c r="J2838" s="333"/>
    </row>
    <row r="2839" spans="7:10" x14ac:dyDescent="0.2">
      <c r="G2839" s="333"/>
      <c r="H2839" s="333"/>
      <c r="I2839" s="333"/>
      <c r="J2839" s="333"/>
    </row>
    <row r="2840" spans="7:10" x14ac:dyDescent="0.2">
      <c r="G2840" s="333"/>
      <c r="H2840" s="333"/>
      <c r="I2840" s="333"/>
      <c r="J2840" s="333"/>
    </row>
    <row r="2841" spans="7:10" x14ac:dyDescent="0.2">
      <c r="G2841" s="333"/>
      <c r="H2841" s="333"/>
      <c r="I2841" s="333"/>
      <c r="J2841" s="333"/>
    </row>
    <row r="2842" spans="7:10" x14ac:dyDescent="0.2">
      <c r="G2842" s="333"/>
      <c r="H2842" s="333"/>
      <c r="I2842" s="333"/>
      <c r="J2842" s="333"/>
    </row>
    <row r="2843" spans="7:10" x14ac:dyDescent="0.2">
      <c r="G2843" s="333"/>
      <c r="H2843" s="333"/>
      <c r="I2843" s="333"/>
      <c r="J2843" s="333"/>
    </row>
    <row r="2844" spans="7:10" x14ac:dyDescent="0.2">
      <c r="G2844" s="333"/>
      <c r="H2844" s="333"/>
      <c r="I2844" s="333"/>
      <c r="J2844" s="333"/>
    </row>
    <row r="2845" spans="7:10" x14ac:dyDescent="0.2">
      <c r="G2845" s="333"/>
      <c r="H2845" s="333"/>
      <c r="I2845" s="333"/>
      <c r="J2845" s="333"/>
    </row>
    <row r="2846" spans="7:10" x14ac:dyDescent="0.2">
      <c r="G2846" s="333"/>
      <c r="H2846" s="333"/>
      <c r="I2846" s="333"/>
      <c r="J2846" s="333"/>
    </row>
    <row r="2847" spans="7:10" x14ac:dyDescent="0.2">
      <c r="G2847" s="333"/>
      <c r="H2847" s="333"/>
      <c r="I2847" s="333"/>
      <c r="J2847" s="333"/>
    </row>
    <row r="2848" spans="7:10" x14ac:dyDescent="0.2">
      <c r="G2848" s="333"/>
      <c r="H2848" s="333"/>
      <c r="I2848" s="333"/>
      <c r="J2848" s="333"/>
    </row>
    <row r="2849" spans="7:10" x14ac:dyDescent="0.2">
      <c r="G2849" s="333"/>
      <c r="H2849" s="333"/>
      <c r="I2849" s="333"/>
      <c r="J2849" s="333"/>
    </row>
    <row r="2850" spans="7:10" x14ac:dyDescent="0.2">
      <c r="G2850" s="333"/>
      <c r="H2850" s="333"/>
      <c r="I2850" s="333"/>
      <c r="J2850" s="333"/>
    </row>
    <row r="2851" spans="7:10" x14ac:dyDescent="0.2">
      <c r="G2851" s="333"/>
      <c r="H2851" s="333"/>
      <c r="I2851" s="333"/>
      <c r="J2851" s="333"/>
    </row>
    <row r="2852" spans="7:10" x14ac:dyDescent="0.2">
      <c r="G2852" s="333"/>
      <c r="H2852" s="333"/>
      <c r="I2852" s="333"/>
      <c r="J2852" s="333"/>
    </row>
    <row r="2853" spans="7:10" x14ac:dyDescent="0.2">
      <c r="G2853" s="333"/>
      <c r="H2853" s="333"/>
      <c r="I2853" s="333"/>
      <c r="J2853" s="333"/>
    </row>
    <row r="2854" spans="7:10" x14ac:dyDescent="0.2">
      <c r="G2854" s="333"/>
      <c r="H2854" s="333"/>
      <c r="I2854" s="333"/>
      <c r="J2854" s="333"/>
    </row>
    <row r="2855" spans="7:10" x14ac:dyDescent="0.2">
      <c r="G2855" s="333"/>
      <c r="H2855" s="333"/>
      <c r="I2855" s="333"/>
      <c r="J2855" s="333"/>
    </row>
    <row r="2856" spans="7:10" x14ac:dyDescent="0.2">
      <c r="G2856" s="333"/>
      <c r="H2856" s="333"/>
      <c r="I2856" s="333"/>
      <c r="J2856" s="333"/>
    </row>
    <row r="2857" spans="7:10" x14ac:dyDescent="0.2">
      <c r="G2857" s="333"/>
      <c r="H2857" s="333"/>
      <c r="I2857" s="333"/>
      <c r="J2857" s="333"/>
    </row>
    <row r="2858" spans="7:10" x14ac:dyDescent="0.2">
      <c r="G2858" s="333"/>
      <c r="H2858" s="333"/>
      <c r="I2858" s="333"/>
      <c r="J2858" s="333"/>
    </row>
    <row r="2859" spans="7:10" x14ac:dyDescent="0.2">
      <c r="G2859" s="333"/>
      <c r="H2859" s="333"/>
      <c r="I2859" s="333"/>
      <c r="J2859" s="333"/>
    </row>
    <row r="2860" spans="7:10" x14ac:dyDescent="0.2">
      <c r="G2860" s="333"/>
      <c r="H2860" s="333"/>
      <c r="I2860" s="333"/>
      <c r="J2860" s="333"/>
    </row>
    <row r="2861" spans="7:10" x14ac:dyDescent="0.2">
      <c r="G2861" s="333"/>
      <c r="H2861" s="333"/>
      <c r="I2861" s="333"/>
      <c r="J2861" s="333"/>
    </row>
    <row r="2862" spans="7:10" x14ac:dyDescent="0.2">
      <c r="G2862" s="333"/>
      <c r="H2862" s="333"/>
      <c r="I2862" s="333"/>
      <c r="J2862" s="333"/>
    </row>
    <row r="2863" spans="7:10" x14ac:dyDescent="0.2">
      <c r="G2863" s="333"/>
      <c r="H2863" s="333"/>
      <c r="I2863" s="333"/>
      <c r="J2863" s="333"/>
    </row>
    <row r="2864" spans="7:10" x14ac:dyDescent="0.2">
      <c r="G2864" s="333"/>
      <c r="H2864" s="333"/>
      <c r="I2864" s="333"/>
      <c r="J2864" s="333"/>
    </row>
    <row r="2865" spans="7:10" x14ac:dyDescent="0.2">
      <c r="G2865" s="333"/>
      <c r="H2865" s="333"/>
      <c r="I2865" s="333"/>
      <c r="J2865" s="333"/>
    </row>
    <row r="2866" spans="7:10" x14ac:dyDescent="0.2">
      <c r="G2866" s="333"/>
      <c r="H2866" s="333"/>
      <c r="I2866" s="333"/>
      <c r="J2866" s="333"/>
    </row>
    <row r="2867" spans="7:10" x14ac:dyDescent="0.2">
      <c r="G2867" s="333"/>
      <c r="H2867" s="333"/>
      <c r="I2867" s="333"/>
      <c r="J2867" s="333"/>
    </row>
    <row r="2868" spans="7:10" x14ac:dyDescent="0.2">
      <c r="G2868" s="333"/>
      <c r="H2868" s="333"/>
      <c r="I2868" s="333"/>
      <c r="J2868" s="333"/>
    </row>
    <row r="2869" spans="7:10" x14ac:dyDescent="0.2">
      <c r="G2869" s="333"/>
      <c r="H2869" s="333"/>
      <c r="I2869" s="333"/>
      <c r="J2869" s="333"/>
    </row>
    <row r="2870" spans="7:10" x14ac:dyDescent="0.2">
      <c r="G2870" s="333"/>
      <c r="H2870" s="333"/>
      <c r="I2870" s="333"/>
      <c r="J2870" s="333"/>
    </row>
    <row r="2871" spans="7:10" x14ac:dyDescent="0.2">
      <c r="G2871" s="333"/>
      <c r="H2871" s="333"/>
      <c r="I2871" s="333"/>
      <c r="J2871" s="333"/>
    </row>
    <row r="2872" spans="7:10" x14ac:dyDescent="0.2">
      <c r="G2872" s="333"/>
      <c r="H2872" s="333"/>
      <c r="I2872" s="333"/>
      <c r="J2872" s="333"/>
    </row>
    <row r="2873" spans="7:10" x14ac:dyDescent="0.2">
      <c r="G2873" s="333"/>
      <c r="H2873" s="333"/>
      <c r="I2873" s="333"/>
      <c r="J2873" s="333"/>
    </row>
    <row r="2874" spans="7:10" x14ac:dyDescent="0.2">
      <c r="G2874" s="333"/>
      <c r="H2874" s="333"/>
      <c r="I2874" s="333"/>
      <c r="J2874" s="333"/>
    </row>
    <row r="2875" spans="7:10" x14ac:dyDescent="0.2">
      <c r="G2875" s="333"/>
      <c r="H2875" s="333"/>
      <c r="I2875" s="333"/>
      <c r="J2875" s="333"/>
    </row>
    <row r="2876" spans="7:10" x14ac:dyDescent="0.2">
      <c r="G2876" s="333"/>
      <c r="H2876" s="333"/>
      <c r="I2876" s="333"/>
      <c r="J2876" s="333"/>
    </row>
    <row r="2877" spans="7:10" x14ac:dyDescent="0.2">
      <c r="G2877" s="333"/>
      <c r="H2877" s="333"/>
      <c r="I2877" s="333"/>
      <c r="J2877" s="333"/>
    </row>
    <row r="2878" spans="7:10" x14ac:dyDescent="0.2">
      <c r="G2878" s="333"/>
      <c r="H2878" s="333"/>
      <c r="I2878" s="333"/>
      <c r="J2878" s="333"/>
    </row>
    <row r="2879" spans="7:10" x14ac:dyDescent="0.2">
      <c r="G2879" s="333"/>
      <c r="H2879" s="333"/>
      <c r="I2879" s="333"/>
      <c r="J2879" s="333"/>
    </row>
    <row r="2880" spans="7:10" x14ac:dyDescent="0.2">
      <c r="G2880" s="333"/>
      <c r="H2880" s="333"/>
      <c r="I2880" s="333"/>
      <c r="J2880" s="333"/>
    </row>
    <row r="2881" spans="7:10" x14ac:dyDescent="0.2">
      <c r="G2881" s="333"/>
      <c r="H2881" s="333"/>
      <c r="I2881" s="333"/>
      <c r="J2881" s="333"/>
    </row>
    <row r="2882" spans="7:10" x14ac:dyDescent="0.2">
      <c r="G2882" s="333"/>
      <c r="H2882" s="333"/>
      <c r="I2882" s="333"/>
      <c r="J2882" s="333"/>
    </row>
    <row r="2883" spans="7:10" x14ac:dyDescent="0.2">
      <c r="G2883" s="333"/>
      <c r="H2883" s="333"/>
      <c r="I2883" s="333"/>
      <c r="J2883" s="333"/>
    </row>
    <row r="2884" spans="7:10" x14ac:dyDescent="0.2">
      <c r="G2884" s="333"/>
      <c r="H2884" s="333"/>
      <c r="I2884" s="333"/>
      <c r="J2884" s="333"/>
    </row>
    <row r="2885" spans="7:10" x14ac:dyDescent="0.2">
      <c r="G2885" s="333"/>
      <c r="H2885" s="333"/>
      <c r="I2885" s="333"/>
      <c r="J2885" s="333"/>
    </row>
    <row r="2886" spans="7:10" x14ac:dyDescent="0.2">
      <c r="G2886" s="333"/>
      <c r="H2886" s="333"/>
      <c r="I2886" s="333"/>
      <c r="J2886" s="333"/>
    </row>
    <row r="2887" spans="7:10" x14ac:dyDescent="0.2">
      <c r="G2887" s="333"/>
      <c r="H2887" s="333"/>
      <c r="I2887" s="333"/>
      <c r="J2887" s="333"/>
    </row>
    <row r="2888" spans="7:10" x14ac:dyDescent="0.2">
      <c r="G2888" s="333"/>
      <c r="H2888" s="333"/>
      <c r="I2888" s="333"/>
      <c r="J2888" s="333"/>
    </row>
    <row r="2889" spans="7:10" x14ac:dyDescent="0.2">
      <c r="G2889" s="333"/>
      <c r="H2889" s="333"/>
      <c r="I2889" s="333"/>
      <c r="J2889" s="333"/>
    </row>
    <row r="2890" spans="7:10" x14ac:dyDescent="0.2">
      <c r="G2890" s="333"/>
      <c r="H2890" s="333"/>
      <c r="I2890" s="333"/>
      <c r="J2890" s="333"/>
    </row>
    <row r="2891" spans="7:10" x14ac:dyDescent="0.2">
      <c r="G2891" s="333"/>
      <c r="H2891" s="333"/>
      <c r="I2891" s="333"/>
      <c r="J2891" s="333"/>
    </row>
    <row r="2892" spans="7:10" x14ac:dyDescent="0.2">
      <c r="G2892" s="333"/>
      <c r="H2892" s="333"/>
      <c r="I2892" s="333"/>
      <c r="J2892" s="333"/>
    </row>
    <row r="2893" spans="7:10" x14ac:dyDescent="0.2">
      <c r="G2893" s="333"/>
      <c r="H2893" s="333"/>
      <c r="I2893" s="333"/>
      <c r="J2893" s="333"/>
    </row>
    <row r="2894" spans="7:10" x14ac:dyDescent="0.2">
      <c r="G2894" s="333"/>
      <c r="H2894" s="333"/>
      <c r="I2894" s="333"/>
      <c r="J2894" s="333"/>
    </row>
    <row r="2895" spans="7:10" x14ac:dyDescent="0.2">
      <c r="G2895" s="333"/>
      <c r="H2895" s="333"/>
      <c r="I2895" s="333"/>
      <c r="J2895" s="333"/>
    </row>
    <row r="2896" spans="7:10" x14ac:dyDescent="0.2">
      <c r="G2896" s="333"/>
      <c r="H2896" s="333"/>
      <c r="I2896" s="333"/>
      <c r="J2896" s="333"/>
    </row>
    <row r="2897" spans="7:10" x14ac:dyDescent="0.2">
      <c r="G2897" s="333"/>
      <c r="H2897" s="333"/>
      <c r="I2897" s="333"/>
      <c r="J2897" s="333"/>
    </row>
    <row r="2898" spans="7:10" x14ac:dyDescent="0.2">
      <c r="G2898" s="333"/>
      <c r="H2898" s="333"/>
      <c r="I2898" s="333"/>
      <c r="J2898" s="333"/>
    </row>
    <row r="2899" spans="7:10" x14ac:dyDescent="0.2">
      <c r="G2899" s="333"/>
      <c r="H2899" s="333"/>
      <c r="I2899" s="333"/>
      <c r="J2899" s="333"/>
    </row>
    <row r="2900" spans="7:10" x14ac:dyDescent="0.2">
      <c r="G2900" s="333"/>
      <c r="H2900" s="333"/>
      <c r="I2900" s="333"/>
      <c r="J2900" s="333"/>
    </row>
    <row r="2901" spans="7:10" x14ac:dyDescent="0.2">
      <c r="G2901" s="333"/>
      <c r="H2901" s="333"/>
      <c r="I2901" s="333"/>
      <c r="J2901" s="333"/>
    </row>
    <row r="2902" spans="7:10" x14ac:dyDescent="0.2">
      <c r="G2902" s="333"/>
      <c r="H2902" s="333"/>
      <c r="I2902" s="333"/>
      <c r="J2902" s="333"/>
    </row>
    <row r="2903" spans="7:10" x14ac:dyDescent="0.2">
      <c r="G2903" s="333"/>
      <c r="H2903" s="333"/>
      <c r="I2903" s="333"/>
      <c r="J2903" s="333"/>
    </row>
    <row r="2904" spans="7:10" x14ac:dyDescent="0.2">
      <c r="G2904" s="333"/>
      <c r="H2904" s="333"/>
      <c r="I2904" s="333"/>
      <c r="J2904" s="333"/>
    </row>
    <row r="2905" spans="7:10" x14ac:dyDescent="0.2">
      <c r="G2905" s="333"/>
      <c r="H2905" s="333"/>
      <c r="I2905" s="333"/>
      <c r="J2905" s="333"/>
    </row>
    <row r="2906" spans="7:10" x14ac:dyDescent="0.2">
      <c r="G2906" s="333"/>
      <c r="H2906" s="333"/>
      <c r="I2906" s="333"/>
      <c r="J2906" s="333"/>
    </row>
    <row r="2907" spans="7:10" x14ac:dyDescent="0.2">
      <c r="G2907" s="333"/>
      <c r="H2907" s="333"/>
      <c r="I2907" s="333"/>
      <c r="J2907" s="333"/>
    </row>
    <row r="2908" spans="7:10" x14ac:dyDescent="0.2">
      <c r="G2908" s="333"/>
      <c r="H2908" s="333"/>
      <c r="I2908" s="333"/>
      <c r="J2908" s="333"/>
    </row>
    <row r="2909" spans="7:10" x14ac:dyDescent="0.2">
      <c r="G2909" s="333"/>
      <c r="H2909" s="333"/>
      <c r="I2909" s="333"/>
      <c r="J2909" s="333"/>
    </row>
    <row r="2910" spans="7:10" x14ac:dyDescent="0.2">
      <c r="G2910" s="333"/>
      <c r="H2910" s="333"/>
      <c r="I2910" s="333"/>
      <c r="J2910" s="333"/>
    </row>
    <row r="2911" spans="7:10" x14ac:dyDescent="0.2">
      <c r="G2911" s="333"/>
      <c r="H2911" s="333"/>
      <c r="I2911" s="333"/>
      <c r="J2911" s="333"/>
    </row>
    <row r="2912" spans="7:10" x14ac:dyDescent="0.2">
      <c r="G2912" s="333"/>
      <c r="H2912" s="333"/>
      <c r="I2912" s="333"/>
      <c r="J2912" s="333"/>
    </row>
    <row r="2913" spans="7:10" x14ac:dyDescent="0.2">
      <c r="G2913" s="333"/>
      <c r="H2913" s="333"/>
      <c r="I2913" s="333"/>
      <c r="J2913" s="333"/>
    </row>
    <row r="2914" spans="7:10" x14ac:dyDescent="0.2">
      <c r="G2914" s="333"/>
      <c r="H2914" s="333"/>
      <c r="I2914" s="333"/>
      <c r="J2914" s="333"/>
    </row>
    <row r="2915" spans="7:10" x14ac:dyDescent="0.2">
      <c r="G2915" s="333"/>
      <c r="H2915" s="333"/>
      <c r="I2915" s="333"/>
      <c r="J2915" s="333"/>
    </row>
    <row r="2916" spans="7:10" x14ac:dyDescent="0.2">
      <c r="G2916" s="333"/>
      <c r="H2916" s="333"/>
      <c r="I2916" s="333"/>
      <c r="J2916" s="333"/>
    </row>
    <row r="2917" spans="7:10" x14ac:dyDescent="0.2">
      <c r="G2917" s="333"/>
      <c r="H2917" s="333"/>
      <c r="I2917" s="333"/>
      <c r="J2917" s="333"/>
    </row>
    <row r="2918" spans="7:10" x14ac:dyDescent="0.2">
      <c r="G2918" s="333"/>
      <c r="H2918" s="333"/>
      <c r="I2918" s="333"/>
      <c r="J2918" s="333"/>
    </row>
    <row r="2919" spans="7:10" x14ac:dyDescent="0.2">
      <c r="G2919" s="333"/>
      <c r="H2919" s="333"/>
      <c r="I2919" s="333"/>
      <c r="J2919" s="333"/>
    </row>
    <row r="2920" spans="7:10" x14ac:dyDescent="0.2">
      <c r="G2920" s="333"/>
      <c r="H2920" s="333"/>
      <c r="I2920" s="333"/>
      <c r="J2920" s="333"/>
    </row>
    <row r="2921" spans="7:10" x14ac:dyDescent="0.2">
      <c r="G2921" s="333"/>
      <c r="H2921" s="333"/>
      <c r="I2921" s="333"/>
      <c r="J2921" s="333"/>
    </row>
    <row r="2922" spans="7:10" x14ac:dyDescent="0.2">
      <c r="G2922" s="333"/>
      <c r="H2922" s="333"/>
      <c r="I2922" s="333"/>
      <c r="J2922" s="333"/>
    </row>
    <row r="2923" spans="7:10" x14ac:dyDescent="0.2">
      <c r="G2923" s="333"/>
      <c r="H2923" s="333"/>
      <c r="I2923" s="333"/>
      <c r="J2923" s="333"/>
    </row>
    <row r="2924" spans="7:10" x14ac:dyDescent="0.2">
      <c r="G2924" s="333"/>
      <c r="H2924" s="333"/>
      <c r="I2924" s="333"/>
      <c r="J2924" s="333"/>
    </row>
    <row r="2925" spans="7:10" x14ac:dyDescent="0.2">
      <c r="G2925" s="333"/>
      <c r="H2925" s="333"/>
      <c r="I2925" s="333"/>
      <c r="J2925" s="333"/>
    </row>
    <row r="2926" spans="7:10" x14ac:dyDescent="0.2">
      <c r="G2926" s="333"/>
      <c r="H2926" s="333"/>
      <c r="I2926" s="333"/>
      <c r="J2926" s="333"/>
    </row>
    <row r="2927" spans="7:10" x14ac:dyDescent="0.2">
      <c r="G2927" s="333"/>
      <c r="H2927" s="333"/>
      <c r="I2927" s="333"/>
      <c r="J2927" s="333"/>
    </row>
    <row r="2928" spans="7:10" x14ac:dyDescent="0.2">
      <c r="G2928" s="333"/>
      <c r="H2928" s="333"/>
      <c r="I2928" s="333"/>
      <c r="J2928" s="333"/>
    </row>
    <row r="2929" spans="7:10" x14ac:dyDescent="0.2">
      <c r="G2929" s="333"/>
      <c r="H2929" s="333"/>
      <c r="I2929" s="333"/>
      <c r="J2929" s="333"/>
    </row>
    <row r="2930" spans="7:10" x14ac:dyDescent="0.2">
      <c r="G2930" s="333"/>
      <c r="H2930" s="333"/>
      <c r="I2930" s="333"/>
      <c r="J2930" s="333"/>
    </row>
    <row r="2931" spans="7:10" x14ac:dyDescent="0.2">
      <c r="G2931" s="333"/>
      <c r="H2931" s="333"/>
      <c r="I2931" s="333"/>
      <c r="J2931" s="333"/>
    </row>
    <row r="2932" spans="7:10" x14ac:dyDescent="0.2">
      <c r="G2932" s="333"/>
      <c r="H2932" s="333"/>
      <c r="I2932" s="333"/>
      <c r="J2932" s="333"/>
    </row>
    <row r="2933" spans="7:10" x14ac:dyDescent="0.2">
      <c r="G2933" s="333"/>
      <c r="H2933" s="333"/>
      <c r="I2933" s="333"/>
      <c r="J2933" s="333"/>
    </row>
    <row r="2934" spans="7:10" x14ac:dyDescent="0.2">
      <c r="G2934" s="333"/>
      <c r="H2934" s="333"/>
      <c r="I2934" s="333"/>
      <c r="J2934" s="333"/>
    </row>
    <row r="2935" spans="7:10" x14ac:dyDescent="0.2">
      <c r="G2935" s="333"/>
      <c r="H2935" s="333"/>
      <c r="I2935" s="333"/>
      <c r="J2935" s="333"/>
    </row>
    <row r="2936" spans="7:10" x14ac:dyDescent="0.2">
      <c r="G2936" s="333"/>
      <c r="H2936" s="333"/>
      <c r="I2936" s="333"/>
      <c r="J2936" s="333"/>
    </row>
    <row r="2937" spans="7:10" x14ac:dyDescent="0.2">
      <c r="G2937" s="333"/>
      <c r="H2937" s="333"/>
      <c r="I2937" s="333"/>
      <c r="J2937" s="333"/>
    </row>
    <row r="2938" spans="7:10" x14ac:dyDescent="0.2">
      <c r="G2938" s="333"/>
      <c r="H2938" s="333"/>
      <c r="I2938" s="333"/>
      <c r="J2938" s="333"/>
    </row>
    <row r="2939" spans="7:10" x14ac:dyDescent="0.2">
      <c r="G2939" s="333"/>
      <c r="H2939" s="333"/>
      <c r="I2939" s="333"/>
      <c r="J2939" s="333"/>
    </row>
    <row r="2940" spans="7:10" x14ac:dyDescent="0.2">
      <c r="G2940" s="333"/>
      <c r="H2940" s="333"/>
      <c r="I2940" s="333"/>
      <c r="J2940" s="333"/>
    </row>
    <row r="2941" spans="7:10" x14ac:dyDescent="0.2">
      <c r="G2941" s="333"/>
      <c r="H2941" s="333"/>
      <c r="I2941" s="333"/>
      <c r="J2941" s="333"/>
    </row>
    <row r="2942" spans="7:10" x14ac:dyDescent="0.2">
      <c r="G2942" s="333"/>
      <c r="H2942" s="333"/>
      <c r="I2942" s="333"/>
      <c r="J2942" s="333"/>
    </row>
    <row r="2943" spans="7:10" x14ac:dyDescent="0.2">
      <c r="G2943" s="333"/>
      <c r="H2943" s="333"/>
      <c r="I2943" s="333"/>
      <c r="J2943" s="333"/>
    </row>
    <row r="2944" spans="7:10" x14ac:dyDescent="0.2">
      <c r="G2944" s="333"/>
      <c r="H2944" s="333"/>
      <c r="I2944" s="333"/>
      <c r="J2944" s="333"/>
    </row>
    <row r="2945" spans="7:10" x14ac:dyDescent="0.2">
      <c r="G2945" s="333"/>
      <c r="H2945" s="333"/>
      <c r="I2945" s="333"/>
      <c r="J2945" s="333"/>
    </row>
    <row r="2946" spans="7:10" x14ac:dyDescent="0.2">
      <c r="G2946" s="333"/>
      <c r="H2946" s="333"/>
      <c r="I2946" s="333"/>
      <c r="J2946" s="333"/>
    </row>
    <row r="2947" spans="7:10" x14ac:dyDescent="0.2">
      <c r="G2947" s="333"/>
      <c r="H2947" s="333"/>
      <c r="I2947" s="333"/>
      <c r="J2947" s="333"/>
    </row>
    <row r="2948" spans="7:10" x14ac:dyDescent="0.2">
      <c r="G2948" s="333"/>
      <c r="H2948" s="333"/>
      <c r="I2948" s="333"/>
      <c r="J2948" s="333"/>
    </row>
    <row r="2949" spans="7:10" x14ac:dyDescent="0.2">
      <c r="G2949" s="333"/>
      <c r="H2949" s="333"/>
      <c r="I2949" s="333"/>
      <c r="J2949" s="333"/>
    </row>
    <row r="2950" spans="7:10" x14ac:dyDescent="0.2">
      <c r="G2950" s="333"/>
      <c r="H2950" s="333"/>
      <c r="I2950" s="333"/>
      <c r="J2950" s="333"/>
    </row>
    <row r="2951" spans="7:10" x14ac:dyDescent="0.2">
      <c r="G2951" s="333"/>
      <c r="H2951" s="333"/>
      <c r="I2951" s="333"/>
      <c r="J2951" s="333"/>
    </row>
    <row r="2952" spans="7:10" x14ac:dyDescent="0.2">
      <c r="G2952" s="333"/>
      <c r="H2952" s="333"/>
      <c r="I2952" s="333"/>
      <c r="J2952" s="333"/>
    </row>
    <row r="2953" spans="7:10" x14ac:dyDescent="0.2">
      <c r="G2953" s="333"/>
      <c r="H2953" s="333"/>
      <c r="I2953" s="333"/>
      <c r="J2953" s="333"/>
    </row>
    <row r="2954" spans="7:10" x14ac:dyDescent="0.2">
      <c r="G2954" s="333"/>
      <c r="H2954" s="333"/>
      <c r="I2954" s="333"/>
      <c r="J2954" s="333"/>
    </row>
    <row r="2955" spans="7:10" x14ac:dyDescent="0.2">
      <c r="G2955" s="333"/>
      <c r="H2955" s="333"/>
      <c r="I2955" s="333"/>
      <c r="J2955" s="333"/>
    </row>
    <row r="2956" spans="7:10" x14ac:dyDescent="0.2">
      <c r="G2956" s="333"/>
      <c r="H2956" s="333"/>
      <c r="I2956" s="333"/>
      <c r="J2956" s="333"/>
    </row>
    <row r="2957" spans="7:10" x14ac:dyDescent="0.2">
      <c r="G2957" s="333"/>
      <c r="H2957" s="333"/>
      <c r="I2957" s="333"/>
      <c r="J2957" s="333"/>
    </row>
    <row r="2958" spans="7:10" x14ac:dyDescent="0.2">
      <c r="G2958" s="333"/>
      <c r="H2958" s="333"/>
      <c r="I2958" s="333"/>
      <c r="J2958" s="333"/>
    </row>
    <row r="2959" spans="7:10" x14ac:dyDescent="0.2">
      <c r="G2959" s="333"/>
      <c r="H2959" s="333"/>
      <c r="I2959" s="333"/>
      <c r="J2959" s="333"/>
    </row>
    <row r="2960" spans="7:10" x14ac:dyDescent="0.2">
      <c r="G2960" s="333"/>
      <c r="H2960" s="333"/>
      <c r="I2960" s="333"/>
      <c r="J2960" s="333"/>
    </row>
    <row r="2961" spans="7:10" x14ac:dyDescent="0.2">
      <c r="G2961" s="333"/>
      <c r="H2961" s="333"/>
      <c r="I2961" s="333"/>
      <c r="J2961" s="333"/>
    </row>
    <row r="2962" spans="7:10" x14ac:dyDescent="0.2">
      <c r="G2962" s="333"/>
      <c r="H2962" s="333"/>
      <c r="I2962" s="333"/>
      <c r="J2962" s="333"/>
    </row>
    <row r="2963" spans="7:10" x14ac:dyDescent="0.2">
      <c r="G2963" s="333"/>
      <c r="H2963" s="333"/>
      <c r="I2963" s="333"/>
      <c r="J2963" s="333"/>
    </row>
    <row r="2964" spans="7:10" x14ac:dyDescent="0.2">
      <c r="G2964" s="333"/>
      <c r="H2964" s="333"/>
      <c r="I2964" s="333"/>
      <c r="J2964" s="333"/>
    </row>
    <row r="2965" spans="7:10" x14ac:dyDescent="0.2">
      <c r="G2965" s="333"/>
      <c r="H2965" s="333"/>
      <c r="I2965" s="333"/>
      <c r="J2965" s="333"/>
    </row>
    <row r="2966" spans="7:10" x14ac:dyDescent="0.2">
      <c r="G2966" s="333"/>
      <c r="H2966" s="333"/>
      <c r="I2966" s="333"/>
      <c r="J2966" s="333"/>
    </row>
    <row r="2967" spans="7:10" x14ac:dyDescent="0.2">
      <c r="G2967" s="333"/>
      <c r="H2967" s="333"/>
      <c r="I2967" s="333"/>
      <c r="J2967" s="333"/>
    </row>
    <row r="2968" spans="7:10" x14ac:dyDescent="0.2">
      <c r="G2968" s="333"/>
      <c r="H2968" s="333"/>
      <c r="I2968" s="333"/>
      <c r="J2968" s="333"/>
    </row>
    <row r="2969" spans="7:10" x14ac:dyDescent="0.2">
      <c r="G2969" s="333"/>
      <c r="H2969" s="333"/>
      <c r="I2969" s="333"/>
      <c r="J2969" s="333"/>
    </row>
    <row r="2970" spans="7:10" x14ac:dyDescent="0.2">
      <c r="G2970" s="333"/>
      <c r="H2970" s="333"/>
      <c r="I2970" s="333"/>
      <c r="J2970" s="333"/>
    </row>
    <row r="2971" spans="7:10" x14ac:dyDescent="0.2">
      <c r="G2971" s="333"/>
      <c r="H2971" s="333"/>
      <c r="I2971" s="333"/>
      <c r="J2971" s="333"/>
    </row>
    <row r="2972" spans="7:10" x14ac:dyDescent="0.2">
      <c r="G2972" s="333"/>
      <c r="H2972" s="333"/>
      <c r="I2972" s="333"/>
      <c r="J2972" s="333"/>
    </row>
    <row r="2973" spans="7:10" x14ac:dyDescent="0.2">
      <c r="G2973" s="333"/>
      <c r="H2973" s="333"/>
      <c r="I2973" s="333"/>
      <c r="J2973" s="333"/>
    </row>
    <row r="2974" spans="7:10" x14ac:dyDescent="0.2">
      <c r="G2974" s="333"/>
      <c r="H2974" s="333"/>
      <c r="I2974" s="333"/>
      <c r="J2974" s="333"/>
    </row>
    <row r="2975" spans="7:10" x14ac:dyDescent="0.2">
      <c r="G2975" s="333"/>
      <c r="H2975" s="333"/>
      <c r="I2975" s="333"/>
      <c r="J2975" s="333"/>
    </row>
    <row r="2976" spans="7:10" x14ac:dyDescent="0.2">
      <c r="G2976" s="333"/>
      <c r="H2976" s="333"/>
      <c r="I2976" s="333"/>
      <c r="J2976" s="333"/>
    </row>
    <row r="2977" spans="7:10" x14ac:dyDescent="0.2">
      <c r="G2977" s="333"/>
      <c r="H2977" s="333"/>
      <c r="I2977" s="333"/>
      <c r="J2977" s="333"/>
    </row>
    <row r="2978" spans="7:10" x14ac:dyDescent="0.2">
      <c r="G2978" s="333"/>
      <c r="H2978" s="333"/>
      <c r="I2978" s="333"/>
      <c r="J2978" s="333"/>
    </row>
    <row r="2979" spans="7:10" x14ac:dyDescent="0.2">
      <c r="G2979" s="333"/>
      <c r="H2979" s="333"/>
      <c r="I2979" s="333"/>
      <c r="J2979" s="333"/>
    </row>
    <row r="2980" spans="7:10" x14ac:dyDescent="0.2">
      <c r="G2980" s="333"/>
      <c r="H2980" s="333"/>
      <c r="I2980" s="333"/>
      <c r="J2980" s="333"/>
    </row>
    <row r="2981" spans="7:10" x14ac:dyDescent="0.2">
      <c r="G2981" s="333"/>
      <c r="H2981" s="333"/>
      <c r="I2981" s="333"/>
      <c r="J2981" s="333"/>
    </row>
    <row r="2982" spans="7:10" x14ac:dyDescent="0.2">
      <c r="G2982" s="333"/>
      <c r="H2982" s="333"/>
      <c r="I2982" s="333"/>
      <c r="J2982" s="333"/>
    </row>
    <row r="2983" spans="7:10" x14ac:dyDescent="0.2">
      <c r="G2983" s="333"/>
      <c r="H2983" s="333"/>
      <c r="I2983" s="333"/>
      <c r="J2983" s="333"/>
    </row>
    <row r="2984" spans="7:10" x14ac:dyDescent="0.2">
      <c r="G2984" s="333"/>
      <c r="H2984" s="333"/>
      <c r="I2984" s="333"/>
      <c r="J2984" s="333"/>
    </row>
    <row r="2985" spans="7:10" x14ac:dyDescent="0.2">
      <c r="G2985" s="333"/>
      <c r="H2985" s="333"/>
      <c r="I2985" s="333"/>
      <c r="J2985" s="333"/>
    </row>
    <row r="2986" spans="7:10" x14ac:dyDescent="0.2">
      <c r="G2986" s="333"/>
      <c r="H2986" s="333"/>
      <c r="I2986" s="333"/>
      <c r="J2986" s="333"/>
    </row>
    <row r="2987" spans="7:10" x14ac:dyDescent="0.2">
      <c r="G2987" s="333"/>
      <c r="H2987" s="333"/>
      <c r="I2987" s="333"/>
      <c r="J2987" s="333"/>
    </row>
    <row r="2988" spans="7:10" x14ac:dyDescent="0.2">
      <c r="G2988" s="333"/>
      <c r="H2988" s="333"/>
      <c r="I2988" s="333"/>
      <c r="J2988" s="333"/>
    </row>
    <row r="2989" spans="7:10" x14ac:dyDescent="0.2">
      <c r="G2989" s="333"/>
      <c r="H2989" s="333"/>
      <c r="I2989" s="333"/>
      <c r="J2989" s="333"/>
    </row>
    <row r="2990" spans="7:10" x14ac:dyDescent="0.2">
      <c r="G2990" s="333"/>
      <c r="H2990" s="333"/>
      <c r="I2990" s="333"/>
      <c r="J2990" s="333"/>
    </row>
    <row r="2991" spans="7:10" x14ac:dyDescent="0.2">
      <c r="G2991" s="333"/>
      <c r="H2991" s="333"/>
      <c r="I2991" s="333"/>
      <c r="J2991" s="333"/>
    </row>
    <row r="2992" spans="7:10" x14ac:dyDescent="0.2">
      <c r="G2992" s="333"/>
      <c r="H2992" s="333"/>
      <c r="I2992" s="333"/>
      <c r="J2992" s="333"/>
    </row>
    <row r="2993" spans="7:10" x14ac:dyDescent="0.2">
      <c r="G2993" s="333"/>
      <c r="H2993" s="333"/>
      <c r="I2993" s="333"/>
      <c r="J2993" s="333"/>
    </row>
    <row r="2994" spans="7:10" x14ac:dyDescent="0.2">
      <c r="G2994" s="333"/>
      <c r="H2994" s="333"/>
      <c r="I2994" s="333"/>
      <c r="J2994" s="333"/>
    </row>
    <row r="2995" spans="7:10" x14ac:dyDescent="0.2">
      <c r="G2995" s="333"/>
      <c r="H2995" s="333"/>
      <c r="I2995" s="333"/>
      <c r="J2995" s="333"/>
    </row>
    <row r="2996" spans="7:10" x14ac:dyDescent="0.2">
      <c r="G2996" s="333"/>
      <c r="H2996" s="333"/>
      <c r="I2996" s="333"/>
      <c r="J2996" s="333"/>
    </row>
    <row r="2997" spans="7:10" x14ac:dyDescent="0.2">
      <c r="G2997" s="333"/>
      <c r="H2997" s="333"/>
      <c r="I2997" s="333"/>
      <c r="J2997" s="333"/>
    </row>
    <row r="2998" spans="7:10" x14ac:dyDescent="0.2">
      <c r="G2998" s="333"/>
      <c r="H2998" s="333"/>
      <c r="I2998" s="333"/>
      <c r="J2998" s="333"/>
    </row>
    <row r="2999" spans="7:10" x14ac:dyDescent="0.2">
      <c r="G2999" s="333"/>
      <c r="H2999" s="333"/>
      <c r="I2999" s="333"/>
      <c r="J2999" s="333"/>
    </row>
    <row r="3000" spans="7:10" x14ac:dyDescent="0.2">
      <c r="G3000" s="333"/>
      <c r="H3000" s="333"/>
      <c r="I3000" s="333"/>
      <c r="J3000" s="333"/>
    </row>
    <row r="3001" spans="7:10" x14ac:dyDescent="0.2">
      <c r="G3001" s="333"/>
      <c r="H3001" s="333"/>
      <c r="I3001" s="333"/>
      <c r="J3001" s="333"/>
    </row>
    <row r="3002" spans="7:10" x14ac:dyDescent="0.2">
      <c r="G3002" s="333"/>
      <c r="H3002" s="333"/>
      <c r="I3002" s="333"/>
      <c r="J3002" s="333"/>
    </row>
    <row r="3003" spans="7:10" x14ac:dyDescent="0.2">
      <c r="G3003" s="333"/>
      <c r="H3003" s="333"/>
      <c r="I3003" s="333"/>
      <c r="J3003" s="333"/>
    </row>
    <row r="3004" spans="7:10" x14ac:dyDescent="0.2">
      <c r="G3004" s="333"/>
      <c r="H3004" s="333"/>
      <c r="I3004" s="333"/>
      <c r="J3004" s="333"/>
    </row>
    <row r="3005" spans="7:10" x14ac:dyDescent="0.2">
      <c r="G3005" s="333"/>
      <c r="H3005" s="333"/>
      <c r="I3005" s="333"/>
      <c r="J3005" s="333"/>
    </row>
    <row r="3006" spans="7:10" x14ac:dyDescent="0.2">
      <c r="G3006" s="333"/>
      <c r="H3006" s="333"/>
      <c r="I3006" s="333"/>
      <c r="J3006" s="333"/>
    </row>
    <row r="3007" spans="7:10" x14ac:dyDescent="0.2">
      <c r="G3007" s="333"/>
      <c r="H3007" s="333"/>
      <c r="I3007" s="333"/>
      <c r="J3007" s="333"/>
    </row>
    <row r="3008" spans="7:10" x14ac:dyDescent="0.2">
      <c r="G3008" s="333"/>
      <c r="H3008" s="333"/>
      <c r="I3008" s="333"/>
      <c r="J3008" s="333"/>
    </row>
    <row r="3009" spans="7:10" x14ac:dyDescent="0.2">
      <c r="G3009" s="333"/>
      <c r="H3009" s="333"/>
      <c r="I3009" s="333"/>
      <c r="J3009" s="333"/>
    </row>
    <row r="3010" spans="7:10" x14ac:dyDescent="0.2">
      <c r="G3010" s="333"/>
      <c r="H3010" s="333"/>
      <c r="I3010" s="333"/>
      <c r="J3010" s="333"/>
    </row>
    <row r="3011" spans="7:10" x14ac:dyDescent="0.2">
      <c r="G3011" s="333"/>
      <c r="H3011" s="333"/>
      <c r="I3011" s="333"/>
      <c r="J3011" s="333"/>
    </row>
    <row r="3012" spans="7:10" x14ac:dyDescent="0.2">
      <c r="G3012" s="333"/>
      <c r="H3012" s="333"/>
      <c r="I3012" s="333"/>
      <c r="J3012" s="333"/>
    </row>
    <row r="3013" spans="7:10" x14ac:dyDescent="0.2">
      <c r="G3013" s="333"/>
      <c r="H3013" s="333"/>
      <c r="I3013" s="333"/>
      <c r="J3013" s="333"/>
    </row>
    <row r="3014" spans="7:10" x14ac:dyDescent="0.2">
      <c r="G3014" s="333"/>
      <c r="H3014" s="333"/>
      <c r="I3014" s="333"/>
      <c r="J3014" s="333"/>
    </row>
    <row r="3015" spans="7:10" x14ac:dyDescent="0.2">
      <c r="G3015" s="333"/>
      <c r="H3015" s="333"/>
      <c r="I3015" s="333"/>
      <c r="J3015" s="333"/>
    </row>
    <row r="3016" spans="7:10" x14ac:dyDescent="0.2">
      <c r="G3016" s="333"/>
      <c r="H3016" s="333"/>
      <c r="I3016" s="333"/>
      <c r="J3016" s="333"/>
    </row>
    <row r="3017" spans="7:10" x14ac:dyDescent="0.2">
      <c r="G3017" s="333"/>
      <c r="H3017" s="333"/>
      <c r="I3017" s="333"/>
      <c r="J3017" s="333"/>
    </row>
    <row r="3018" spans="7:10" x14ac:dyDescent="0.2">
      <c r="G3018" s="333"/>
      <c r="H3018" s="333"/>
      <c r="I3018" s="333"/>
      <c r="J3018" s="333"/>
    </row>
    <row r="3019" spans="7:10" x14ac:dyDescent="0.2">
      <c r="G3019" s="333"/>
      <c r="H3019" s="333"/>
      <c r="I3019" s="333"/>
      <c r="J3019" s="333"/>
    </row>
    <row r="3020" spans="7:10" x14ac:dyDescent="0.2">
      <c r="G3020" s="333"/>
      <c r="H3020" s="333"/>
      <c r="I3020" s="333"/>
      <c r="J3020" s="333"/>
    </row>
    <row r="3021" spans="7:10" x14ac:dyDescent="0.2">
      <c r="G3021" s="333"/>
      <c r="H3021" s="333"/>
      <c r="I3021" s="333"/>
      <c r="J3021" s="333"/>
    </row>
    <row r="3022" spans="7:10" x14ac:dyDescent="0.2">
      <c r="G3022" s="333"/>
      <c r="H3022" s="333"/>
      <c r="I3022" s="333"/>
      <c r="J3022" s="333"/>
    </row>
    <row r="3023" spans="7:10" x14ac:dyDescent="0.2">
      <c r="G3023" s="333"/>
      <c r="H3023" s="333"/>
      <c r="I3023" s="333"/>
      <c r="J3023" s="333"/>
    </row>
    <row r="3024" spans="7:10" x14ac:dyDescent="0.2">
      <c r="G3024" s="333"/>
      <c r="H3024" s="333"/>
      <c r="I3024" s="333"/>
      <c r="J3024" s="333"/>
    </row>
    <row r="3025" spans="7:10" x14ac:dyDescent="0.2">
      <c r="G3025" s="333"/>
      <c r="H3025" s="333"/>
      <c r="I3025" s="333"/>
      <c r="J3025" s="333"/>
    </row>
    <row r="3026" spans="7:10" x14ac:dyDescent="0.2">
      <c r="G3026" s="333"/>
      <c r="H3026" s="333"/>
      <c r="I3026" s="333"/>
      <c r="J3026" s="333"/>
    </row>
    <row r="3027" spans="7:10" x14ac:dyDescent="0.2">
      <c r="G3027" s="333"/>
      <c r="H3027" s="333"/>
      <c r="I3027" s="333"/>
      <c r="J3027" s="333"/>
    </row>
    <row r="3028" spans="7:10" x14ac:dyDescent="0.2">
      <c r="G3028" s="333"/>
      <c r="H3028" s="333"/>
      <c r="I3028" s="333"/>
      <c r="J3028" s="333"/>
    </row>
    <row r="3029" spans="7:10" x14ac:dyDescent="0.2">
      <c r="G3029" s="333"/>
      <c r="H3029" s="333"/>
      <c r="I3029" s="333"/>
      <c r="J3029" s="333"/>
    </row>
    <row r="3030" spans="7:10" x14ac:dyDescent="0.2">
      <c r="G3030" s="333"/>
      <c r="H3030" s="333"/>
      <c r="I3030" s="333"/>
      <c r="J3030" s="333"/>
    </row>
    <row r="3031" spans="7:10" x14ac:dyDescent="0.2">
      <c r="G3031" s="333"/>
      <c r="H3031" s="333"/>
      <c r="I3031" s="333"/>
      <c r="J3031" s="333"/>
    </row>
    <row r="3032" spans="7:10" x14ac:dyDescent="0.2">
      <c r="G3032" s="333"/>
      <c r="H3032" s="333"/>
      <c r="I3032" s="333"/>
      <c r="J3032" s="333"/>
    </row>
    <row r="3033" spans="7:10" x14ac:dyDescent="0.2">
      <c r="G3033" s="333"/>
      <c r="H3033" s="333"/>
      <c r="I3033" s="333"/>
      <c r="J3033" s="333"/>
    </row>
    <row r="3034" spans="7:10" x14ac:dyDescent="0.2">
      <c r="G3034" s="333"/>
      <c r="H3034" s="333"/>
      <c r="I3034" s="333"/>
      <c r="J3034" s="333"/>
    </row>
    <row r="3035" spans="7:10" x14ac:dyDescent="0.2">
      <c r="G3035" s="333"/>
      <c r="H3035" s="333"/>
      <c r="I3035" s="333"/>
      <c r="J3035" s="333"/>
    </row>
    <row r="3036" spans="7:10" x14ac:dyDescent="0.2">
      <c r="G3036" s="333"/>
      <c r="H3036" s="333"/>
      <c r="I3036" s="333"/>
      <c r="J3036" s="333"/>
    </row>
    <row r="3037" spans="7:10" x14ac:dyDescent="0.2">
      <c r="G3037" s="333"/>
      <c r="H3037" s="333"/>
      <c r="I3037" s="333"/>
      <c r="J3037" s="333"/>
    </row>
    <row r="3038" spans="7:10" x14ac:dyDescent="0.2">
      <c r="G3038" s="333"/>
      <c r="H3038" s="333"/>
      <c r="I3038" s="333"/>
      <c r="J3038" s="333"/>
    </row>
    <row r="3039" spans="7:10" x14ac:dyDescent="0.2">
      <c r="G3039" s="333"/>
      <c r="H3039" s="333"/>
      <c r="I3039" s="333"/>
      <c r="J3039" s="333"/>
    </row>
    <row r="3040" spans="7:10" x14ac:dyDescent="0.2">
      <c r="G3040" s="333"/>
      <c r="H3040" s="333"/>
      <c r="I3040" s="333"/>
      <c r="J3040" s="333"/>
    </row>
    <row r="3041" spans="7:10" x14ac:dyDescent="0.2">
      <c r="G3041" s="333"/>
      <c r="H3041" s="333"/>
      <c r="I3041" s="333"/>
      <c r="J3041" s="333"/>
    </row>
    <row r="3042" spans="7:10" x14ac:dyDescent="0.2">
      <c r="G3042" s="333"/>
      <c r="H3042" s="333"/>
      <c r="I3042" s="333"/>
      <c r="J3042" s="333"/>
    </row>
    <row r="3043" spans="7:10" x14ac:dyDescent="0.2">
      <c r="G3043" s="333"/>
      <c r="H3043" s="333"/>
      <c r="I3043" s="333"/>
      <c r="J3043" s="333"/>
    </row>
    <row r="3044" spans="7:10" x14ac:dyDescent="0.2">
      <c r="G3044" s="333"/>
      <c r="H3044" s="333"/>
      <c r="I3044" s="333"/>
      <c r="J3044" s="333"/>
    </row>
    <row r="3045" spans="7:10" x14ac:dyDescent="0.2">
      <c r="G3045" s="333"/>
      <c r="H3045" s="333"/>
      <c r="I3045" s="333"/>
      <c r="J3045" s="333"/>
    </row>
    <row r="3046" spans="7:10" x14ac:dyDescent="0.2">
      <c r="G3046" s="333"/>
      <c r="H3046" s="333"/>
      <c r="I3046" s="333"/>
      <c r="J3046" s="333"/>
    </row>
    <row r="3047" spans="7:10" x14ac:dyDescent="0.2">
      <c r="G3047" s="333"/>
      <c r="H3047" s="333"/>
      <c r="I3047" s="333"/>
      <c r="J3047" s="333"/>
    </row>
    <row r="3048" spans="7:10" x14ac:dyDescent="0.2">
      <c r="G3048" s="333"/>
      <c r="H3048" s="333"/>
      <c r="I3048" s="333"/>
      <c r="J3048" s="333"/>
    </row>
    <row r="3049" spans="7:10" x14ac:dyDescent="0.2">
      <c r="G3049" s="333"/>
      <c r="H3049" s="333"/>
      <c r="I3049" s="333"/>
      <c r="J3049" s="333"/>
    </row>
    <row r="3050" spans="7:10" x14ac:dyDescent="0.2">
      <c r="G3050" s="333"/>
      <c r="H3050" s="333"/>
      <c r="I3050" s="333"/>
      <c r="J3050" s="333"/>
    </row>
    <row r="3051" spans="7:10" x14ac:dyDescent="0.2">
      <c r="G3051" s="333"/>
      <c r="H3051" s="333"/>
      <c r="I3051" s="333"/>
      <c r="J3051" s="333"/>
    </row>
    <row r="3052" spans="7:10" x14ac:dyDescent="0.2">
      <c r="G3052" s="333"/>
      <c r="H3052" s="333"/>
      <c r="I3052" s="333"/>
      <c r="J3052" s="333"/>
    </row>
    <row r="3053" spans="7:10" x14ac:dyDescent="0.2">
      <c r="G3053" s="333"/>
      <c r="H3053" s="333"/>
      <c r="I3053" s="333"/>
      <c r="J3053" s="333"/>
    </row>
    <row r="3054" spans="7:10" x14ac:dyDescent="0.2">
      <c r="G3054" s="333"/>
      <c r="H3054" s="333"/>
      <c r="I3054" s="333"/>
      <c r="J3054" s="333"/>
    </row>
    <row r="3055" spans="7:10" x14ac:dyDescent="0.2">
      <c r="G3055" s="333"/>
      <c r="H3055" s="333"/>
      <c r="I3055" s="333"/>
      <c r="J3055" s="333"/>
    </row>
    <row r="3056" spans="7:10" x14ac:dyDescent="0.2">
      <c r="G3056" s="333"/>
      <c r="H3056" s="333"/>
      <c r="I3056" s="333"/>
      <c r="J3056" s="333"/>
    </row>
    <row r="3057" spans="7:10" x14ac:dyDescent="0.2">
      <c r="G3057" s="333"/>
      <c r="H3057" s="333"/>
      <c r="I3057" s="333"/>
      <c r="J3057" s="333"/>
    </row>
    <row r="3058" spans="7:10" x14ac:dyDescent="0.2">
      <c r="G3058" s="333"/>
      <c r="H3058" s="333"/>
      <c r="I3058" s="333"/>
      <c r="J3058" s="333"/>
    </row>
    <row r="3059" spans="7:10" x14ac:dyDescent="0.2">
      <c r="G3059" s="333"/>
      <c r="H3059" s="333"/>
      <c r="I3059" s="333"/>
      <c r="J3059" s="333"/>
    </row>
    <row r="3060" spans="7:10" x14ac:dyDescent="0.2">
      <c r="G3060" s="333"/>
      <c r="H3060" s="333"/>
      <c r="I3060" s="333"/>
      <c r="J3060" s="333"/>
    </row>
    <row r="3061" spans="7:10" x14ac:dyDescent="0.2">
      <c r="G3061" s="333"/>
      <c r="H3061" s="333"/>
      <c r="I3061" s="333"/>
      <c r="J3061" s="333"/>
    </row>
    <row r="3062" spans="7:10" x14ac:dyDescent="0.2">
      <c r="G3062" s="333"/>
      <c r="H3062" s="333"/>
      <c r="I3062" s="333"/>
      <c r="J3062" s="333"/>
    </row>
    <row r="3063" spans="7:10" x14ac:dyDescent="0.2">
      <c r="G3063" s="333"/>
      <c r="H3063" s="333"/>
      <c r="I3063" s="333"/>
      <c r="J3063" s="333"/>
    </row>
    <row r="3064" spans="7:10" x14ac:dyDescent="0.2">
      <c r="G3064" s="333"/>
      <c r="H3064" s="333"/>
      <c r="I3064" s="333"/>
      <c r="J3064" s="333"/>
    </row>
    <row r="3065" spans="7:10" x14ac:dyDescent="0.2">
      <c r="G3065" s="333"/>
      <c r="H3065" s="333"/>
      <c r="I3065" s="333"/>
      <c r="J3065" s="333"/>
    </row>
    <row r="3066" spans="7:10" x14ac:dyDescent="0.2">
      <c r="G3066" s="333"/>
      <c r="H3066" s="333"/>
      <c r="I3066" s="333"/>
      <c r="J3066" s="333"/>
    </row>
    <row r="3067" spans="7:10" x14ac:dyDescent="0.2">
      <c r="G3067" s="333"/>
      <c r="H3067" s="333"/>
      <c r="I3067" s="333"/>
      <c r="J3067" s="333"/>
    </row>
    <row r="3068" spans="7:10" x14ac:dyDescent="0.2">
      <c r="G3068" s="333"/>
      <c r="H3068" s="333"/>
      <c r="I3068" s="333"/>
      <c r="J3068" s="333"/>
    </row>
    <row r="3069" spans="7:10" x14ac:dyDescent="0.2">
      <c r="G3069" s="333"/>
      <c r="H3069" s="333"/>
      <c r="I3069" s="333"/>
      <c r="J3069" s="333"/>
    </row>
    <row r="3070" spans="7:10" x14ac:dyDescent="0.2">
      <c r="G3070" s="333"/>
      <c r="H3070" s="333"/>
      <c r="I3070" s="333"/>
      <c r="J3070" s="333"/>
    </row>
    <row r="3071" spans="7:10" x14ac:dyDescent="0.2">
      <c r="G3071" s="333"/>
      <c r="H3071" s="333"/>
      <c r="I3071" s="333"/>
      <c r="J3071" s="333"/>
    </row>
    <row r="3072" spans="7:10" x14ac:dyDescent="0.2">
      <c r="G3072" s="333"/>
      <c r="H3072" s="333"/>
      <c r="I3072" s="333"/>
      <c r="J3072" s="333"/>
    </row>
    <row r="3073" spans="7:10" x14ac:dyDescent="0.2">
      <c r="G3073" s="333"/>
      <c r="H3073" s="333"/>
      <c r="I3073" s="333"/>
      <c r="J3073" s="333"/>
    </row>
    <row r="3074" spans="7:10" x14ac:dyDescent="0.2">
      <c r="G3074" s="333"/>
      <c r="H3074" s="333"/>
      <c r="I3074" s="333"/>
      <c r="J3074" s="333"/>
    </row>
    <row r="3075" spans="7:10" x14ac:dyDescent="0.2">
      <c r="G3075" s="333"/>
      <c r="H3075" s="333"/>
      <c r="I3075" s="333"/>
      <c r="J3075" s="333"/>
    </row>
    <row r="3076" spans="7:10" x14ac:dyDescent="0.2">
      <c r="G3076" s="333"/>
      <c r="H3076" s="333"/>
      <c r="I3076" s="333"/>
      <c r="J3076" s="333"/>
    </row>
    <row r="3077" spans="7:10" x14ac:dyDescent="0.2">
      <c r="G3077" s="333"/>
      <c r="H3077" s="333"/>
      <c r="I3077" s="333"/>
      <c r="J3077" s="333"/>
    </row>
    <row r="3078" spans="7:10" x14ac:dyDescent="0.2">
      <c r="G3078" s="333"/>
      <c r="H3078" s="333"/>
      <c r="I3078" s="333"/>
      <c r="J3078" s="333"/>
    </row>
    <row r="3079" spans="7:10" x14ac:dyDescent="0.2">
      <c r="G3079" s="333"/>
      <c r="H3079" s="333"/>
      <c r="I3079" s="333"/>
      <c r="J3079" s="333"/>
    </row>
    <row r="3080" spans="7:10" x14ac:dyDescent="0.2">
      <c r="G3080" s="333"/>
      <c r="H3080" s="333"/>
      <c r="I3080" s="333"/>
      <c r="J3080" s="333"/>
    </row>
    <row r="3081" spans="7:10" x14ac:dyDescent="0.2">
      <c r="G3081" s="333"/>
      <c r="H3081" s="333"/>
      <c r="I3081" s="333"/>
      <c r="J3081" s="333"/>
    </row>
    <row r="3082" spans="7:10" x14ac:dyDescent="0.2">
      <c r="G3082" s="333"/>
      <c r="H3082" s="333"/>
      <c r="I3082" s="333"/>
      <c r="J3082" s="333"/>
    </row>
    <row r="3083" spans="7:10" x14ac:dyDescent="0.2">
      <c r="G3083" s="333"/>
      <c r="H3083" s="333"/>
      <c r="I3083" s="333"/>
      <c r="J3083" s="333"/>
    </row>
    <row r="3084" spans="7:10" x14ac:dyDescent="0.2">
      <c r="G3084" s="333"/>
      <c r="H3084" s="333"/>
      <c r="I3084" s="333"/>
      <c r="J3084" s="333"/>
    </row>
    <row r="3085" spans="7:10" x14ac:dyDescent="0.2">
      <c r="G3085" s="333"/>
      <c r="H3085" s="333"/>
      <c r="I3085" s="333"/>
      <c r="J3085" s="333"/>
    </row>
    <row r="3086" spans="7:10" x14ac:dyDescent="0.2">
      <c r="G3086" s="333"/>
      <c r="H3086" s="333"/>
      <c r="I3086" s="333"/>
      <c r="J3086" s="333"/>
    </row>
    <row r="3087" spans="7:10" x14ac:dyDescent="0.2">
      <c r="G3087" s="333"/>
      <c r="H3087" s="333"/>
      <c r="I3087" s="333"/>
      <c r="J3087" s="333"/>
    </row>
    <row r="3088" spans="7:10" x14ac:dyDescent="0.2">
      <c r="G3088" s="333"/>
      <c r="H3088" s="333"/>
      <c r="I3088" s="333"/>
      <c r="J3088" s="333"/>
    </row>
    <row r="3089" spans="7:10" x14ac:dyDescent="0.2">
      <c r="G3089" s="333"/>
      <c r="H3089" s="333"/>
      <c r="I3089" s="333"/>
      <c r="J3089" s="333"/>
    </row>
    <row r="3090" spans="7:10" x14ac:dyDescent="0.2">
      <c r="G3090" s="333"/>
      <c r="H3090" s="333"/>
      <c r="I3090" s="333"/>
      <c r="J3090" s="333"/>
    </row>
    <row r="3091" spans="7:10" x14ac:dyDescent="0.2">
      <c r="G3091" s="333"/>
      <c r="H3091" s="333"/>
      <c r="I3091" s="333"/>
      <c r="J3091" s="333"/>
    </row>
    <row r="3092" spans="7:10" x14ac:dyDescent="0.2">
      <c r="G3092" s="333"/>
      <c r="H3092" s="333"/>
      <c r="I3092" s="333"/>
      <c r="J3092" s="333"/>
    </row>
    <row r="3093" spans="7:10" x14ac:dyDescent="0.2">
      <c r="G3093" s="333"/>
      <c r="H3093" s="333"/>
      <c r="I3093" s="333"/>
      <c r="J3093" s="333"/>
    </row>
    <row r="3094" spans="7:10" x14ac:dyDescent="0.2">
      <c r="G3094" s="333"/>
      <c r="H3094" s="333"/>
      <c r="I3094" s="333"/>
      <c r="J3094" s="333"/>
    </row>
    <row r="3095" spans="7:10" x14ac:dyDescent="0.2">
      <c r="G3095" s="333"/>
      <c r="H3095" s="333"/>
      <c r="I3095" s="333"/>
      <c r="J3095" s="333"/>
    </row>
    <row r="3096" spans="7:10" x14ac:dyDescent="0.2">
      <c r="G3096" s="333"/>
      <c r="H3096" s="333"/>
      <c r="I3096" s="333"/>
      <c r="J3096" s="333"/>
    </row>
    <row r="3097" spans="7:10" x14ac:dyDescent="0.2">
      <c r="G3097" s="333"/>
      <c r="H3097" s="333"/>
      <c r="I3097" s="333"/>
      <c r="J3097" s="333"/>
    </row>
    <row r="3098" spans="7:10" x14ac:dyDescent="0.2">
      <c r="G3098" s="333"/>
      <c r="H3098" s="333"/>
      <c r="I3098" s="333"/>
      <c r="J3098" s="333"/>
    </row>
    <row r="3099" spans="7:10" x14ac:dyDescent="0.2">
      <c r="G3099" s="333"/>
      <c r="H3099" s="333"/>
      <c r="I3099" s="333"/>
      <c r="J3099" s="333"/>
    </row>
    <row r="3100" spans="7:10" x14ac:dyDescent="0.2">
      <c r="G3100" s="333"/>
      <c r="H3100" s="333"/>
      <c r="I3100" s="333"/>
      <c r="J3100" s="333"/>
    </row>
    <row r="3101" spans="7:10" x14ac:dyDescent="0.2">
      <c r="G3101" s="333"/>
      <c r="H3101" s="333"/>
      <c r="I3101" s="333"/>
      <c r="J3101" s="333"/>
    </row>
    <row r="3102" spans="7:10" x14ac:dyDescent="0.2">
      <c r="G3102" s="333"/>
      <c r="H3102" s="333"/>
      <c r="I3102" s="333"/>
      <c r="J3102" s="333"/>
    </row>
    <row r="3103" spans="7:10" x14ac:dyDescent="0.2">
      <c r="G3103" s="333"/>
      <c r="H3103" s="333"/>
      <c r="I3103" s="333"/>
      <c r="J3103" s="333"/>
    </row>
    <row r="3104" spans="7:10" x14ac:dyDescent="0.2">
      <c r="G3104" s="333"/>
      <c r="H3104" s="333"/>
      <c r="I3104" s="333"/>
      <c r="J3104" s="333"/>
    </row>
    <row r="3105" spans="7:10" x14ac:dyDescent="0.2">
      <c r="G3105" s="333"/>
      <c r="H3105" s="333"/>
      <c r="I3105" s="333"/>
      <c r="J3105" s="333"/>
    </row>
    <row r="3106" spans="7:10" x14ac:dyDescent="0.2">
      <c r="G3106" s="333"/>
      <c r="H3106" s="333"/>
      <c r="I3106" s="333"/>
      <c r="J3106" s="333"/>
    </row>
    <row r="3107" spans="7:10" x14ac:dyDescent="0.2">
      <c r="G3107" s="333"/>
      <c r="H3107" s="333"/>
      <c r="I3107" s="333"/>
      <c r="J3107" s="333"/>
    </row>
    <row r="3108" spans="7:10" x14ac:dyDescent="0.2">
      <c r="G3108" s="333"/>
      <c r="H3108" s="333"/>
      <c r="I3108" s="333"/>
      <c r="J3108" s="333"/>
    </row>
    <row r="3109" spans="7:10" x14ac:dyDescent="0.2">
      <c r="G3109" s="333"/>
      <c r="H3109" s="333"/>
      <c r="I3109" s="333"/>
      <c r="J3109" s="333"/>
    </row>
    <row r="3110" spans="7:10" x14ac:dyDescent="0.2">
      <c r="G3110" s="333"/>
      <c r="H3110" s="333"/>
      <c r="I3110" s="333"/>
      <c r="J3110" s="333"/>
    </row>
    <row r="3111" spans="7:10" x14ac:dyDescent="0.2">
      <c r="G3111" s="333"/>
      <c r="H3111" s="333"/>
      <c r="I3111" s="333"/>
      <c r="J3111" s="333"/>
    </row>
    <row r="3112" spans="7:10" x14ac:dyDescent="0.2">
      <c r="G3112" s="333"/>
      <c r="H3112" s="333"/>
      <c r="I3112" s="333"/>
      <c r="J3112" s="333"/>
    </row>
    <row r="3113" spans="7:10" x14ac:dyDescent="0.2">
      <c r="G3113" s="333"/>
      <c r="H3113" s="333"/>
      <c r="I3113" s="333"/>
      <c r="J3113" s="333"/>
    </row>
    <row r="3114" spans="7:10" x14ac:dyDescent="0.2">
      <c r="G3114" s="333"/>
      <c r="H3114" s="333"/>
      <c r="I3114" s="333"/>
      <c r="J3114" s="333"/>
    </row>
    <row r="3115" spans="7:10" x14ac:dyDescent="0.2">
      <c r="G3115" s="333"/>
      <c r="H3115" s="333"/>
      <c r="I3115" s="333"/>
      <c r="J3115" s="333"/>
    </row>
    <row r="3116" spans="7:10" x14ac:dyDescent="0.2">
      <c r="G3116" s="333"/>
      <c r="H3116" s="333"/>
      <c r="I3116" s="333"/>
      <c r="J3116" s="333"/>
    </row>
    <row r="3117" spans="7:10" x14ac:dyDescent="0.2">
      <c r="G3117" s="333"/>
      <c r="H3117" s="333"/>
      <c r="I3117" s="333"/>
      <c r="J3117" s="333"/>
    </row>
    <row r="3118" spans="7:10" x14ac:dyDescent="0.2">
      <c r="G3118" s="333"/>
      <c r="H3118" s="333"/>
      <c r="I3118" s="333"/>
      <c r="J3118" s="333"/>
    </row>
    <row r="3119" spans="7:10" x14ac:dyDescent="0.2">
      <c r="G3119" s="333"/>
      <c r="H3119" s="333"/>
      <c r="I3119" s="333"/>
      <c r="J3119" s="333"/>
    </row>
    <row r="3120" spans="7:10" x14ac:dyDescent="0.2">
      <c r="G3120" s="333"/>
      <c r="H3120" s="333"/>
      <c r="I3120" s="333"/>
      <c r="J3120" s="333"/>
    </row>
    <row r="3121" spans="7:10" x14ac:dyDescent="0.2">
      <c r="G3121" s="333"/>
      <c r="H3121" s="333"/>
      <c r="I3121" s="333"/>
      <c r="J3121" s="333"/>
    </row>
    <row r="3122" spans="7:10" x14ac:dyDescent="0.2">
      <c r="G3122" s="333"/>
      <c r="H3122" s="333"/>
      <c r="I3122" s="333"/>
      <c r="J3122" s="333"/>
    </row>
    <row r="3123" spans="7:10" x14ac:dyDescent="0.2">
      <c r="G3123" s="333"/>
      <c r="H3123" s="333"/>
      <c r="I3123" s="333"/>
      <c r="J3123" s="333"/>
    </row>
    <row r="3124" spans="7:10" x14ac:dyDescent="0.2">
      <c r="G3124" s="333"/>
      <c r="H3124" s="333"/>
      <c r="I3124" s="333"/>
      <c r="J3124" s="333"/>
    </row>
    <row r="3125" spans="7:10" x14ac:dyDescent="0.2">
      <c r="G3125" s="333"/>
      <c r="H3125" s="333"/>
      <c r="I3125" s="333"/>
      <c r="J3125" s="333"/>
    </row>
    <row r="3126" spans="7:10" x14ac:dyDescent="0.2">
      <c r="G3126" s="333"/>
      <c r="H3126" s="333"/>
      <c r="I3126" s="333"/>
      <c r="J3126" s="333"/>
    </row>
    <row r="3127" spans="7:10" x14ac:dyDescent="0.2">
      <c r="G3127" s="333"/>
      <c r="H3127" s="333"/>
      <c r="I3127" s="333"/>
      <c r="J3127" s="333"/>
    </row>
    <row r="3128" spans="7:10" x14ac:dyDescent="0.2">
      <c r="G3128" s="333"/>
      <c r="H3128" s="333"/>
      <c r="I3128" s="333"/>
      <c r="J3128" s="333"/>
    </row>
    <row r="3129" spans="7:10" x14ac:dyDescent="0.2">
      <c r="G3129" s="333"/>
      <c r="H3129" s="333"/>
      <c r="I3129" s="333"/>
      <c r="J3129" s="333"/>
    </row>
    <row r="3130" spans="7:10" x14ac:dyDescent="0.2">
      <c r="G3130" s="333"/>
      <c r="H3130" s="333"/>
      <c r="I3130" s="333"/>
      <c r="J3130" s="333"/>
    </row>
    <row r="3131" spans="7:10" x14ac:dyDescent="0.2">
      <c r="G3131" s="333"/>
      <c r="H3131" s="333"/>
      <c r="I3131" s="333"/>
      <c r="J3131" s="333"/>
    </row>
    <row r="3132" spans="7:10" x14ac:dyDescent="0.2">
      <c r="G3132" s="333"/>
      <c r="H3132" s="333"/>
      <c r="I3132" s="333"/>
      <c r="J3132" s="333"/>
    </row>
    <row r="3133" spans="7:10" x14ac:dyDescent="0.2">
      <c r="G3133" s="333"/>
      <c r="H3133" s="333"/>
      <c r="I3133" s="333"/>
      <c r="J3133" s="333"/>
    </row>
    <row r="3134" spans="7:10" x14ac:dyDescent="0.2">
      <c r="G3134" s="333"/>
      <c r="H3134" s="333"/>
      <c r="I3134" s="333"/>
      <c r="J3134" s="333"/>
    </row>
    <row r="3135" spans="7:10" x14ac:dyDescent="0.2">
      <c r="G3135" s="333"/>
      <c r="H3135" s="333"/>
      <c r="I3135" s="333"/>
      <c r="J3135" s="333"/>
    </row>
    <row r="3136" spans="7:10" x14ac:dyDescent="0.2">
      <c r="G3136" s="333"/>
      <c r="H3136" s="333"/>
      <c r="I3136" s="333"/>
      <c r="J3136" s="333"/>
    </row>
    <row r="3137" spans="7:10" x14ac:dyDescent="0.2">
      <c r="G3137" s="333"/>
      <c r="H3137" s="333"/>
      <c r="I3137" s="333"/>
      <c r="J3137" s="333"/>
    </row>
    <row r="3138" spans="7:10" x14ac:dyDescent="0.2">
      <c r="G3138" s="333"/>
      <c r="H3138" s="333"/>
      <c r="I3138" s="333"/>
      <c r="J3138" s="333"/>
    </row>
    <row r="3139" spans="7:10" x14ac:dyDescent="0.2">
      <c r="G3139" s="333"/>
      <c r="H3139" s="333"/>
      <c r="I3139" s="333"/>
      <c r="J3139" s="333"/>
    </row>
    <row r="3140" spans="7:10" x14ac:dyDescent="0.2">
      <c r="G3140" s="333"/>
      <c r="H3140" s="333"/>
      <c r="I3140" s="333"/>
      <c r="J3140" s="333"/>
    </row>
    <row r="3141" spans="7:10" x14ac:dyDescent="0.2">
      <c r="G3141" s="333"/>
      <c r="H3141" s="333"/>
      <c r="I3141" s="333"/>
      <c r="J3141" s="333"/>
    </row>
    <row r="3142" spans="7:10" x14ac:dyDescent="0.2">
      <c r="G3142" s="333"/>
      <c r="H3142" s="333"/>
      <c r="I3142" s="333"/>
      <c r="J3142" s="333"/>
    </row>
    <row r="3143" spans="7:10" x14ac:dyDescent="0.2">
      <c r="G3143" s="333"/>
      <c r="H3143" s="333"/>
      <c r="I3143" s="333"/>
      <c r="J3143" s="333"/>
    </row>
    <row r="3144" spans="7:10" x14ac:dyDescent="0.2">
      <c r="G3144" s="333"/>
      <c r="H3144" s="333"/>
      <c r="I3144" s="333"/>
      <c r="J3144" s="333"/>
    </row>
    <row r="3145" spans="7:10" x14ac:dyDescent="0.2">
      <c r="G3145" s="333"/>
      <c r="H3145" s="333"/>
      <c r="I3145" s="333"/>
      <c r="J3145" s="333"/>
    </row>
    <row r="3146" spans="7:10" x14ac:dyDescent="0.2">
      <c r="G3146" s="333"/>
      <c r="H3146" s="333"/>
      <c r="I3146" s="333"/>
      <c r="J3146" s="333"/>
    </row>
    <row r="3147" spans="7:10" x14ac:dyDescent="0.2">
      <c r="G3147" s="333"/>
      <c r="H3147" s="333"/>
      <c r="I3147" s="333"/>
      <c r="J3147" s="333"/>
    </row>
    <row r="3148" spans="7:10" x14ac:dyDescent="0.2">
      <c r="G3148" s="333"/>
      <c r="H3148" s="333"/>
      <c r="I3148" s="333"/>
      <c r="J3148" s="333"/>
    </row>
    <row r="3149" spans="7:10" x14ac:dyDescent="0.2">
      <c r="G3149" s="333"/>
      <c r="H3149" s="333"/>
      <c r="I3149" s="333"/>
      <c r="J3149" s="333"/>
    </row>
    <row r="3150" spans="7:10" x14ac:dyDescent="0.2">
      <c r="G3150" s="333"/>
      <c r="H3150" s="333"/>
      <c r="I3150" s="333"/>
      <c r="J3150" s="333"/>
    </row>
    <row r="3151" spans="7:10" x14ac:dyDescent="0.2">
      <c r="G3151" s="333"/>
      <c r="H3151" s="333"/>
      <c r="I3151" s="333"/>
      <c r="J3151" s="333"/>
    </row>
    <row r="3152" spans="7:10" x14ac:dyDescent="0.2">
      <c r="G3152" s="333"/>
      <c r="H3152" s="333"/>
      <c r="I3152" s="333"/>
      <c r="J3152" s="333"/>
    </row>
    <row r="3153" spans="7:10" x14ac:dyDescent="0.2">
      <c r="G3153" s="333"/>
      <c r="H3153" s="333"/>
      <c r="I3153" s="333"/>
      <c r="J3153" s="333"/>
    </row>
    <row r="3154" spans="7:10" x14ac:dyDescent="0.2">
      <c r="G3154" s="333"/>
      <c r="H3154" s="333"/>
      <c r="I3154" s="333"/>
      <c r="J3154" s="333"/>
    </row>
    <row r="3155" spans="7:10" x14ac:dyDescent="0.2">
      <c r="G3155" s="333"/>
      <c r="H3155" s="333"/>
      <c r="I3155" s="333"/>
      <c r="J3155" s="333"/>
    </row>
    <row r="3156" spans="7:10" x14ac:dyDescent="0.2">
      <c r="G3156" s="333"/>
      <c r="H3156" s="333"/>
      <c r="I3156" s="333"/>
      <c r="J3156" s="333"/>
    </row>
    <row r="3157" spans="7:10" x14ac:dyDescent="0.2">
      <c r="G3157" s="333"/>
      <c r="H3157" s="333"/>
      <c r="I3157" s="333"/>
      <c r="J3157" s="333"/>
    </row>
    <row r="3158" spans="7:10" x14ac:dyDescent="0.2">
      <c r="G3158" s="333"/>
      <c r="H3158" s="333"/>
      <c r="I3158" s="333"/>
      <c r="J3158" s="333"/>
    </row>
    <row r="3159" spans="7:10" x14ac:dyDescent="0.2">
      <c r="G3159" s="333"/>
      <c r="H3159" s="333"/>
      <c r="I3159" s="333"/>
      <c r="J3159" s="333"/>
    </row>
    <row r="3160" spans="7:10" x14ac:dyDescent="0.2">
      <c r="G3160" s="333"/>
      <c r="H3160" s="333"/>
      <c r="I3160" s="333"/>
      <c r="J3160" s="333"/>
    </row>
    <row r="3161" spans="7:10" x14ac:dyDescent="0.2">
      <c r="G3161" s="333"/>
      <c r="H3161" s="333"/>
      <c r="I3161" s="333"/>
      <c r="J3161" s="333"/>
    </row>
    <row r="3162" spans="7:10" x14ac:dyDescent="0.2">
      <c r="G3162" s="333"/>
      <c r="H3162" s="333"/>
      <c r="I3162" s="333"/>
      <c r="J3162" s="333"/>
    </row>
    <row r="3163" spans="7:10" x14ac:dyDescent="0.2">
      <c r="G3163" s="333"/>
      <c r="H3163" s="333"/>
      <c r="I3163" s="333"/>
      <c r="J3163" s="333"/>
    </row>
    <row r="3164" spans="7:10" x14ac:dyDescent="0.2">
      <c r="G3164" s="333"/>
      <c r="H3164" s="333"/>
      <c r="I3164" s="333"/>
      <c r="J3164" s="333"/>
    </row>
    <row r="3165" spans="7:10" x14ac:dyDescent="0.2">
      <c r="G3165" s="333"/>
      <c r="J3165" s="333"/>
    </row>
    <row r="3166" spans="7:10" x14ac:dyDescent="0.2">
      <c r="G3166" s="333"/>
      <c r="J3166" s="333"/>
    </row>
    <row r="3167" spans="7:10" x14ac:dyDescent="0.2">
      <c r="G3167" s="333"/>
      <c r="J3167" s="333"/>
    </row>
    <row r="3168" spans="7:10" x14ac:dyDescent="0.2">
      <c r="G3168" s="333"/>
      <c r="J3168" s="333"/>
    </row>
    <row r="3169" spans="7:10" x14ac:dyDescent="0.2">
      <c r="G3169" s="333"/>
      <c r="J3169" s="333"/>
    </row>
    <row r="3170" spans="7:10" x14ac:dyDescent="0.2">
      <c r="G3170" s="333"/>
      <c r="J3170" s="333"/>
    </row>
    <row r="3171" spans="7:10" x14ac:dyDescent="0.2">
      <c r="G3171" s="333"/>
      <c r="J3171" s="333"/>
    </row>
    <row r="3172" spans="7:10" x14ac:dyDescent="0.2">
      <c r="G3172" s="333"/>
      <c r="J3172" s="333"/>
    </row>
  </sheetData>
  <mergeCells count="4">
    <mergeCell ref="E1:F1"/>
    <mergeCell ref="AD1:AJ1"/>
    <mergeCell ref="A1:B1"/>
    <mergeCell ref="C1:D1"/>
  </mergeCells>
  <phoneticPr fontId="25" type="noConversion"/>
  <pageMargins left="0.511811024" right="0.511811024" top="0.78740157499999996" bottom="0.78740157499999996" header="0.31496062000000002" footer="0.31496062000000002"/>
  <pageSetup paperSize="9" orientation="portrait" r:id="rId1"/>
  <ignoredErrors>
    <ignoredError sqref="AE2:AE37" evalError="1"/>
  </ignoredErrors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/>
  <dimension ref="W1:AC1903"/>
  <sheetViews>
    <sheetView topLeftCell="W1" workbookViewId="0"/>
  </sheetViews>
  <sheetFormatPr defaultColWidth="0" defaultRowHeight="12.75" x14ac:dyDescent="0.2"/>
  <cols>
    <col min="1" max="22" width="9.140625" style="50" hidden="1" customWidth="1"/>
    <col min="23" max="23" width="2.7109375" style="50" customWidth="1"/>
    <col min="24" max="24" width="27.5703125" style="157" bestFit="1" customWidth="1"/>
    <col min="25" max="26" width="2.7109375" style="50" customWidth="1"/>
    <col min="27" max="28" width="20.7109375" style="661" customWidth="1"/>
    <col min="29" max="29" width="2.7109375" style="50" customWidth="1"/>
    <col min="30" max="16384" width="9.140625" style="50" hidden="1"/>
  </cols>
  <sheetData>
    <row r="1" spans="24:28" ht="13.5" thickBot="1" x14ac:dyDescent="0.25">
      <c r="X1" s="609" t="s">
        <v>1888</v>
      </c>
      <c r="AA1" s="659"/>
      <c r="AB1" s="659"/>
    </row>
    <row r="2" spans="24:28" ht="13.5" thickBot="1" x14ac:dyDescent="0.25">
      <c r="X2" s="158"/>
      <c r="AA2" s="660"/>
      <c r="AB2" s="660" t="str">
        <f>IFERROR(VALUE(RIGHT(AA2,LEN(AA2)-MIN(FIND({0;1;2;3;4;5;6;7;8;9},AA2&amp;"0123456789"))+1)),"")</f>
        <v/>
      </c>
    </row>
    <row r="3" spans="24:28" x14ac:dyDescent="0.2">
      <c r="X3" s="159" t="s">
        <v>1904</v>
      </c>
      <c r="AA3" s="660"/>
      <c r="AB3" s="660" t="str">
        <f>IFERROR(VALUE(RIGHT(AA3,LEN(AA3)-MIN(FIND({0;1;2;3;4;5;6;7;8;9},AA3&amp;"0123456789"))+1)),"")</f>
        <v/>
      </c>
    </row>
    <row r="4" spans="24:28" ht="13.5" thickBot="1" x14ac:dyDescent="0.25">
      <c r="X4" s="158"/>
      <c r="AA4" s="660"/>
      <c r="AB4" s="660" t="str">
        <f>IFERROR(VALUE(RIGHT(AA4,LEN(AA4)-MIN(FIND({0;1;2;3;4;5;6;7;8;9},AA4&amp;"0123456789"))+1)),"")</f>
        <v/>
      </c>
    </row>
    <row r="5" spans="24:28" ht="12.75" customHeight="1" x14ac:dyDescent="0.2">
      <c r="X5" s="160" t="s">
        <v>487</v>
      </c>
      <c r="AA5" s="660"/>
      <c r="AB5" s="660" t="str">
        <f>IFERROR(VALUE(RIGHT(AA5,LEN(AA5)-MIN(FIND({0;1;2;3;4;5;6;7;8;9},AA5&amp;"0123456789"))+1)),"")</f>
        <v/>
      </c>
    </row>
    <row r="6" spans="24:28" ht="13.5" customHeight="1" thickBot="1" x14ac:dyDescent="0.25">
      <c r="X6" s="161">
        <f>SUM(AB:AB)</f>
        <v>0</v>
      </c>
      <c r="AA6" s="660"/>
      <c r="AB6" s="660" t="str">
        <f>IFERROR(VALUE(RIGHT(AA6,LEN(AA6)-MIN(FIND({0;1;2;3;4;5;6;7;8;9},AA6&amp;"0123456789"))+1)),"")</f>
        <v/>
      </c>
    </row>
    <row r="7" spans="24:28" ht="13.5" thickBot="1" x14ac:dyDescent="0.25">
      <c r="AA7" s="660"/>
      <c r="AB7" s="660" t="str">
        <f>IFERROR(VALUE(RIGHT(AA7,LEN(AA7)-MIN(FIND({0;1;2;3;4;5;6;7;8;9},AA7&amp;"0123456789"))+1)),"")</f>
        <v/>
      </c>
    </row>
    <row r="8" spans="24:28" x14ac:dyDescent="0.2">
      <c r="X8" s="831" t="s">
        <v>488</v>
      </c>
      <c r="AA8" s="660"/>
      <c r="AB8" s="660" t="str">
        <f>IFERROR(VALUE(RIGHT(AA8,LEN(AA8)-MIN(FIND({0;1;2;3;4;5;6;7;8;9},AA8&amp;"0123456789"))+1)),"")</f>
        <v/>
      </c>
    </row>
    <row r="9" spans="24:28" ht="13.5" thickBot="1" x14ac:dyDescent="0.25">
      <c r="X9" s="832"/>
      <c r="AA9" s="660"/>
      <c r="AB9" s="660" t="str">
        <f>IFERROR(VALUE(RIGHT(AA9,LEN(AA9)-MIN(FIND({0;1;2;3;4;5;6;7;8;9},AA9&amp;"0123456789"))+1)),"")</f>
        <v/>
      </c>
    </row>
    <row r="10" spans="24:28" x14ac:dyDescent="0.2">
      <c r="AA10" s="660"/>
      <c r="AB10" s="660" t="str">
        <f>IFERROR(VALUE(RIGHT(AA10,LEN(AA10)-MIN(FIND({0;1;2;3;4;5;6;7;8;9},AA10&amp;"0123456789"))+1)),"")</f>
        <v/>
      </c>
    </row>
    <row r="11" spans="24:28" x14ac:dyDescent="0.2">
      <c r="AA11" s="660"/>
      <c r="AB11" s="660" t="str">
        <f>IFERROR(VALUE(RIGHT(AA11,LEN(AA11)-MIN(FIND({0;1;2;3;4;5;6;7;8;9},AA11&amp;"0123456789"))+1)),"")</f>
        <v/>
      </c>
    </row>
    <row r="12" spans="24:28" x14ac:dyDescent="0.2">
      <c r="AA12" s="660"/>
      <c r="AB12" s="660" t="str">
        <f>IFERROR(VALUE(RIGHT(AA12,LEN(AA12)-MIN(FIND({0;1;2;3;4;5;6;7;8;9},AA12&amp;"0123456789"))+1)),"")</f>
        <v/>
      </c>
    </row>
    <row r="13" spans="24:28" x14ac:dyDescent="0.2">
      <c r="AB13" s="660" t="str">
        <f>IFERROR(VALUE(RIGHT(AA13,LEN(AA13)-MIN(FIND({0;1;2;3;4;5;6;7;8;9},AA13&amp;"0123456789"))+1)),"")</f>
        <v/>
      </c>
    </row>
    <row r="14" spans="24:28" x14ac:dyDescent="0.2">
      <c r="AB14" s="660" t="str">
        <f>IFERROR(VALUE(RIGHT(AA14,LEN(AA14)-MIN(FIND({0;1;2;3;4;5;6;7;8;9},AA14&amp;"0123456789"))+1)),"")</f>
        <v/>
      </c>
    </row>
    <row r="15" spans="24:28" x14ac:dyDescent="0.2">
      <c r="AA15" s="660"/>
      <c r="AB15" s="660" t="str">
        <f>IFERROR(VALUE(RIGHT(AA15,LEN(AA15)-MIN(FIND({0;1;2;3;4;5;6;7;8;9},AA15&amp;"0123456789"))+1)),"")</f>
        <v/>
      </c>
    </row>
    <row r="16" spans="24:28" x14ac:dyDescent="0.2">
      <c r="AB16" s="660" t="str">
        <f>IFERROR(VALUE(RIGHT(AA16,LEN(AA16)-MIN(FIND({0;1;2;3;4;5;6;7;8;9},AA16&amp;"0123456789"))+1)),"")</f>
        <v/>
      </c>
    </row>
    <row r="17" spans="28:28" x14ac:dyDescent="0.2">
      <c r="AB17" s="660" t="str">
        <f>IFERROR(VALUE(RIGHT(AA17,LEN(AA17)-MIN(FIND({0;1;2;3;4;5;6;7;8;9},AA17&amp;"0123456789"))+1)),"")</f>
        <v/>
      </c>
    </row>
    <row r="18" spans="28:28" x14ac:dyDescent="0.2">
      <c r="AB18" s="660" t="str">
        <f>IFERROR(VALUE(RIGHT(AA18,LEN(AA18)-MIN(FIND({0;1;2;3;4;5;6;7;8;9},AA18&amp;"0123456789"))+1)),"")</f>
        <v/>
      </c>
    </row>
    <row r="19" spans="28:28" x14ac:dyDescent="0.2">
      <c r="AB19" s="660" t="str">
        <f>IFERROR(VALUE(RIGHT(AA19,LEN(AA19)-MIN(FIND({0;1;2;3;4;5;6;7;8;9},AA19&amp;"0123456789"))+1)),"")</f>
        <v/>
      </c>
    </row>
    <row r="20" spans="28:28" x14ac:dyDescent="0.2">
      <c r="AB20" s="660" t="str">
        <f>IFERROR(VALUE(RIGHT(AA20,LEN(AA20)-MIN(FIND({0;1;2;3;4;5;6;7;8;9},AA20&amp;"0123456789"))+1)),"")</f>
        <v/>
      </c>
    </row>
    <row r="21" spans="28:28" x14ac:dyDescent="0.2">
      <c r="AB21" s="660" t="str">
        <f>IFERROR(VALUE(RIGHT(AA21,LEN(AA21)-MIN(FIND({0;1;2;3;4;5;6;7;8;9},AA21&amp;"0123456789"))+1)),"")</f>
        <v/>
      </c>
    </row>
    <row r="22" spans="28:28" x14ac:dyDescent="0.2">
      <c r="AB22" s="660" t="str">
        <f>IFERROR(VALUE(RIGHT(AA22,LEN(AA22)-MIN(FIND({0;1;2;3;4;5;6;7;8;9},AA22&amp;"0123456789"))+1)),"")</f>
        <v/>
      </c>
    </row>
    <row r="23" spans="28:28" x14ac:dyDescent="0.2">
      <c r="AB23" s="660" t="str">
        <f>IFERROR(VALUE(RIGHT(AA23,LEN(AA23)-MIN(FIND({0;1;2;3;4;5;6;7;8;9},AA23&amp;"0123456789"))+1)),"")</f>
        <v/>
      </c>
    </row>
    <row r="24" spans="28:28" x14ac:dyDescent="0.2">
      <c r="AB24" s="660" t="str">
        <f>IFERROR(VALUE(RIGHT(AA24,LEN(AA24)-MIN(FIND({0;1;2;3;4;5;6;7;8;9},AA24&amp;"0123456789"))+1)),"")</f>
        <v/>
      </c>
    </row>
    <row r="25" spans="28:28" x14ac:dyDescent="0.2">
      <c r="AB25" s="660" t="str">
        <f>IFERROR(VALUE(RIGHT(AA25,LEN(AA25)-MIN(FIND({0;1;2;3;4;5;6;7;8;9},AA25&amp;"0123456789"))+1)),"")</f>
        <v/>
      </c>
    </row>
    <row r="26" spans="28:28" x14ac:dyDescent="0.2">
      <c r="AB26" s="660" t="str">
        <f>IFERROR(VALUE(RIGHT(AA26,LEN(AA26)-MIN(FIND({0;1;2;3;4;5;6;7;8;9},AA26&amp;"0123456789"))+1)),"")</f>
        <v/>
      </c>
    </row>
    <row r="27" spans="28:28" x14ac:dyDescent="0.2">
      <c r="AB27" s="660" t="str">
        <f>IFERROR(VALUE(RIGHT(AA27,LEN(AA27)-MIN(FIND({0;1;2;3;4;5;6;7;8;9},AA27&amp;"0123456789"))+1)),"")</f>
        <v/>
      </c>
    </row>
    <row r="28" spans="28:28" x14ac:dyDescent="0.2">
      <c r="AB28" s="660" t="str">
        <f>IFERROR(VALUE(RIGHT(AA28,LEN(AA28)-MIN(FIND({0;1;2;3;4;5;6;7;8;9},AA28&amp;"0123456789"))+1)),"")</f>
        <v/>
      </c>
    </row>
    <row r="29" spans="28:28" x14ac:dyDescent="0.2">
      <c r="AB29" s="660" t="str">
        <f>IFERROR(VALUE(RIGHT(AA29,LEN(AA29)-MIN(FIND({0;1;2;3;4;5;6;7;8;9},AA29&amp;"0123456789"))+1)),"")</f>
        <v/>
      </c>
    </row>
    <row r="30" spans="28:28" x14ac:dyDescent="0.2">
      <c r="AB30" s="660" t="str">
        <f>IFERROR(VALUE(RIGHT(AA30,LEN(AA30)-MIN(FIND({0;1;2;3;4;5;6;7;8;9},AA30&amp;"0123456789"))+1)),"")</f>
        <v/>
      </c>
    </row>
    <row r="31" spans="28:28" x14ac:dyDescent="0.2">
      <c r="AB31" s="660" t="str">
        <f>IFERROR(VALUE(RIGHT(AA31,LEN(AA31)-MIN(FIND({0;1;2;3;4;5;6;7;8;9},AA31&amp;"0123456789"))+1)),"")</f>
        <v/>
      </c>
    </row>
    <row r="32" spans="28:28" x14ac:dyDescent="0.2">
      <c r="AB32" s="660" t="str">
        <f>IFERROR(VALUE(RIGHT(AA32,LEN(AA32)-MIN(FIND({0;1;2;3;4;5;6;7;8;9},AA32&amp;"0123456789"))+1)),"")</f>
        <v/>
      </c>
    </row>
    <row r="33" spans="28:28" x14ac:dyDescent="0.2">
      <c r="AB33" s="660" t="str">
        <f>IFERROR(VALUE(RIGHT(AA33,LEN(AA33)-MIN(FIND({0;1;2;3;4;5;6;7;8;9},AA33&amp;"0123456789"))+1)),"")</f>
        <v/>
      </c>
    </row>
    <row r="34" spans="28:28" x14ac:dyDescent="0.2">
      <c r="AB34" s="660" t="str">
        <f>IFERROR(VALUE(RIGHT(AA34,LEN(AA34)-MIN(FIND({0;1;2;3;4;5;6;7;8;9},AA34&amp;"0123456789"))+1)),"")</f>
        <v/>
      </c>
    </row>
    <row r="35" spans="28:28" x14ac:dyDescent="0.2">
      <c r="AB35" s="660" t="str">
        <f>IFERROR(VALUE(RIGHT(AA35,LEN(AA35)-MIN(FIND({0;1;2;3;4;5;6;7;8;9},AA35&amp;"0123456789"))+1)),"")</f>
        <v/>
      </c>
    </row>
    <row r="36" spans="28:28" x14ac:dyDescent="0.2">
      <c r="AB36" s="660" t="str">
        <f>IFERROR(VALUE(RIGHT(AA36,LEN(AA36)-MIN(FIND({0;1;2;3;4;5;6;7;8;9},AA36&amp;"0123456789"))+1)),"")</f>
        <v/>
      </c>
    </row>
    <row r="37" spans="28:28" x14ac:dyDescent="0.2">
      <c r="AB37" s="660" t="str">
        <f>IFERROR(VALUE(RIGHT(AA37,LEN(AA37)-MIN(FIND({0;1;2;3;4;5;6;7;8;9},AA37&amp;"0123456789"))+1)),"")</f>
        <v/>
      </c>
    </row>
    <row r="38" spans="28:28" x14ac:dyDescent="0.2">
      <c r="AB38" s="660" t="str">
        <f>IFERROR(VALUE(RIGHT(AA38,LEN(AA38)-MIN(FIND({0;1;2;3;4;5;6;7;8;9},AA38&amp;"0123456789"))+1)),"")</f>
        <v/>
      </c>
    </row>
    <row r="39" spans="28:28" x14ac:dyDescent="0.2">
      <c r="AB39" s="660" t="str">
        <f>IFERROR(VALUE(RIGHT(AA39,LEN(AA39)-MIN(FIND({0;1;2;3;4;5;6;7;8;9},AA39&amp;"0123456789"))+1)),"")</f>
        <v/>
      </c>
    </row>
    <row r="40" spans="28:28" x14ac:dyDescent="0.2">
      <c r="AB40" s="660" t="str">
        <f>IFERROR(VALUE(RIGHT(AA40,LEN(AA40)-MIN(FIND({0;1;2;3;4;5;6;7;8;9},AA40&amp;"0123456789"))+1)),"")</f>
        <v/>
      </c>
    </row>
    <row r="41" spans="28:28" x14ac:dyDescent="0.2">
      <c r="AB41" s="660" t="str">
        <f>IFERROR(VALUE(RIGHT(AA41,LEN(AA41)-MIN(FIND({0;1;2;3;4;5;6;7;8;9},AA41&amp;"0123456789"))+1)),"")</f>
        <v/>
      </c>
    </row>
    <row r="42" spans="28:28" x14ac:dyDescent="0.2">
      <c r="AB42" s="660" t="str">
        <f>IFERROR(VALUE(RIGHT(AA42,LEN(AA42)-MIN(FIND({0;1;2;3;4;5;6;7;8;9},AA42&amp;"0123456789"))+1)),"")</f>
        <v/>
      </c>
    </row>
    <row r="43" spans="28:28" x14ac:dyDescent="0.2">
      <c r="AB43" s="660" t="str">
        <f>IFERROR(VALUE(RIGHT(AA43,LEN(AA43)-MIN(FIND({0;1;2;3;4;5;6;7;8;9},AA43&amp;"0123456789"))+1)),"")</f>
        <v/>
      </c>
    </row>
    <row r="44" spans="28:28" x14ac:dyDescent="0.2">
      <c r="AB44" s="660" t="str">
        <f>IFERROR(VALUE(RIGHT(AA44,LEN(AA44)-MIN(FIND({0;1;2;3;4;5;6;7;8;9},AA44&amp;"0123456789"))+1)),"")</f>
        <v/>
      </c>
    </row>
    <row r="45" spans="28:28" x14ac:dyDescent="0.2">
      <c r="AB45" s="660" t="str">
        <f>IFERROR(VALUE(RIGHT(AA45,LEN(AA45)-MIN(FIND({0;1;2;3;4;5;6;7;8;9},AA45&amp;"0123456789"))+1)),"")</f>
        <v/>
      </c>
    </row>
    <row r="46" spans="28:28" x14ac:dyDescent="0.2">
      <c r="AB46" s="660" t="str">
        <f>IFERROR(VALUE(RIGHT(AA46,LEN(AA46)-MIN(FIND({0;1;2;3;4;5;6;7;8;9},AA46&amp;"0123456789"))+1)),"")</f>
        <v/>
      </c>
    </row>
    <row r="47" spans="28:28" x14ac:dyDescent="0.2">
      <c r="AB47" s="660" t="str">
        <f>IFERROR(VALUE(RIGHT(AA47,LEN(AA47)-MIN(FIND({0;1;2;3;4;5;6;7;8;9},AA47&amp;"0123456789"))+1)),"")</f>
        <v/>
      </c>
    </row>
    <row r="48" spans="28:28" x14ac:dyDescent="0.2">
      <c r="AB48" s="660" t="str">
        <f>IFERROR(VALUE(RIGHT(AA48,LEN(AA48)-MIN(FIND({0;1;2;3;4;5;6;7;8;9},AA48&amp;"0123456789"))+1)),"")</f>
        <v/>
      </c>
    </row>
    <row r="49" spans="28:28" x14ac:dyDescent="0.2">
      <c r="AB49" s="660" t="str">
        <f>IFERROR(VALUE(RIGHT(AA49,LEN(AA49)-MIN(FIND({0;1;2;3;4;5;6;7;8;9},AA49&amp;"0123456789"))+1)),"")</f>
        <v/>
      </c>
    </row>
    <row r="50" spans="28:28" x14ac:dyDescent="0.2">
      <c r="AB50" s="660" t="str">
        <f>IFERROR(VALUE(RIGHT(AA50,LEN(AA50)-MIN(FIND({0;1;2;3;4;5;6;7;8;9},AA50&amp;"0123456789"))+1)),"")</f>
        <v/>
      </c>
    </row>
    <row r="51" spans="28:28" x14ac:dyDescent="0.2">
      <c r="AB51" s="660" t="str">
        <f>IFERROR(VALUE(RIGHT(AA51,LEN(AA51)-MIN(FIND({0;1;2;3;4;5;6;7;8;9},AA51&amp;"0123456789"))+1)),"")</f>
        <v/>
      </c>
    </row>
    <row r="52" spans="28:28" x14ac:dyDescent="0.2">
      <c r="AB52" s="660" t="str">
        <f>IFERROR(VALUE(RIGHT(AA52,LEN(AA52)-MIN(FIND({0;1;2;3;4;5;6;7;8;9},AA52&amp;"0123456789"))+1)),"")</f>
        <v/>
      </c>
    </row>
    <row r="53" spans="28:28" x14ac:dyDescent="0.2">
      <c r="AB53" s="660" t="str">
        <f>IFERROR(VALUE(RIGHT(AA53,LEN(AA53)-MIN(FIND({0;1;2;3;4;5;6;7;8;9},AA53&amp;"0123456789"))+1)),"")</f>
        <v/>
      </c>
    </row>
    <row r="54" spans="28:28" x14ac:dyDescent="0.2">
      <c r="AB54" s="660" t="str">
        <f>IFERROR(VALUE(RIGHT(AA54,LEN(AA54)-MIN(FIND({0;1;2;3;4;5;6;7;8;9},AA54&amp;"0123456789"))+1)),"")</f>
        <v/>
      </c>
    </row>
    <row r="55" spans="28:28" x14ac:dyDescent="0.2">
      <c r="AB55" s="660" t="str">
        <f>IFERROR(VALUE(RIGHT(AA55,LEN(AA55)-MIN(FIND({0;1;2;3;4;5;6;7;8;9},AA55&amp;"0123456789"))+1)),"")</f>
        <v/>
      </c>
    </row>
    <row r="56" spans="28:28" x14ac:dyDescent="0.2">
      <c r="AB56" s="660" t="str">
        <f>IFERROR(VALUE(RIGHT(AA56,LEN(AA56)-MIN(FIND({0;1;2;3;4;5;6;7;8;9},AA56&amp;"0123456789"))+1)),"")</f>
        <v/>
      </c>
    </row>
    <row r="57" spans="28:28" x14ac:dyDescent="0.2">
      <c r="AB57" s="660" t="str">
        <f>IFERROR(VALUE(RIGHT(AA57,LEN(AA57)-MIN(FIND({0;1;2;3;4;5;6;7;8;9},AA57&amp;"0123456789"))+1)),"")</f>
        <v/>
      </c>
    </row>
    <row r="58" spans="28:28" x14ac:dyDescent="0.2">
      <c r="AB58" s="660" t="str">
        <f>IFERROR(VALUE(RIGHT(AA58,LEN(AA58)-MIN(FIND({0;1;2;3;4;5;6;7;8;9},AA58&amp;"0123456789"))+1)),"")</f>
        <v/>
      </c>
    </row>
    <row r="59" spans="28:28" x14ac:dyDescent="0.2">
      <c r="AB59" s="660" t="str">
        <f>IFERROR(VALUE(RIGHT(AA59,LEN(AA59)-MIN(FIND({0;1;2;3;4;5;6;7;8;9},AA59&amp;"0123456789"))+1)),"")</f>
        <v/>
      </c>
    </row>
    <row r="60" spans="28:28" x14ac:dyDescent="0.2">
      <c r="AB60" s="660" t="str">
        <f>IFERROR(VALUE(RIGHT(AA60,LEN(AA60)-MIN(FIND({0;1;2;3;4;5;6;7;8;9},AA60&amp;"0123456789"))+1)),"")</f>
        <v/>
      </c>
    </row>
    <row r="61" spans="28:28" x14ac:dyDescent="0.2">
      <c r="AB61" s="660" t="str">
        <f>IFERROR(VALUE(RIGHT(AA61,LEN(AA61)-MIN(FIND({0;1;2;3;4;5;6;7;8;9},AA61&amp;"0123456789"))+1)),"")</f>
        <v/>
      </c>
    </row>
    <row r="62" spans="28:28" x14ac:dyDescent="0.2">
      <c r="AB62" s="660" t="str">
        <f>IFERROR(VALUE(RIGHT(AA62,LEN(AA62)-MIN(FIND({0;1;2;3;4;5;6;7;8;9},AA62&amp;"0123456789"))+1)),"")</f>
        <v/>
      </c>
    </row>
    <row r="63" spans="28:28" x14ac:dyDescent="0.2">
      <c r="AB63" s="660" t="str">
        <f>IFERROR(VALUE(RIGHT(AA63,LEN(AA63)-MIN(FIND({0;1;2;3;4;5;6;7;8;9},AA63&amp;"0123456789"))+1)),"")</f>
        <v/>
      </c>
    </row>
    <row r="64" spans="28:28" x14ac:dyDescent="0.2">
      <c r="AB64" s="660" t="str">
        <f>IFERROR(VALUE(RIGHT(AA64,LEN(AA64)-MIN(FIND({0;1;2;3;4;5;6;7;8;9},AA64&amp;"0123456789"))+1)),"")</f>
        <v/>
      </c>
    </row>
    <row r="65" spans="27:28" x14ac:dyDescent="0.2">
      <c r="AB65" s="660" t="str">
        <f>IFERROR(VALUE(RIGHT(AA65,LEN(AA65)-MIN(FIND({0;1;2;3;4;5;6;7;8;9},AA65&amp;"0123456789"))+1)),"")</f>
        <v/>
      </c>
    </row>
    <row r="66" spans="27:28" x14ac:dyDescent="0.2">
      <c r="AB66" s="660" t="str">
        <f>IFERROR(VALUE(RIGHT(AA66,LEN(AA66)-MIN(FIND({0;1;2;3;4;5;6;7;8;9},AA66&amp;"0123456789"))+1)),"")</f>
        <v/>
      </c>
    </row>
    <row r="67" spans="27:28" x14ac:dyDescent="0.2">
      <c r="AB67" s="660" t="str">
        <f>IFERROR(VALUE(RIGHT(AA67,LEN(AA67)-MIN(FIND({0;1;2;3;4;5;6;7;8;9},AA67&amp;"0123456789"))+1)),"")</f>
        <v/>
      </c>
    </row>
    <row r="68" spans="27:28" x14ac:dyDescent="0.2">
      <c r="AB68" s="660" t="str">
        <f>IFERROR(VALUE(RIGHT(AA68,LEN(AA68)-MIN(FIND({0;1;2;3;4;5;6;7;8;9},AA68&amp;"0123456789"))+1)),"")</f>
        <v/>
      </c>
    </row>
    <row r="69" spans="27:28" x14ac:dyDescent="0.2">
      <c r="AB69" s="660" t="str">
        <f>IFERROR(VALUE(RIGHT(AA69,LEN(AA69)-MIN(FIND({0;1;2;3;4;5;6;7;8;9},AA69&amp;"0123456789"))+1)),"")</f>
        <v/>
      </c>
    </row>
    <row r="70" spans="27:28" x14ac:dyDescent="0.2">
      <c r="AB70" s="660" t="str">
        <f>IFERROR(VALUE(RIGHT(AA70,LEN(AA70)-MIN(FIND({0;1;2;3;4;5;6;7;8;9},AA70&amp;"0123456789"))+1)),"")</f>
        <v/>
      </c>
    </row>
    <row r="71" spans="27:28" x14ac:dyDescent="0.2">
      <c r="AB71" s="660" t="str">
        <f>IFERROR(VALUE(RIGHT(AA71,LEN(AA71)-MIN(FIND({0;1;2;3;4;5;6;7;8;9},AA71&amp;"0123456789"))+1)),"")</f>
        <v/>
      </c>
    </row>
    <row r="72" spans="27:28" x14ac:dyDescent="0.2">
      <c r="AB72" s="660" t="str">
        <f>IFERROR(VALUE(RIGHT(AA72,LEN(AA72)-MIN(FIND({0;1;2;3;4;5;6;7;8;9},AA72&amp;"0123456789"))+1)),"")</f>
        <v/>
      </c>
    </row>
    <row r="73" spans="27:28" x14ac:dyDescent="0.2">
      <c r="AB73" s="660" t="str">
        <f>IFERROR(VALUE(RIGHT(AA73,LEN(AA73)-MIN(FIND({0;1;2;3;4;5;6;7;8;9},AA73&amp;"0123456789"))+1)),"")</f>
        <v/>
      </c>
    </row>
    <row r="74" spans="27:28" x14ac:dyDescent="0.2">
      <c r="AB74" s="660" t="str">
        <f>IFERROR(VALUE(RIGHT(AA74,LEN(AA74)-MIN(FIND({0;1;2;3;4;5;6;7;8;9},AA74&amp;"0123456789"))+1)),"")</f>
        <v/>
      </c>
    </row>
    <row r="75" spans="27:28" x14ac:dyDescent="0.2">
      <c r="AB75" s="660" t="str">
        <f>IFERROR(VALUE(RIGHT(AA75,LEN(AA75)-MIN(FIND({0;1;2;3;4;5;6;7;8;9},AA75&amp;"0123456789"))+1)),"")</f>
        <v/>
      </c>
    </row>
    <row r="76" spans="27:28" x14ac:dyDescent="0.2">
      <c r="AB76" s="660" t="str">
        <f>IFERROR(VALUE(RIGHT(AA76,LEN(AA76)-MIN(FIND({0;1;2;3;4;5;6;7;8;9},AA76&amp;"0123456789"))+1)),"")</f>
        <v/>
      </c>
    </row>
    <row r="77" spans="27:28" x14ac:dyDescent="0.2">
      <c r="AB77" s="660" t="str">
        <f>IFERROR(VALUE(RIGHT(AA77,LEN(AA77)-MIN(FIND({0;1;2;3;4;5;6;7;8;9},AA77&amp;"0123456789"))+1)),"")</f>
        <v/>
      </c>
    </row>
    <row r="78" spans="27:28" x14ac:dyDescent="0.2">
      <c r="AB78" s="660" t="str">
        <f>IFERROR(VALUE(RIGHT(AA78,LEN(AA78)-MIN(FIND({0;1;2;3;4;5;6;7;8;9},AA78&amp;"0123456789"))+1)),"")</f>
        <v/>
      </c>
    </row>
    <row r="79" spans="27:28" x14ac:dyDescent="0.2">
      <c r="AA79" s="660"/>
      <c r="AB79" s="660" t="str">
        <f>IFERROR(VALUE(RIGHT(AA79,LEN(AA79)-MIN(FIND({0;1;2;3;4;5;6;7;8;9},AA79&amp;"0123456789"))+1)),"")</f>
        <v/>
      </c>
    </row>
    <row r="80" spans="27:28" x14ac:dyDescent="0.2">
      <c r="AA80" s="660"/>
      <c r="AB80" s="660" t="str">
        <f>IFERROR(VALUE(RIGHT(AA80,LEN(AA80)-MIN(FIND({0;1;2;3;4;5;6;7;8;9},AA80&amp;"0123456789"))+1)),"")</f>
        <v/>
      </c>
    </row>
    <row r="81" spans="28:28" x14ac:dyDescent="0.2">
      <c r="AB81" s="660" t="str">
        <f>IFERROR(VALUE(RIGHT(AA81,LEN(AA81)-MIN(FIND({0;1;2;3;4;5;6;7;8;9},AA81&amp;"0123456789"))+1)),"")</f>
        <v/>
      </c>
    </row>
    <row r="82" spans="28:28" x14ac:dyDescent="0.2">
      <c r="AB82" s="660" t="str">
        <f>IFERROR(VALUE(RIGHT(AA82,LEN(AA82)-MIN(FIND({0;1;2;3;4;5;6;7;8;9},AA82&amp;"0123456789"))+1)),"")</f>
        <v/>
      </c>
    </row>
    <row r="83" spans="28:28" x14ac:dyDescent="0.2">
      <c r="AB83" s="660" t="str">
        <f>IFERROR(VALUE(RIGHT(AA83,LEN(AA83)-MIN(FIND({0;1;2;3;4;5;6;7;8;9},AA83&amp;"0123456789"))+1)),"")</f>
        <v/>
      </c>
    </row>
    <row r="84" spans="28:28" x14ac:dyDescent="0.2">
      <c r="AB84" s="660" t="str">
        <f>IFERROR(VALUE(RIGHT(AA84,LEN(AA84)-MIN(FIND({0;1;2;3;4;5;6;7;8;9},AA84&amp;"0123456789"))+1)),"")</f>
        <v/>
      </c>
    </row>
    <row r="85" spans="28:28" x14ac:dyDescent="0.2">
      <c r="AB85" s="660" t="str">
        <f>IFERROR(VALUE(RIGHT(AA85,LEN(AA85)-MIN(FIND({0;1;2;3;4;5;6;7;8;9},AA85&amp;"0123456789"))+1)),"")</f>
        <v/>
      </c>
    </row>
    <row r="86" spans="28:28" x14ac:dyDescent="0.2">
      <c r="AB86" s="660" t="str">
        <f>IFERROR(VALUE(RIGHT(AA86,LEN(AA86)-MIN(FIND({0;1;2;3;4;5;6;7;8;9},AA86&amp;"0123456789"))+1)),"")</f>
        <v/>
      </c>
    </row>
    <row r="87" spans="28:28" x14ac:dyDescent="0.2">
      <c r="AB87" s="660" t="str">
        <f>IFERROR(VALUE(RIGHT(AA87,LEN(AA87)-MIN(FIND({0;1;2;3;4;5;6;7;8;9},AA87&amp;"0123456789"))+1)),"")</f>
        <v/>
      </c>
    </row>
    <row r="88" spans="28:28" x14ac:dyDescent="0.2">
      <c r="AB88" s="660" t="str">
        <f>IFERROR(VALUE(RIGHT(AA88,LEN(AA88)-MIN(FIND({0;1;2;3;4;5;6;7;8;9},AA88&amp;"0123456789"))+1)),"")</f>
        <v/>
      </c>
    </row>
    <row r="89" spans="28:28" x14ac:dyDescent="0.2">
      <c r="AB89" s="660" t="str">
        <f>IFERROR(VALUE(RIGHT(AA89,LEN(AA89)-MIN(FIND({0;1;2;3;4;5;6;7;8;9},AA89&amp;"0123456789"))+1)),"")</f>
        <v/>
      </c>
    </row>
    <row r="90" spans="28:28" x14ac:dyDescent="0.2">
      <c r="AB90" s="660" t="str">
        <f>IFERROR(VALUE(RIGHT(AA90,LEN(AA90)-MIN(FIND({0;1;2;3;4;5;6;7;8;9},AA90&amp;"0123456789"))+1)),"")</f>
        <v/>
      </c>
    </row>
    <row r="91" spans="28:28" x14ac:dyDescent="0.2">
      <c r="AB91" s="660" t="str">
        <f>IFERROR(VALUE(RIGHT(AA91,LEN(AA91)-MIN(FIND({0;1;2;3;4;5;6;7;8;9},AA91&amp;"0123456789"))+1)),"")</f>
        <v/>
      </c>
    </row>
    <row r="92" spans="28:28" x14ac:dyDescent="0.2">
      <c r="AB92" s="660" t="str">
        <f>IFERROR(VALUE(RIGHT(AA92,LEN(AA92)-MIN(FIND({0;1;2;3;4;5;6;7;8;9},AA92&amp;"0123456789"))+1)),"")</f>
        <v/>
      </c>
    </row>
    <row r="93" spans="28:28" x14ac:dyDescent="0.2">
      <c r="AB93" s="660" t="str">
        <f>IFERROR(VALUE(RIGHT(AA93,LEN(AA93)-MIN(FIND({0;1;2;3;4;5;6;7;8;9},AA93&amp;"0123456789"))+1)),"")</f>
        <v/>
      </c>
    </row>
    <row r="94" spans="28:28" x14ac:dyDescent="0.2">
      <c r="AB94" s="660" t="str">
        <f>IFERROR(VALUE(RIGHT(AA94,LEN(AA94)-MIN(FIND({0;1;2;3;4;5;6;7;8;9},AA94&amp;"0123456789"))+1)),"")</f>
        <v/>
      </c>
    </row>
    <row r="95" spans="28:28" x14ac:dyDescent="0.2">
      <c r="AB95" s="660" t="str">
        <f>IFERROR(VALUE(RIGHT(AA95,LEN(AA95)-MIN(FIND({0;1;2;3;4;5;6;7;8;9},AA95&amp;"0123456789"))+1)),"")</f>
        <v/>
      </c>
    </row>
    <row r="96" spans="28:28" x14ac:dyDescent="0.2">
      <c r="AB96" s="660" t="str">
        <f>IFERROR(VALUE(RIGHT(AA96,LEN(AA96)-MIN(FIND({0;1;2;3;4;5;6;7;8;9},AA96&amp;"0123456789"))+1)),"")</f>
        <v/>
      </c>
    </row>
    <row r="97" spans="28:28" x14ac:dyDescent="0.2">
      <c r="AB97" s="660" t="str">
        <f>IFERROR(VALUE(RIGHT(AA97,LEN(AA97)-MIN(FIND({0;1;2;3;4;5;6;7;8;9},AA97&amp;"0123456789"))+1)),"")</f>
        <v/>
      </c>
    </row>
    <row r="98" spans="28:28" x14ac:dyDescent="0.2">
      <c r="AB98" s="660" t="str">
        <f>IFERROR(VALUE(RIGHT(AA98,LEN(AA98)-MIN(FIND({0;1;2;3;4;5;6;7;8;9},AA98&amp;"0123456789"))+1)),"")</f>
        <v/>
      </c>
    </row>
    <row r="99" spans="28:28" x14ac:dyDescent="0.2">
      <c r="AB99" s="660" t="str">
        <f>IFERROR(VALUE(RIGHT(AA99,LEN(AA99)-MIN(FIND({0;1;2;3;4;5;6;7;8;9},AA99&amp;"0123456789"))+1)),"")</f>
        <v/>
      </c>
    </row>
    <row r="100" spans="28:28" x14ac:dyDescent="0.2">
      <c r="AB100" s="660" t="str">
        <f>IFERROR(VALUE(RIGHT(AA100,LEN(AA100)-MIN(FIND({0;1;2;3;4;5;6;7;8;9},AA100&amp;"0123456789"))+1)),"")</f>
        <v/>
      </c>
    </row>
    <row r="101" spans="28:28" x14ac:dyDescent="0.2">
      <c r="AB101" s="660" t="str">
        <f>IFERROR(VALUE(RIGHT(AA101,LEN(AA101)-MIN(FIND({0;1;2;3;4;5;6;7;8;9},AA101&amp;"0123456789"))+1)),"")</f>
        <v/>
      </c>
    </row>
    <row r="102" spans="28:28" x14ac:dyDescent="0.2">
      <c r="AB102" s="660" t="str">
        <f>IFERROR(VALUE(RIGHT(AA102,LEN(AA102)-MIN(FIND({0;1;2;3;4;5;6;7;8;9},AA102&amp;"0123456789"))+1)),"")</f>
        <v/>
      </c>
    </row>
    <row r="103" spans="28:28" x14ac:dyDescent="0.2">
      <c r="AB103" s="660" t="str">
        <f>IFERROR(VALUE(RIGHT(AA103,LEN(AA103)-MIN(FIND({0;1;2;3;4;5;6;7;8;9},AA103&amp;"0123456789"))+1)),"")</f>
        <v/>
      </c>
    </row>
    <row r="104" spans="28:28" x14ac:dyDescent="0.2">
      <c r="AB104" s="660" t="str">
        <f>IFERROR(VALUE(RIGHT(AA104,LEN(AA104)-MIN(FIND({0;1;2;3;4;5;6;7;8;9},AA104&amp;"0123456789"))+1)),"")</f>
        <v/>
      </c>
    </row>
    <row r="105" spans="28:28" x14ac:dyDescent="0.2">
      <c r="AB105" s="660" t="str">
        <f>IFERROR(VALUE(RIGHT(AA105,LEN(AA105)-MIN(FIND({0;1;2;3;4;5;6;7;8;9},AA105&amp;"0123456789"))+1)),"")</f>
        <v/>
      </c>
    </row>
    <row r="106" spans="28:28" x14ac:dyDescent="0.2">
      <c r="AB106" s="660" t="str">
        <f>IFERROR(VALUE(RIGHT(AA106,LEN(AA106)-MIN(FIND({0;1;2;3;4;5;6;7;8;9},AA106&amp;"0123456789"))+1)),"")</f>
        <v/>
      </c>
    </row>
    <row r="107" spans="28:28" x14ac:dyDescent="0.2">
      <c r="AB107" s="660" t="str">
        <f>IFERROR(VALUE(RIGHT(AA107,LEN(AA107)-MIN(FIND({0;1;2;3;4;5;6;7;8;9},AA107&amp;"0123456789"))+1)),"")</f>
        <v/>
      </c>
    </row>
    <row r="108" spans="28:28" x14ac:dyDescent="0.2">
      <c r="AB108" s="660" t="str">
        <f>IFERROR(VALUE(RIGHT(AA108,LEN(AA108)-MIN(FIND({0;1;2;3;4;5;6;7;8;9},AA108&amp;"0123456789"))+1)),"")</f>
        <v/>
      </c>
    </row>
    <row r="109" spans="28:28" x14ac:dyDescent="0.2">
      <c r="AB109" s="660" t="str">
        <f>IFERROR(VALUE(RIGHT(AA109,LEN(AA109)-MIN(FIND({0;1;2;3;4;5;6;7;8;9},AA109&amp;"0123456789"))+1)),"")</f>
        <v/>
      </c>
    </row>
    <row r="110" spans="28:28" x14ac:dyDescent="0.2">
      <c r="AB110" s="660" t="str">
        <f>IFERROR(VALUE(RIGHT(AA110,LEN(AA110)-MIN(FIND({0;1;2;3;4;5;6;7;8;9},AA110&amp;"0123456789"))+1)),"")</f>
        <v/>
      </c>
    </row>
    <row r="111" spans="28:28" x14ac:dyDescent="0.2">
      <c r="AB111" s="660" t="str">
        <f>IFERROR(VALUE(RIGHT(AA111,LEN(AA111)-MIN(FIND({0;1;2;3;4;5;6;7;8;9},AA111&amp;"0123456789"))+1)),"")</f>
        <v/>
      </c>
    </row>
    <row r="112" spans="28:28" x14ac:dyDescent="0.2">
      <c r="AB112" s="660" t="str">
        <f>IFERROR(VALUE(RIGHT(AA112,LEN(AA112)-MIN(FIND({0;1;2;3;4;5;6;7;8;9},AA112&amp;"0123456789"))+1)),"")</f>
        <v/>
      </c>
    </row>
    <row r="113" spans="28:28" x14ac:dyDescent="0.2">
      <c r="AB113" s="660" t="str">
        <f>IFERROR(VALUE(RIGHT(AA113,LEN(AA113)-MIN(FIND({0;1;2;3;4;5;6;7;8;9},AA113&amp;"0123456789"))+1)),"")</f>
        <v/>
      </c>
    </row>
    <row r="114" spans="28:28" x14ac:dyDescent="0.2">
      <c r="AB114" s="660" t="str">
        <f>IFERROR(VALUE(RIGHT(AA114,LEN(AA114)-MIN(FIND({0;1;2;3;4;5;6;7;8;9},AA114&amp;"0123456789"))+1)),"")</f>
        <v/>
      </c>
    </row>
    <row r="115" spans="28:28" x14ac:dyDescent="0.2">
      <c r="AB115" s="660" t="str">
        <f>IFERROR(VALUE(RIGHT(AA115,LEN(AA115)-MIN(FIND({0;1;2;3;4;5;6;7;8;9},AA115&amp;"0123456789"))+1)),"")</f>
        <v/>
      </c>
    </row>
    <row r="116" spans="28:28" x14ac:dyDescent="0.2">
      <c r="AB116" s="660" t="str">
        <f>IFERROR(VALUE(RIGHT(AA116,LEN(AA116)-MIN(FIND({0;1;2;3;4;5;6;7;8;9},AA116&amp;"0123456789"))+1)),"")</f>
        <v/>
      </c>
    </row>
    <row r="117" spans="28:28" x14ac:dyDescent="0.2">
      <c r="AB117" s="660" t="str">
        <f>IFERROR(VALUE(RIGHT(AA117,LEN(AA117)-MIN(FIND({0;1;2;3;4;5;6;7;8;9},AA117&amp;"0123456789"))+1)),"")</f>
        <v/>
      </c>
    </row>
    <row r="118" spans="28:28" x14ac:dyDescent="0.2">
      <c r="AB118" s="660" t="str">
        <f>IFERROR(VALUE(RIGHT(AA118,LEN(AA118)-MIN(FIND({0;1;2;3;4;5;6;7;8;9},AA118&amp;"0123456789"))+1)),"")</f>
        <v/>
      </c>
    </row>
    <row r="119" spans="28:28" x14ac:dyDescent="0.2">
      <c r="AB119" s="660" t="str">
        <f>IFERROR(VALUE(RIGHT(AA119,LEN(AA119)-MIN(FIND({0;1;2;3;4;5;6;7;8;9},AA119&amp;"0123456789"))+1)),"")</f>
        <v/>
      </c>
    </row>
    <row r="120" spans="28:28" x14ac:dyDescent="0.2">
      <c r="AB120" s="660" t="str">
        <f>IFERROR(VALUE(RIGHT(AA120,LEN(AA120)-MIN(FIND({0;1;2;3;4;5;6;7;8;9},AA120&amp;"0123456789"))+1)),"")</f>
        <v/>
      </c>
    </row>
    <row r="121" spans="28:28" x14ac:dyDescent="0.2">
      <c r="AB121" s="660" t="str">
        <f>IFERROR(VALUE(RIGHT(AA121,LEN(AA121)-MIN(FIND({0;1;2;3;4;5;6;7;8;9},AA121&amp;"0123456789"))+1)),"")</f>
        <v/>
      </c>
    </row>
    <row r="122" spans="28:28" x14ac:dyDescent="0.2">
      <c r="AB122" s="660" t="str">
        <f>IFERROR(VALUE(RIGHT(AA122,LEN(AA122)-MIN(FIND({0;1;2;3;4;5;6;7;8;9},AA122&amp;"0123456789"))+1)),"")</f>
        <v/>
      </c>
    </row>
    <row r="123" spans="28:28" x14ac:dyDescent="0.2">
      <c r="AB123" s="660" t="str">
        <f>IFERROR(VALUE(RIGHT(AA123,LEN(AA123)-MIN(FIND({0;1;2;3;4;5;6;7;8;9},AA123&amp;"0123456789"))+1)),"")</f>
        <v/>
      </c>
    </row>
    <row r="124" spans="28:28" x14ac:dyDescent="0.2">
      <c r="AB124" s="660" t="str">
        <f>IFERROR(VALUE(RIGHT(AA124,LEN(AA124)-MIN(FIND({0;1;2;3;4;5;6;7;8;9},AA124&amp;"0123456789"))+1)),"")</f>
        <v/>
      </c>
    </row>
    <row r="125" spans="28:28" x14ac:dyDescent="0.2">
      <c r="AB125" s="660" t="str">
        <f>IFERROR(VALUE(RIGHT(AA125,LEN(AA125)-MIN(FIND({0;1;2;3;4;5;6;7;8;9},AA125&amp;"0123456789"))+1)),"")</f>
        <v/>
      </c>
    </row>
    <row r="126" spans="28:28" x14ac:dyDescent="0.2">
      <c r="AB126" s="660" t="str">
        <f>IFERROR(VALUE(RIGHT(AA126,LEN(AA126)-MIN(FIND({0;1;2;3;4;5;6;7;8;9},AA126&amp;"0123456789"))+1)),"")</f>
        <v/>
      </c>
    </row>
    <row r="127" spans="28:28" x14ac:dyDescent="0.2">
      <c r="AB127" s="660" t="str">
        <f>IFERROR(VALUE(RIGHT(AA127,LEN(AA127)-MIN(FIND({0;1;2;3;4;5;6;7;8;9},AA127&amp;"0123456789"))+1)),"")</f>
        <v/>
      </c>
    </row>
    <row r="128" spans="28:28" x14ac:dyDescent="0.2">
      <c r="AB128" s="660" t="str">
        <f>IFERROR(VALUE(RIGHT(AA128,LEN(AA128)-MIN(FIND({0;1;2;3;4;5;6;7;8;9},AA128&amp;"0123456789"))+1)),"")</f>
        <v/>
      </c>
    </row>
    <row r="129" spans="28:28" x14ac:dyDescent="0.2">
      <c r="AB129" s="660" t="str">
        <f>IFERROR(VALUE(RIGHT(AA129,LEN(AA129)-MIN(FIND({0;1;2;3;4;5;6;7;8;9},AA129&amp;"0123456789"))+1)),"")</f>
        <v/>
      </c>
    </row>
    <row r="130" spans="28:28" x14ac:dyDescent="0.2">
      <c r="AB130" s="660" t="str">
        <f>IFERROR(VALUE(RIGHT(AA130,LEN(AA130)-MIN(FIND({0;1;2;3;4;5;6;7;8;9},AA130&amp;"0123456789"))+1)),"")</f>
        <v/>
      </c>
    </row>
    <row r="131" spans="28:28" x14ac:dyDescent="0.2">
      <c r="AB131" s="660" t="str">
        <f>IFERROR(VALUE(RIGHT(AA131,LEN(AA131)-MIN(FIND({0;1;2;3;4;5;6;7;8;9},AA131&amp;"0123456789"))+1)),"")</f>
        <v/>
      </c>
    </row>
    <row r="132" spans="28:28" x14ac:dyDescent="0.2">
      <c r="AB132" s="660" t="str">
        <f>IFERROR(VALUE(RIGHT(AA132,LEN(AA132)-MIN(FIND({0;1;2;3;4;5;6;7;8;9},AA132&amp;"0123456789"))+1)),"")</f>
        <v/>
      </c>
    </row>
    <row r="133" spans="28:28" x14ac:dyDescent="0.2">
      <c r="AB133" s="660" t="str">
        <f>IFERROR(VALUE(RIGHT(AA133,LEN(AA133)-MIN(FIND({0;1;2;3;4;5;6;7;8;9},AA133&amp;"0123456789"))+1)),"")</f>
        <v/>
      </c>
    </row>
    <row r="134" spans="28:28" x14ac:dyDescent="0.2">
      <c r="AB134" s="660" t="str">
        <f>IFERROR(VALUE(RIGHT(AA134,LEN(AA134)-MIN(FIND({0;1;2;3;4;5;6;7;8;9},AA134&amp;"0123456789"))+1)),"")</f>
        <v/>
      </c>
    </row>
    <row r="135" spans="28:28" x14ac:dyDescent="0.2">
      <c r="AB135" s="660" t="str">
        <f>IFERROR(VALUE(RIGHT(AA135,LEN(AA135)-MIN(FIND({0;1;2;3;4;5;6;7;8;9},AA135&amp;"0123456789"))+1)),"")</f>
        <v/>
      </c>
    </row>
    <row r="136" spans="28:28" x14ac:dyDescent="0.2">
      <c r="AB136" s="660" t="str">
        <f>IFERROR(VALUE(RIGHT(AA136,LEN(AA136)-MIN(FIND({0;1;2;3;4;5;6;7;8;9},AA136&amp;"0123456789"))+1)),"")</f>
        <v/>
      </c>
    </row>
    <row r="137" spans="28:28" x14ac:dyDescent="0.2">
      <c r="AB137" s="660" t="str">
        <f>IFERROR(VALUE(RIGHT(AA137,LEN(AA137)-MIN(FIND({0;1;2;3;4;5;6;7;8;9},AA137&amp;"0123456789"))+1)),"")</f>
        <v/>
      </c>
    </row>
    <row r="138" spans="28:28" x14ac:dyDescent="0.2">
      <c r="AB138" s="660" t="str">
        <f>IFERROR(VALUE(RIGHT(AA138,LEN(AA138)-MIN(FIND({0;1;2;3;4;5;6;7;8;9},AA138&amp;"0123456789"))+1)),"")</f>
        <v/>
      </c>
    </row>
    <row r="139" spans="28:28" x14ac:dyDescent="0.2">
      <c r="AB139" s="660" t="str">
        <f>IFERROR(VALUE(RIGHT(AA139,LEN(AA139)-MIN(FIND({0;1;2;3;4;5;6;7;8;9},AA139&amp;"0123456789"))+1)),"")</f>
        <v/>
      </c>
    </row>
    <row r="140" spans="28:28" x14ac:dyDescent="0.2">
      <c r="AB140" s="660" t="str">
        <f>IFERROR(VALUE(RIGHT(AA140,LEN(AA140)-MIN(FIND({0;1;2;3;4;5;6;7;8;9},AA140&amp;"0123456789"))+1)),"")</f>
        <v/>
      </c>
    </row>
    <row r="141" spans="28:28" x14ac:dyDescent="0.2">
      <c r="AB141" s="660" t="str">
        <f>IFERROR(VALUE(RIGHT(AA141,LEN(AA141)-MIN(FIND({0;1;2;3;4;5;6;7;8;9},AA141&amp;"0123456789"))+1)),"")</f>
        <v/>
      </c>
    </row>
    <row r="142" spans="28:28" x14ac:dyDescent="0.2">
      <c r="AB142" s="660" t="str">
        <f>IFERROR(VALUE(RIGHT(AA142,LEN(AA142)-MIN(FIND({0;1;2;3;4;5;6;7;8;9},AA142&amp;"0123456789"))+1)),"")</f>
        <v/>
      </c>
    </row>
    <row r="143" spans="28:28" x14ac:dyDescent="0.2">
      <c r="AB143" s="660" t="str">
        <f>IFERROR(VALUE(RIGHT(AA143,LEN(AA143)-MIN(FIND({0;1;2;3;4;5;6;7;8;9},AA143&amp;"0123456789"))+1)),"")</f>
        <v/>
      </c>
    </row>
    <row r="144" spans="28:28" x14ac:dyDescent="0.2">
      <c r="AB144" s="660" t="str">
        <f>IFERROR(VALUE(RIGHT(AA144,LEN(AA144)-MIN(FIND({0;1;2;3;4;5;6;7;8;9},AA144&amp;"0123456789"))+1)),"")</f>
        <v/>
      </c>
    </row>
    <row r="145" spans="28:28" x14ac:dyDescent="0.2">
      <c r="AB145" s="660" t="str">
        <f>IFERROR(VALUE(RIGHT(AA145,LEN(AA145)-MIN(FIND({0;1;2;3;4;5;6;7;8;9},AA145&amp;"0123456789"))+1)),"")</f>
        <v/>
      </c>
    </row>
    <row r="146" spans="28:28" x14ac:dyDescent="0.2">
      <c r="AB146" s="660" t="str">
        <f>IFERROR(VALUE(RIGHT(AA146,LEN(AA146)-MIN(FIND({0;1;2;3;4;5;6;7;8;9},AA146&amp;"0123456789"))+1)),"")</f>
        <v/>
      </c>
    </row>
    <row r="147" spans="28:28" x14ac:dyDescent="0.2">
      <c r="AB147" s="660" t="str">
        <f>IFERROR(VALUE(RIGHT(AA147,LEN(AA147)-MIN(FIND({0;1;2;3;4;5;6;7;8;9},AA147&amp;"0123456789"))+1)),"")</f>
        <v/>
      </c>
    </row>
    <row r="148" spans="28:28" x14ac:dyDescent="0.2">
      <c r="AB148" s="660" t="str">
        <f>IFERROR(VALUE(RIGHT(AA148,LEN(AA148)-MIN(FIND({0;1;2;3;4;5;6;7;8;9},AA148&amp;"0123456789"))+1)),"")</f>
        <v/>
      </c>
    </row>
    <row r="149" spans="28:28" x14ac:dyDescent="0.2">
      <c r="AB149" s="660" t="str">
        <f>IFERROR(VALUE(RIGHT(AA149,LEN(AA149)-MIN(FIND({0;1;2;3;4;5;6;7;8;9},AA149&amp;"0123456789"))+1)),"")</f>
        <v/>
      </c>
    </row>
    <row r="150" spans="28:28" x14ac:dyDescent="0.2">
      <c r="AB150" s="660" t="str">
        <f>IFERROR(VALUE(RIGHT(AA150,LEN(AA150)-MIN(FIND({0;1;2;3;4;5;6;7;8;9},AA150&amp;"0123456789"))+1)),"")</f>
        <v/>
      </c>
    </row>
    <row r="151" spans="28:28" x14ac:dyDescent="0.2">
      <c r="AB151" s="660" t="str">
        <f>IFERROR(VALUE(RIGHT(AA151,LEN(AA151)-MIN(FIND({0;1;2;3;4;5;6;7;8;9},AA151&amp;"0123456789"))+1)),"")</f>
        <v/>
      </c>
    </row>
    <row r="152" spans="28:28" x14ac:dyDescent="0.2">
      <c r="AB152" s="660" t="str">
        <f>IFERROR(VALUE(RIGHT(AA152,LEN(AA152)-MIN(FIND({0;1;2;3;4;5;6;7;8;9},AA152&amp;"0123456789"))+1)),"")</f>
        <v/>
      </c>
    </row>
    <row r="153" spans="28:28" x14ac:dyDescent="0.2">
      <c r="AB153" s="660" t="str">
        <f>IFERROR(VALUE(RIGHT(AA153,LEN(AA153)-MIN(FIND({0;1;2;3;4;5;6;7;8;9},AA153&amp;"0123456789"))+1)),"")</f>
        <v/>
      </c>
    </row>
    <row r="154" spans="28:28" x14ac:dyDescent="0.2">
      <c r="AB154" s="660" t="str">
        <f>IFERROR(VALUE(RIGHT(AA154,LEN(AA154)-MIN(FIND({0;1;2;3;4;5;6;7;8;9},AA154&amp;"0123456789"))+1)),"")</f>
        <v/>
      </c>
    </row>
    <row r="155" spans="28:28" x14ac:dyDescent="0.2">
      <c r="AB155" s="660" t="str">
        <f>IFERROR(VALUE(RIGHT(AA155,LEN(AA155)-MIN(FIND({0;1;2;3;4;5;6;7;8;9},AA155&amp;"0123456789"))+1)),"")</f>
        <v/>
      </c>
    </row>
    <row r="156" spans="28:28" x14ac:dyDescent="0.2">
      <c r="AB156" s="660" t="str">
        <f>IFERROR(VALUE(RIGHT(AA156,LEN(AA156)-MIN(FIND({0;1;2;3;4;5;6;7;8;9},AA156&amp;"0123456789"))+1)),"")</f>
        <v/>
      </c>
    </row>
    <row r="157" spans="28:28" x14ac:dyDescent="0.2">
      <c r="AB157" s="660" t="str">
        <f>IFERROR(VALUE(RIGHT(AA157,LEN(AA157)-MIN(FIND({0;1;2;3;4;5;6;7;8;9},AA157&amp;"0123456789"))+1)),"")</f>
        <v/>
      </c>
    </row>
    <row r="158" spans="28:28" x14ac:dyDescent="0.2">
      <c r="AB158" s="660" t="str">
        <f>IFERROR(VALUE(RIGHT(AA158,LEN(AA158)-MIN(FIND({0;1;2;3;4;5;6;7;8;9},AA158&amp;"0123456789"))+1)),"")</f>
        <v/>
      </c>
    </row>
    <row r="159" spans="28:28" x14ac:dyDescent="0.2">
      <c r="AB159" s="660" t="str">
        <f>IFERROR(VALUE(RIGHT(AA159,LEN(AA159)-MIN(FIND({0;1;2;3;4;5;6;7;8;9},AA159&amp;"0123456789"))+1)),"")</f>
        <v/>
      </c>
    </row>
    <row r="160" spans="28:28" x14ac:dyDescent="0.2">
      <c r="AB160" s="660" t="str">
        <f>IFERROR(VALUE(RIGHT(AA160,LEN(AA160)-MIN(FIND({0;1;2;3;4;5;6;7;8;9},AA160&amp;"0123456789"))+1)),"")</f>
        <v/>
      </c>
    </row>
    <row r="161" spans="28:28" x14ac:dyDescent="0.2">
      <c r="AB161" s="660" t="str">
        <f>IFERROR(VALUE(RIGHT(AA161,LEN(AA161)-MIN(FIND({0;1;2;3;4;5;6;7;8;9},AA161&amp;"0123456789"))+1)),"")</f>
        <v/>
      </c>
    </row>
    <row r="162" spans="28:28" x14ac:dyDescent="0.2">
      <c r="AB162" s="660" t="str">
        <f>IFERROR(VALUE(RIGHT(AA162,LEN(AA162)-MIN(FIND({0;1;2;3;4;5;6;7;8;9},AA162&amp;"0123456789"))+1)),"")</f>
        <v/>
      </c>
    </row>
    <row r="163" spans="28:28" x14ac:dyDescent="0.2">
      <c r="AB163" s="660" t="str">
        <f>IFERROR(VALUE(RIGHT(AA163,LEN(AA163)-MIN(FIND({0;1;2;3;4;5;6;7;8;9},AA163&amp;"0123456789"))+1)),"")</f>
        <v/>
      </c>
    </row>
    <row r="164" spans="28:28" x14ac:dyDescent="0.2">
      <c r="AB164" s="660" t="str">
        <f>IFERROR(VALUE(RIGHT(AA164,LEN(AA164)-MIN(FIND({0;1;2;3;4;5;6;7;8;9},AA164&amp;"0123456789"))+1)),"")</f>
        <v/>
      </c>
    </row>
    <row r="165" spans="28:28" x14ac:dyDescent="0.2">
      <c r="AB165" s="660" t="str">
        <f>IFERROR(VALUE(RIGHT(AA165,LEN(AA165)-MIN(FIND({0;1;2;3;4;5;6;7;8;9},AA165&amp;"0123456789"))+1)),"")</f>
        <v/>
      </c>
    </row>
    <row r="166" spans="28:28" x14ac:dyDescent="0.2">
      <c r="AB166" s="660" t="str">
        <f>IFERROR(VALUE(RIGHT(AA166,LEN(AA166)-MIN(FIND({0;1;2;3;4;5;6;7;8;9},AA166&amp;"0123456789"))+1)),"")</f>
        <v/>
      </c>
    </row>
    <row r="167" spans="28:28" x14ac:dyDescent="0.2">
      <c r="AB167" s="660" t="str">
        <f>IFERROR(VALUE(RIGHT(AA167,LEN(AA167)-MIN(FIND({0;1;2;3;4;5;6;7;8;9},AA167&amp;"0123456789"))+1)),"")</f>
        <v/>
      </c>
    </row>
    <row r="168" spans="28:28" x14ac:dyDescent="0.2">
      <c r="AB168" s="660" t="str">
        <f>IFERROR(VALUE(RIGHT(AA168,LEN(AA168)-MIN(FIND({0;1;2;3;4;5;6;7;8;9},AA168&amp;"0123456789"))+1)),"")</f>
        <v/>
      </c>
    </row>
    <row r="169" spans="28:28" x14ac:dyDescent="0.2">
      <c r="AB169" s="660" t="str">
        <f>IFERROR(VALUE(RIGHT(AA169,LEN(AA169)-MIN(FIND({0;1;2;3;4;5;6;7;8;9},AA169&amp;"0123456789"))+1)),"")</f>
        <v/>
      </c>
    </row>
    <row r="170" spans="28:28" x14ac:dyDescent="0.2">
      <c r="AB170" s="660" t="str">
        <f>IFERROR(VALUE(RIGHT(AA170,LEN(AA170)-MIN(FIND({0;1;2;3;4;5;6;7;8;9},AA170&amp;"0123456789"))+1)),"")</f>
        <v/>
      </c>
    </row>
    <row r="171" spans="28:28" x14ac:dyDescent="0.2">
      <c r="AB171" s="660" t="str">
        <f>IFERROR(VALUE(RIGHT(AA171,LEN(AA171)-MIN(FIND({0;1;2;3;4;5;6;7;8;9},AA171&amp;"0123456789"))+1)),"")</f>
        <v/>
      </c>
    </row>
    <row r="172" spans="28:28" x14ac:dyDescent="0.2">
      <c r="AB172" s="660" t="str">
        <f>IFERROR(VALUE(RIGHT(AA172,LEN(AA172)-MIN(FIND({0;1;2;3;4;5;6;7;8;9},AA172&amp;"0123456789"))+1)),"")</f>
        <v/>
      </c>
    </row>
    <row r="173" spans="28:28" x14ac:dyDescent="0.2">
      <c r="AB173" s="660" t="str">
        <f>IFERROR(VALUE(RIGHT(AA173,LEN(AA173)-MIN(FIND({0;1;2;3;4;5;6;7;8;9},AA173&amp;"0123456789"))+1)),"")</f>
        <v/>
      </c>
    </row>
    <row r="174" spans="28:28" x14ac:dyDescent="0.2">
      <c r="AB174" s="660" t="str">
        <f>IFERROR(VALUE(RIGHT(AA174,LEN(AA174)-MIN(FIND({0;1;2;3;4;5;6;7;8;9},AA174&amp;"0123456789"))+1)),"")</f>
        <v/>
      </c>
    </row>
    <row r="175" spans="28:28" x14ac:dyDescent="0.2">
      <c r="AB175" s="660" t="str">
        <f>IFERROR(VALUE(RIGHT(AA175,LEN(AA175)-MIN(FIND({0;1;2;3;4;5;6;7;8;9},AA175&amp;"0123456789"))+1)),"")</f>
        <v/>
      </c>
    </row>
    <row r="176" spans="28:28" x14ac:dyDescent="0.2">
      <c r="AB176" s="660" t="str">
        <f>IFERROR(VALUE(RIGHT(AA176,LEN(AA176)-MIN(FIND({0;1;2;3;4;5;6;7;8;9},AA176&amp;"0123456789"))+1)),"")</f>
        <v/>
      </c>
    </row>
    <row r="177" spans="28:28" x14ac:dyDescent="0.2">
      <c r="AB177" s="660" t="str">
        <f>IFERROR(VALUE(RIGHT(AA177,LEN(AA177)-MIN(FIND({0;1;2;3;4;5;6;7;8;9},AA177&amp;"0123456789"))+1)),"")</f>
        <v/>
      </c>
    </row>
    <row r="178" spans="28:28" x14ac:dyDescent="0.2">
      <c r="AB178" s="660" t="str">
        <f>IFERROR(VALUE(RIGHT(AA178,LEN(AA178)-MIN(FIND({0;1;2;3;4;5;6;7;8;9},AA178&amp;"0123456789"))+1)),"")</f>
        <v/>
      </c>
    </row>
    <row r="179" spans="28:28" x14ac:dyDescent="0.2">
      <c r="AB179" s="660" t="str">
        <f>IFERROR(VALUE(RIGHT(AA179,LEN(AA179)-MIN(FIND({0;1;2;3;4;5;6;7;8;9},AA179&amp;"0123456789"))+1)),"")</f>
        <v/>
      </c>
    </row>
    <row r="180" spans="28:28" x14ac:dyDescent="0.2">
      <c r="AB180" s="660" t="str">
        <f>IFERROR(VALUE(RIGHT(AA180,LEN(AA180)-MIN(FIND({0;1;2;3;4;5;6;7;8;9},AA180&amp;"0123456789"))+1)),"")</f>
        <v/>
      </c>
    </row>
    <row r="181" spans="28:28" x14ac:dyDescent="0.2">
      <c r="AB181" s="660" t="str">
        <f>IFERROR(VALUE(RIGHT(AA181,LEN(AA181)-MIN(FIND({0;1;2;3;4;5;6;7;8;9},AA181&amp;"0123456789"))+1)),"")</f>
        <v/>
      </c>
    </row>
    <row r="182" spans="28:28" x14ac:dyDescent="0.2">
      <c r="AB182" s="660" t="str">
        <f>IFERROR(VALUE(RIGHT(AA182,LEN(AA182)-MIN(FIND({0;1;2;3;4;5;6;7;8;9},AA182&amp;"0123456789"))+1)),"")</f>
        <v/>
      </c>
    </row>
    <row r="183" spans="28:28" x14ac:dyDescent="0.2">
      <c r="AB183" s="660" t="str">
        <f>IFERROR(VALUE(RIGHT(AA183,LEN(AA183)-MIN(FIND({0;1;2;3;4;5;6;7;8;9},AA183&amp;"0123456789"))+1)),"")</f>
        <v/>
      </c>
    </row>
    <row r="184" spans="28:28" x14ac:dyDescent="0.2">
      <c r="AB184" s="660" t="str">
        <f>IFERROR(VALUE(RIGHT(AA184,LEN(AA184)-MIN(FIND({0;1;2;3;4;5;6;7;8;9},AA184&amp;"0123456789"))+1)),"")</f>
        <v/>
      </c>
    </row>
    <row r="185" spans="28:28" x14ac:dyDescent="0.2">
      <c r="AB185" s="660" t="str">
        <f>IFERROR(VALUE(RIGHT(AA185,LEN(AA185)-MIN(FIND({0;1;2;3;4;5;6;7;8;9},AA185&amp;"0123456789"))+1)),"")</f>
        <v/>
      </c>
    </row>
    <row r="186" spans="28:28" x14ac:dyDescent="0.2">
      <c r="AB186" s="660" t="str">
        <f>IFERROR(VALUE(RIGHT(AA186,LEN(AA186)-MIN(FIND({0;1;2;3;4;5;6;7;8;9},AA186&amp;"0123456789"))+1)),"")</f>
        <v/>
      </c>
    </row>
    <row r="187" spans="28:28" x14ac:dyDescent="0.2">
      <c r="AB187" s="660" t="str">
        <f>IFERROR(VALUE(RIGHT(AA187,LEN(AA187)-MIN(FIND({0;1;2;3;4;5;6;7;8;9},AA187&amp;"0123456789"))+1)),"")</f>
        <v/>
      </c>
    </row>
    <row r="188" spans="28:28" x14ac:dyDescent="0.2">
      <c r="AB188" s="660" t="str">
        <f>IFERROR(VALUE(RIGHT(AA188,LEN(AA188)-MIN(FIND({0;1;2;3;4;5;6;7;8;9},AA188&amp;"0123456789"))+1)),"")</f>
        <v/>
      </c>
    </row>
    <row r="189" spans="28:28" x14ac:dyDescent="0.2">
      <c r="AB189" s="660" t="str">
        <f>IFERROR(VALUE(RIGHT(AA189,LEN(AA189)-MIN(FIND({0;1;2;3;4;5;6;7;8;9},AA189&amp;"0123456789"))+1)),"")</f>
        <v/>
      </c>
    </row>
    <row r="190" spans="28:28" x14ac:dyDescent="0.2">
      <c r="AB190" s="660" t="str">
        <f>IFERROR(VALUE(RIGHT(AA190,LEN(AA190)-MIN(FIND({0;1;2;3;4;5;6;7;8;9},AA190&amp;"0123456789"))+1)),"")</f>
        <v/>
      </c>
    </row>
    <row r="191" spans="28:28" x14ac:dyDescent="0.2">
      <c r="AB191" s="660" t="str">
        <f>IFERROR(VALUE(RIGHT(AA191,LEN(AA191)-MIN(FIND({0;1;2;3;4;5;6;7;8;9},AA191&amp;"0123456789"))+1)),"")</f>
        <v/>
      </c>
    </row>
    <row r="192" spans="28:28" x14ac:dyDescent="0.2">
      <c r="AB192" s="660" t="str">
        <f>IFERROR(VALUE(RIGHT(AA192,LEN(AA192)-MIN(FIND({0;1;2;3;4;5;6;7;8;9},AA192&amp;"0123456789"))+1)),"")</f>
        <v/>
      </c>
    </row>
    <row r="193" spans="28:28" x14ac:dyDescent="0.2">
      <c r="AB193" s="660" t="str">
        <f>IFERROR(VALUE(RIGHT(AA193,LEN(AA193)-MIN(FIND({0;1;2;3;4;5;6;7;8;9},AA193&amp;"0123456789"))+1)),"")</f>
        <v/>
      </c>
    </row>
    <row r="194" spans="28:28" x14ac:dyDescent="0.2">
      <c r="AB194" s="660" t="str">
        <f>IFERROR(VALUE(RIGHT(AA194,LEN(AA194)-MIN(FIND({0;1;2;3;4;5;6;7;8;9},AA194&amp;"0123456789"))+1)),"")</f>
        <v/>
      </c>
    </row>
    <row r="195" spans="28:28" x14ac:dyDescent="0.2">
      <c r="AB195" s="660" t="str">
        <f>IFERROR(VALUE(RIGHT(AA195,LEN(AA195)-MIN(FIND({0;1;2;3;4;5;6;7;8;9},AA195&amp;"0123456789"))+1)),"")</f>
        <v/>
      </c>
    </row>
    <row r="196" spans="28:28" x14ac:dyDescent="0.2">
      <c r="AB196" s="660" t="str">
        <f>IFERROR(VALUE(RIGHT(AA196,LEN(AA196)-MIN(FIND({0;1;2;3;4;5;6;7;8;9},AA196&amp;"0123456789"))+1)),"")</f>
        <v/>
      </c>
    </row>
    <row r="197" spans="28:28" x14ac:dyDescent="0.2">
      <c r="AB197" s="660" t="str">
        <f>IFERROR(VALUE(RIGHT(AA197,LEN(AA197)-MIN(FIND({0;1;2;3;4;5;6;7;8;9},AA197&amp;"0123456789"))+1)),"")</f>
        <v/>
      </c>
    </row>
    <row r="198" spans="28:28" x14ac:dyDescent="0.2">
      <c r="AB198" s="660" t="str">
        <f>IFERROR(VALUE(RIGHT(AA198,LEN(AA198)-MIN(FIND({0;1;2;3;4;5;6;7;8;9},AA198&amp;"0123456789"))+1)),"")</f>
        <v/>
      </c>
    </row>
    <row r="199" spans="28:28" x14ac:dyDescent="0.2">
      <c r="AB199" s="660" t="str">
        <f>IFERROR(VALUE(RIGHT(AA199,LEN(AA199)-MIN(FIND({0;1;2;3;4;5;6;7;8;9},AA199&amp;"0123456789"))+1)),"")</f>
        <v/>
      </c>
    </row>
    <row r="200" spans="28:28" x14ac:dyDescent="0.2">
      <c r="AB200" s="660" t="str">
        <f>IFERROR(VALUE(RIGHT(AA200,LEN(AA200)-MIN(FIND({0;1;2;3;4;5;6;7;8;9},AA200&amp;"0123456789"))+1)),"")</f>
        <v/>
      </c>
    </row>
    <row r="201" spans="28:28" x14ac:dyDescent="0.2">
      <c r="AB201" s="660" t="str">
        <f>IFERROR(VALUE(RIGHT(AA201,LEN(AA201)-MIN(FIND({0;1;2;3;4;5;6;7;8;9},AA201&amp;"0123456789"))+1)),"")</f>
        <v/>
      </c>
    </row>
    <row r="202" spans="28:28" x14ac:dyDescent="0.2">
      <c r="AB202" s="660" t="str">
        <f>IFERROR(VALUE(RIGHT(AA202,LEN(AA202)-MIN(FIND({0;1;2;3;4;5;6;7;8;9},AA202&amp;"0123456789"))+1)),"")</f>
        <v/>
      </c>
    </row>
    <row r="203" spans="28:28" x14ac:dyDescent="0.2">
      <c r="AB203" s="660" t="str">
        <f>IFERROR(VALUE(RIGHT(AA203,LEN(AA203)-MIN(FIND({0;1;2;3;4;5;6;7;8;9},AA203&amp;"0123456789"))+1)),"")</f>
        <v/>
      </c>
    </row>
    <row r="204" spans="28:28" x14ac:dyDescent="0.2">
      <c r="AB204" s="660" t="str">
        <f>IFERROR(VALUE(RIGHT(AA204,LEN(AA204)-MIN(FIND({0;1;2;3;4;5;6;7;8;9},AA204&amp;"0123456789"))+1)),"")</f>
        <v/>
      </c>
    </row>
    <row r="205" spans="28:28" x14ac:dyDescent="0.2">
      <c r="AB205" s="660" t="str">
        <f>IFERROR(VALUE(RIGHT(AA205,LEN(AA205)-MIN(FIND({0;1;2;3;4;5;6;7;8;9},AA205&amp;"0123456789"))+1)),"")</f>
        <v/>
      </c>
    </row>
    <row r="206" spans="28:28" x14ac:dyDescent="0.2">
      <c r="AB206" s="660" t="str">
        <f>IFERROR(VALUE(RIGHT(AA206,LEN(AA206)-MIN(FIND({0;1;2;3;4;5;6;7;8;9},AA206&amp;"0123456789"))+1)),"")</f>
        <v/>
      </c>
    </row>
    <row r="207" spans="28:28" x14ac:dyDescent="0.2">
      <c r="AB207" s="660" t="str">
        <f>IFERROR(VALUE(RIGHT(AA207,LEN(AA207)-MIN(FIND({0;1;2;3;4;5;6;7;8;9},AA207&amp;"0123456789"))+1)),"")</f>
        <v/>
      </c>
    </row>
    <row r="208" spans="28:28" x14ac:dyDescent="0.2">
      <c r="AB208" s="660" t="str">
        <f>IFERROR(VALUE(RIGHT(AA208,LEN(AA208)-MIN(FIND({0;1;2;3;4;5;6;7;8;9},AA208&amp;"0123456789"))+1)),"")</f>
        <v/>
      </c>
    </row>
    <row r="209" spans="28:28" x14ac:dyDescent="0.2">
      <c r="AB209" s="660" t="str">
        <f>IFERROR(VALUE(RIGHT(AA209,LEN(AA209)-MIN(FIND({0;1;2;3;4;5;6;7;8;9},AA209&amp;"0123456789"))+1)),"")</f>
        <v/>
      </c>
    </row>
    <row r="210" spans="28:28" x14ac:dyDescent="0.2">
      <c r="AB210" s="660" t="str">
        <f>IFERROR(VALUE(RIGHT(AA210,LEN(AA210)-MIN(FIND({0;1;2;3;4;5;6;7;8;9},AA210&amp;"0123456789"))+1)),"")</f>
        <v/>
      </c>
    </row>
    <row r="211" spans="28:28" x14ac:dyDescent="0.2">
      <c r="AB211" s="660" t="str">
        <f>IFERROR(VALUE(RIGHT(AA211,LEN(AA211)-MIN(FIND({0;1;2;3;4;5;6;7;8;9},AA211&amp;"0123456789"))+1)),"")</f>
        <v/>
      </c>
    </row>
    <row r="212" spans="28:28" x14ac:dyDescent="0.2">
      <c r="AB212" s="660" t="str">
        <f>IFERROR(VALUE(RIGHT(AA212,LEN(AA212)-MIN(FIND({0;1;2;3;4;5;6;7;8;9},AA212&amp;"0123456789"))+1)),"")</f>
        <v/>
      </c>
    </row>
    <row r="213" spans="28:28" x14ac:dyDescent="0.2">
      <c r="AB213" s="660" t="str">
        <f>IFERROR(VALUE(RIGHT(AA213,LEN(AA213)-MIN(FIND({0;1;2;3;4;5;6;7;8;9},AA213&amp;"0123456789"))+1)),"")</f>
        <v/>
      </c>
    </row>
    <row r="214" spans="28:28" x14ac:dyDescent="0.2">
      <c r="AB214" s="660" t="str">
        <f>IFERROR(VALUE(RIGHT(AA214,LEN(AA214)-MIN(FIND({0;1;2;3;4;5;6;7;8;9},AA214&amp;"0123456789"))+1)),"")</f>
        <v/>
      </c>
    </row>
    <row r="215" spans="28:28" x14ac:dyDescent="0.2">
      <c r="AB215" s="660" t="str">
        <f>IFERROR(VALUE(RIGHT(AA215,LEN(AA215)-MIN(FIND({0;1;2;3;4;5;6;7;8;9},AA215&amp;"0123456789"))+1)),"")</f>
        <v/>
      </c>
    </row>
    <row r="216" spans="28:28" x14ac:dyDescent="0.2">
      <c r="AB216" s="660" t="str">
        <f>IFERROR(VALUE(RIGHT(AA216,LEN(AA216)-MIN(FIND({0;1;2;3;4;5;6;7;8;9},AA216&amp;"0123456789"))+1)),"")</f>
        <v/>
      </c>
    </row>
    <row r="217" spans="28:28" x14ac:dyDescent="0.2">
      <c r="AB217" s="660" t="str">
        <f>IFERROR(VALUE(RIGHT(AA217,LEN(AA217)-MIN(FIND({0;1;2;3;4;5;6;7;8;9},AA217&amp;"0123456789"))+1)),"")</f>
        <v/>
      </c>
    </row>
    <row r="218" spans="28:28" x14ac:dyDescent="0.2">
      <c r="AB218" s="660" t="str">
        <f>IFERROR(VALUE(RIGHT(AA218,LEN(AA218)-MIN(FIND({0;1;2;3;4;5;6;7;8;9},AA218&amp;"0123456789"))+1)),"")</f>
        <v/>
      </c>
    </row>
    <row r="219" spans="28:28" x14ac:dyDescent="0.2">
      <c r="AB219" s="660" t="str">
        <f>IFERROR(VALUE(RIGHT(AA219,LEN(AA219)-MIN(FIND({0;1;2;3;4;5;6;7;8;9},AA219&amp;"0123456789"))+1)),"")</f>
        <v/>
      </c>
    </row>
    <row r="220" spans="28:28" x14ac:dyDescent="0.2">
      <c r="AB220" s="660" t="str">
        <f>IFERROR(VALUE(RIGHT(AA220,LEN(AA220)-MIN(FIND({0;1;2;3;4;5;6;7;8;9},AA220&amp;"0123456789"))+1)),"")</f>
        <v/>
      </c>
    </row>
    <row r="221" spans="28:28" x14ac:dyDescent="0.2">
      <c r="AB221" s="660" t="str">
        <f>IFERROR(VALUE(RIGHT(AA221,LEN(AA221)-MIN(FIND({0;1;2;3;4;5;6;7;8;9},AA221&amp;"0123456789"))+1)),"")</f>
        <v/>
      </c>
    </row>
    <row r="222" spans="28:28" x14ac:dyDescent="0.2">
      <c r="AB222" s="660" t="str">
        <f>IFERROR(VALUE(RIGHT(AA222,LEN(AA222)-MIN(FIND({0;1;2;3;4;5;6;7;8;9},AA222&amp;"0123456789"))+1)),"")</f>
        <v/>
      </c>
    </row>
    <row r="223" spans="28:28" x14ac:dyDescent="0.2">
      <c r="AB223" s="660" t="str">
        <f>IFERROR(VALUE(RIGHT(AA223,LEN(AA223)-MIN(FIND({0;1;2;3;4;5;6;7;8;9},AA223&amp;"0123456789"))+1)),"")</f>
        <v/>
      </c>
    </row>
    <row r="224" spans="28:28" x14ac:dyDescent="0.2">
      <c r="AB224" s="660" t="str">
        <f>IFERROR(VALUE(RIGHT(AA224,LEN(AA224)-MIN(FIND({0;1;2;3;4;5;6;7;8;9},AA224&amp;"0123456789"))+1)),"")</f>
        <v/>
      </c>
    </row>
    <row r="225" spans="28:28" x14ac:dyDescent="0.2">
      <c r="AB225" s="660" t="str">
        <f>IFERROR(VALUE(RIGHT(AA225,LEN(AA225)-MIN(FIND({0;1;2;3;4;5;6;7;8;9},AA225&amp;"0123456789"))+1)),"")</f>
        <v/>
      </c>
    </row>
    <row r="226" spans="28:28" x14ac:dyDescent="0.2">
      <c r="AB226" s="660" t="str">
        <f>IFERROR(VALUE(RIGHT(AA226,LEN(AA226)-MIN(FIND({0;1;2;3;4;5;6;7;8;9},AA226&amp;"0123456789"))+1)),"")</f>
        <v/>
      </c>
    </row>
    <row r="227" spans="28:28" x14ac:dyDescent="0.2">
      <c r="AB227" s="660" t="str">
        <f>IFERROR(VALUE(RIGHT(AA227,LEN(AA227)-MIN(FIND({0;1;2;3;4;5;6;7;8;9},AA227&amp;"0123456789"))+1)),"")</f>
        <v/>
      </c>
    </row>
    <row r="228" spans="28:28" x14ac:dyDescent="0.2">
      <c r="AB228" s="660" t="str">
        <f>IFERROR(VALUE(RIGHT(AA228,LEN(AA228)-MIN(FIND({0;1;2;3;4;5;6;7;8;9},AA228&amp;"0123456789"))+1)),"")</f>
        <v/>
      </c>
    </row>
    <row r="229" spans="28:28" x14ac:dyDescent="0.2">
      <c r="AB229" s="660" t="str">
        <f>IFERROR(VALUE(RIGHT(AA229,LEN(AA229)-MIN(FIND({0;1;2;3;4;5;6;7;8;9},AA229&amp;"0123456789"))+1)),"")</f>
        <v/>
      </c>
    </row>
    <row r="230" spans="28:28" x14ac:dyDescent="0.2">
      <c r="AB230" s="660" t="str">
        <f>IFERROR(VALUE(RIGHT(AA230,LEN(AA230)-MIN(FIND({0;1;2;3;4;5;6;7;8;9},AA230&amp;"0123456789"))+1)),"")</f>
        <v/>
      </c>
    </row>
    <row r="231" spans="28:28" x14ac:dyDescent="0.2">
      <c r="AB231" s="660" t="str">
        <f>IFERROR(VALUE(RIGHT(AA231,LEN(AA231)-MIN(FIND({0;1;2;3;4;5;6;7;8;9},AA231&amp;"0123456789"))+1)),"")</f>
        <v/>
      </c>
    </row>
    <row r="232" spans="28:28" x14ac:dyDescent="0.2">
      <c r="AB232" s="660" t="str">
        <f>IFERROR(VALUE(RIGHT(AA232,LEN(AA232)-MIN(FIND({0;1;2;3;4;5;6;7;8;9},AA232&amp;"0123456789"))+1)),"")</f>
        <v/>
      </c>
    </row>
    <row r="233" spans="28:28" x14ac:dyDescent="0.2">
      <c r="AB233" s="660" t="str">
        <f>IFERROR(VALUE(RIGHT(AA233,LEN(AA233)-MIN(FIND({0;1;2;3;4;5;6;7;8;9},AA233&amp;"0123456789"))+1)),"")</f>
        <v/>
      </c>
    </row>
    <row r="234" spans="28:28" x14ac:dyDescent="0.2">
      <c r="AB234" s="660" t="str">
        <f>IFERROR(VALUE(RIGHT(AA234,LEN(AA234)-MIN(FIND({0;1;2;3;4;5;6;7;8;9},AA234&amp;"0123456789"))+1)),"")</f>
        <v/>
      </c>
    </row>
    <row r="235" spans="28:28" x14ac:dyDescent="0.2">
      <c r="AB235" s="660" t="str">
        <f>IFERROR(VALUE(RIGHT(AA235,LEN(AA235)-MIN(FIND({0;1;2;3;4;5;6;7;8;9},AA235&amp;"0123456789"))+1)),"")</f>
        <v/>
      </c>
    </row>
    <row r="236" spans="28:28" x14ac:dyDescent="0.2">
      <c r="AB236" s="660" t="str">
        <f>IFERROR(VALUE(RIGHT(AA236,LEN(AA236)-MIN(FIND({0;1;2;3;4;5;6;7;8;9},AA236&amp;"0123456789"))+1)),"")</f>
        <v/>
      </c>
    </row>
    <row r="237" spans="28:28" x14ac:dyDescent="0.2">
      <c r="AB237" s="660" t="str">
        <f>IFERROR(VALUE(RIGHT(AA237,LEN(AA237)-MIN(FIND({0;1;2;3;4;5;6;7;8;9},AA237&amp;"0123456789"))+1)),"")</f>
        <v/>
      </c>
    </row>
    <row r="238" spans="28:28" x14ac:dyDescent="0.2">
      <c r="AB238" s="660" t="str">
        <f>IFERROR(VALUE(RIGHT(AA238,LEN(AA238)-MIN(FIND({0;1;2;3;4;5;6;7;8;9},AA238&amp;"0123456789"))+1)),"")</f>
        <v/>
      </c>
    </row>
    <row r="239" spans="28:28" x14ac:dyDescent="0.2">
      <c r="AB239" s="660" t="str">
        <f>IFERROR(VALUE(RIGHT(AA239,LEN(AA239)-MIN(FIND({0;1;2;3;4;5;6;7;8;9},AA239&amp;"0123456789"))+1)),"")</f>
        <v/>
      </c>
    </row>
    <row r="240" spans="28:28" x14ac:dyDescent="0.2">
      <c r="AB240" s="660" t="str">
        <f>IFERROR(VALUE(RIGHT(AA240,LEN(AA240)-MIN(FIND({0;1;2;3;4;5;6;7;8;9},AA240&amp;"0123456789"))+1)),"")</f>
        <v/>
      </c>
    </row>
    <row r="241" spans="28:28" x14ac:dyDescent="0.2">
      <c r="AB241" s="660" t="str">
        <f>IFERROR(VALUE(RIGHT(AA241,LEN(AA241)-MIN(FIND({0;1;2;3;4;5;6;7;8;9},AA241&amp;"0123456789"))+1)),"")</f>
        <v/>
      </c>
    </row>
    <row r="242" spans="28:28" x14ac:dyDescent="0.2">
      <c r="AB242" s="660" t="str">
        <f>IFERROR(VALUE(RIGHT(AA242,LEN(AA242)-MIN(FIND({0;1;2;3;4;5;6;7;8;9},AA242&amp;"0123456789"))+1)),"")</f>
        <v/>
      </c>
    </row>
    <row r="243" spans="28:28" x14ac:dyDescent="0.2">
      <c r="AB243" s="660" t="str">
        <f>IFERROR(VALUE(RIGHT(AA243,LEN(AA243)-MIN(FIND({0;1;2;3;4;5;6;7;8;9},AA243&amp;"0123456789"))+1)),"")</f>
        <v/>
      </c>
    </row>
    <row r="244" spans="28:28" x14ac:dyDescent="0.2">
      <c r="AB244" s="660" t="str">
        <f>IFERROR(VALUE(RIGHT(AA244,LEN(AA244)-MIN(FIND({0;1;2;3;4;5;6;7;8;9},AA244&amp;"0123456789"))+1)),"")</f>
        <v/>
      </c>
    </row>
    <row r="245" spans="28:28" x14ac:dyDescent="0.2">
      <c r="AB245" s="660" t="str">
        <f>IFERROR(VALUE(RIGHT(AA245,LEN(AA245)-MIN(FIND({0;1;2;3;4;5;6;7;8;9},AA245&amp;"0123456789"))+1)),"")</f>
        <v/>
      </c>
    </row>
    <row r="246" spans="28:28" x14ac:dyDescent="0.2">
      <c r="AB246" s="660" t="str">
        <f>IFERROR(VALUE(RIGHT(AA246,LEN(AA246)-MIN(FIND({0;1;2;3;4;5;6;7;8;9},AA246&amp;"0123456789"))+1)),"")</f>
        <v/>
      </c>
    </row>
    <row r="247" spans="28:28" x14ac:dyDescent="0.2">
      <c r="AB247" s="660" t="str">
        <f>IFERROR(VALUE(RIGHT(AA247,LEN(AA247)-MIN(FIND({0;1;2;3;4;5;6;7;8;9},AA247&amp;"0123456789"))+1)),"")</f>
        <v/>
      </c>
    </row>
    <row r="248" spans="28:28" x14ac:dyDescent="0.2">
      <c r="AB248" s="660" t="str">
        <f>IFERROR(VALUE(RIGHT(AA248,LEN(AA248)-MIN(FIND({0;1;2;3;4;5;6;7;8;9},AA248&amp;"0123456789"))+1)),"")</f>
        <v/>
      </c>
    </row>
    <row r="249" spans="28:28" x14ac:dyDescent="0.2">
      <c r="AB249" s="660" t="str">
        <f>IFERROR(VALUE(RIGHT(AA249,LEN(AA249)-MIN(FIND({0;1;2;3;4;5;6;7;8;9},AA249&amp;"0123456789"))+1)),"")</f>
        <v/>
      </c>
    </row>
    <row r="250" spans="28:28" x14ac:dyDescent="0.2">
      <c r="AB250" s="660" t="str">
        <f>IFERROR(VALUE(RIGHT(AA250,LEN(AA250)-MIN(FIND({0;1;2;3;4;5;6;7;8;9},AA250&amp;"0123456789"))+1)),"")</f>
        <v/>
      </c>
    </row>
    <row r="251" spans="28:28" x14ac:dyDescent="0.2">
      <c r="AB251" s="660" t="str">
        <f>IFERROR(VALUE(RIGHT(AA251,LEN(AA251)-MIN(FIND({0;1;2;3;4;5;6;7;8;9},AA251&amp;"0123456789"))+1)),"")</f>
        <v/>
      </c>
    </row>
    <row r="252" spans="28:28" x14ac:dyDescent="0.2">
      <c r="AB252" s="660" t="str">
        <f>IFERROR(VALUE(RIGHT(AA252,LEN(AA252)-MIN(FIND({0;1;2;3;4;5;6;7;8;9},AA252&amp;"0123456789"))+1)),"")</f>
        <v/>
      </c>
    </row>
    <row r="253" spans="28:28" x14ac:dyDescent="0.2">
      <c r="AB253" s="660" t="str">
        <f>IFERROR(VALUE(RIGHT(AA253,LEN(AA253)-MIN(FIND({0;1;2;3;4;5;6;7;8;9},AA253&amp;"0123456789"))+1)),"")</f>
        <v/>
      </c>
    </row>
    <row r="254" spans="28:28" x14ac:dyDescent="0.2">
      <c r="AB254" s="660" t="str">
        <f>IFERROR(VALUE(RIGHT(AA254,LEN(AA254)-MIN(FIND({0;1;2;3;4;5;6;7;8;9},AA254&amp;"0123456789"))+1)),"")</f>
        <v/>
      </c>
    </row>
    <row r="255" spans="28:28" x14ac:dyDescent="0.2">
      <c r="AB255" s="660" t="str">
        <f>IFERROR(VALUE(RIGHT(AA255,LEN(AA255)-MIN(FIND({0;1;2;3;4;5;6;7;8;9},AA255&amp;"0123456789"))+1)),"")</f>
        <v/>
      </c>
    </row>
    <row r="256" spans="28:28" x14ac:dyDescent="0.2">
      <c r="AB256" s="660" t="str">
        <f>IFERROR(VALUE(RIGHT(AA256,LEN(AA256)-MIN(FIND({0;1;2;3;4;5;6;7;8;9},AA256&amp;"0123456789"))+1)),"")</f>
        <v/>
      </c>
    </row>
    <row r="257" spans="28:28" x14ac:dyDescent="0.2">
      <c r="AB257" s="660" t="str">
        <f>IFERROR(VALUE(RIGHT(AA257,LEN(AA257)-MIN(FIND({0;1;2;3;4;5;6;7;8;9},AA257&amp;"0123456789"))+1)),"")</f>
        <v/>
      </c>
    </row>
    <row r="258" spans="28:28" x14ac:dyDescent="0.2">
      <c r="AB258" s="660" t="str">
        <f>IFERROR(VALUE(RIGHT(AA258,LEN(AA258)-MIN(FIND({0;1;2;3;4;5;6;7;8;9},AA258&amp;"0123456789"))+1)),"")</f>
        <v/>
      </c>
    </row>
    <row r="259" spans="28:28" x14ac:dyDescent="0.2">
      <c r="AB259" s="660" t="str">
        <f>IFERROR(VALUE(RIGHT(AA259,LEN(AA259)-MIN(FIND({0;1;2;3;4;5;6;7;8;9},AA259&amp;"0123456789"))+1)),"")</f>
        <v/>
      </c>
    </row>
    <row r="260" spans="28:28" x14ac:dyDescent="0.2">
      <c r="AB260" s="660" t="str">
        <f>IFERROR(VALUE(RIGHT(AA260,LEN(AA260)-MIN(FIND({0;1;2;3;4;5;6;7;8;9},AA260&amp;"0123456789"))+1)),"")</f>
        <v/>
      </c>
    </row>
    <row r="261" spans="28:28" x14ac:dyDescent="0.2">
      <c r="AB261" s="660" t="str">
        <f>IFERROR(VALUE(RIGHT(AA261,LEN(AA261)-MIN(FIND({0;1;2;3;4;5;6;7;8;9},AA261&amp;"0123456789"))+1)),"")</f>
        <v/>
      </c>
    </row>
    <row r="262" spans="28:28" x14ac:dyDescent="0.2">
      <c r="AB262" s="660" t="str">
        <f>IFERROR(VALUE(RIGHT(AA262,LEN(AA262)-MIN(FIND({0;1;2;3;4;5;6;7;8;9},AA262&amp;"0123456789"))+1)),"")</f>
        <v/>
      </c>
    </row>
    <row r="263" spans="28:28" x14ac:dyDescent="0.2">
      <c r="AB263" s="660" t="str">
        <f>IFERROR(VALUE(RIGHT(AA263,LEN(AA263)-MIN(FIND({0;1;2;3;4;5;6;7;8;9},AA263&amp;"0123456789"))+1)),"")</f>
        <v/>
      </c>
    </row>
    <row r="264" spans="28:28" x14ac:dyDescent="0.2">
      <c r="AB264" s="660" t="str">
        <f>IFERROR(VALUE(RIGHT(AA264,LEN(AA264)-MIN(FIND({0;1;2;3;4;5;6;7;8;9},AA264&amp;"0123456789"))+1)),"")</f>
        <v/>
      </c>
    </row>
    <row r="265" spans="28:28" x14ac:dyDescent="0.2">
      <c r="AB265" s="660" t="str">
        <f>IFERROR(VALUE(RIGHT(AA265,LEN(AA265)-MIN(FIND({0;1;2;3;4;5;6;7;8;9},AA265&amp;"0123456789"))+1)),"")</f>
        <v/>
      </c>
    </row>
    <row r="266" spans="28:28" x14ac:dyDescent="0.2">
      <c r="AB266" s="660" t="str">
        <f>IFERROR(VALUE(RIGHT(AA266,LEN(AA266)-MIN(FIND({0;1;2;3;4;5;6;7;8;9},AA266&amp;"0123456789"))+1)),"")</f>
        <v/>
      </c>
    </row>
    <row r="267" spans="28:28" x14ac:dyDescent="0.2">
      <c r="AB267" s="660" t="str">
        <f>IFERROR(VALUE(RIGHT(AA267,LEN(AA267)-MIN(FIND({0;1;2;3;4;5;6;7;8;9},AA267&amp;"0123456789"))+1)),"")</f>
        <v/>
      </c>
    </row>
    <row r="268" spans="28:28" x14ac:dyDescent="0.2">
      <c r="AB268" s="660" t="str">
        <f>IFERROR(VALUE(RIGHT(AA268,LEN(AA268)-MIN(FIND({0;1;2;3;4;5;6;7;8;9},AA268&amp;"0123456789"))+1)),"")</f>
        <v/>
      </c>
    </row>
    <row r="269" spans="28:28" x14ac:dyDescent="0.2">
      <c r="AB269" s="660" t="str">
        <f>IFERROR(VALUE(RIGHT(AA269,LEN(AA269)-MIN(FIND({0;1;2;3;4;5;6;7;8;9},AA269&amp;"0123456789"))+1)),"")</f>
        <v/>
      </c>
    </row>
    <row r="270" spans="28:28" x14ac:dyDescent="0.2">
      <c r="AB270" s="660" t="str">
        <f>IFERROR(VALUE(RIGHT(AA270,LEN(AA270)-MIN(FIND({0;1;2;3;4;5;6;7;8;9},AA270&amp;"0123456789"))+1)),"")</f>
        <v/>
      </c>
    </row>
    <row r="271" spans="28:28" x14ac:dyDescent="0.2">
      <c r="AB271" s="660" t="str">
        <f>IFERROR(VALUE(RIGHT(AA271,LEN(AA271)-MIN(FIND({0;1;2;3;4;5;6;7;8;9},AA271&amp;"0123456789"))+1)),"")</f>
        <v/>
      </c>
    </row>
    <row r="272" spans="28:28" x14ac:dyDescent="0.2">
      <c r="AB272" s="660" t="str">
        <f>IFERROR(VALUE(RIGHT(AA272,LEN(AA272)-MIN(FIND({0;1;2;3;4;5;6;7;8;9},AA272&amp;"0123456789"))+1)),"")</f>
        <v/>
      </c>
    </row>
    <row r="273" spans="28:28" x14ac:dyDescent="0.2">
      <c r="AB273" s="660" t="str">
        <f>IFERROR(VALUE(RIGHT(AA273,LEN(AA273)-MIN(FIND({0;1;2;3;4;5;6;7;8;9},AA273&amp;"0123456789"))+1)),"")</f>
        <v/>
      </c>
    </row>
    <row r="274" spans="28:28" x14ac:dyDescent="0.2">
      <c r="AB274" s="660" t="str">
        <f>IFERROR(VALUE(RIGHT(AA274,LEN(AA274)-MIN(FIND({0;1;2;3;4;5;6;7;8;9},AA274&amp;"0123456789"))+1)),"")</f>
        <v/>
      </c>
    </row>
    <row r="275" spans="28:28" x14ac:dyDescent="0.2">
      <c r="AB275" s="660" t="str">
        <f>IFERROR(VALUE(RIGHT(AA275,LEN(AA275)-MIN(FIND({0;1;2;3;4;5;6;7;8;9},AA275&amp;"0123456789"))+1)),"")</f>
        <v/>
      </c>
    </row>
    <row r="276" spans="28:28" x14ac:dyDescent="0.2">
      <c r="AB276" s="660" t="str">
        <f>IFERROR(VALUE(RIGHT(AA276,LEN(AA276)-MIN(FIND({0;1;2;3;4;5;6;7;8;9},AA276&amp;"0123456789"))+1)),"")</f>
        <v/>
      </c>
    </row>
    <row r="277" spans="28:28" x14ac:dyDescent="0.2">
      <c r="AB277" s="660" t="str">
        <f>IFERROR(VALUE(RIGHT(AA277,LEN(AA277)-MIN(FIND({0;1;2;3;4;5;6;7;8;9},AA277&amp;"0123456789"))+1)),"")</f>
        <v/>
      </c>
    </row>
    <row r="278" spans="28:28" x14ac:dyDescent="0.2">
      <c r="AB278" s="660" t="str">
        <f>IFERROR(VALUE(RIGHT(AA278,LEN(AA278)-MIN(FIND({0;1;2;3;4;5;6;7;8;9},AA278&amp;"0123456789"))+1)),"")</f>
        <v/>
      </c>
    </row>
    <row r="279" spans="28:28" x14ac:dyDescent="0.2">
      <c r="AB279" s="660" t="str">
        <f>IFERROR(VALUE(RIGHT(AA279,LEN(AA279)-MIN(FIND({0;1;2;3;4;5;6;7;8;9},AA279&amp;"0123456789"))+1)),"")</f>
        <v/>
      </c>
    </row>
    <row r="280" spans="28:28" x14ac:dyDescent="0.2">
      <c r="AB280" s="660" t="str">
        <f>IFERROR(VALUE(RIGHT(AA280,LEN(AA280)-MIN(FIND({0;1;2;3;4;5;6;7;8;9},AA280&amp;"0123456789"))+1)),"")</f>
        <v/>
      </c>
    </row>
    <row r="281" spans="28:28" x14ac:dyDescent="0.2">
      <c r="AB281" s="660" t="str">
        <f>IFERROR(VALUE(RIGHT(AA281,LEN(AA281)-MIN(FIND({0;1;2;3;4;5;6;7;8;9},AA281&amp;"0123456789"))+1)),"")</f>
        <v/>
      </c>
    </row>
    <row r="282" spans="28:28" x14ac:dyDescent="0.2">
      <c r="AB282" s="660" t="str">
        <f>IFERROR(VALUE(RIGHT(AA282,LEN(AA282)-MIN(FIND({0;1;2;3;4;5;6;7;8;9},AA282&amp;"0123456789"))+1)),"")</f>
        <v/>
      </c>
    </row>
    <row r="283" spans="28:28" x14ac:dyDescent="0.2">
      <c r="AB283" s="660" t="str">
        <f>IFERROR(VALUE(RIGHT(AA283,LEN(AA283)-MIN(FIND({0;1;2;3;4;5;6;7;8;9},AA283&amp;"0123456789"))+1)),"")</f>
        <v/>
      </c>
    </row>
    <row r="284" spans="28:28" x14ac:dyDescent="0.2">
      <c r="AB284" s="660" t="str">
        <f>IFERROR(VALUE(RIGHT(AA284,LEN(AA284)-MIN(FIND({0;1;2;3;4;5;6;7;8;9},AA284&amp;"0123456789"))+1)),"")</f>
        <v/>
      </c>
    </row>
    <row r="285" spans="28:28" x14ac:dyDescent="0.2">
      <c r="AB285" s="660" t="str">
        <f>IFERROR(VALUE(RIGHT(AA285,LEN(AA285)-MIN(FIND({0;1;2;3;4;5;6;7;8;9},AA285&amp;"0123456789"))+1)),"")</f>
        <v/>
      </c>
    </row>
    <row r="286" spans="28:28" x14ac:dyDescent="0.2">
      <c r="AB286" s="660" t="str">
        <f>IFERROR(VALUE(RIGHT(AA286,LEN(AA286)-MIN(FIND({0;1;2;3;4;5;6;7;8;9},AA286&amp;"0123456789"))+1)),"")</f>
        <v/>
      </c>
    </row>
    <row r="287" spans="28:28" x14ac:dyDescent="0.2">
      <c r="AB287" s="660" t="str">
        <f>IFERROR(VALUE(RIGHT(AA287,LEN(AA287)-MIN(FIND({0;1;2;3;4;5;6;7;8;9},AA287&amp;"0123456789"))+1)),"")</f>
        <v/>
      </c>
    </row>
    <row r="288" spans="28:28" x14ac:dyDescent="0.2">
      <c r="AB288" s="660" t="str">
        <f>IFERROR(VALUE(RIGHT(AA288,LEN(AA288)-MIN(FIND({0;1;2;3;4;5;6;7;8;9},AA288&amp;"0123456789"))+1)),"")</f>
        <v/>
      </c>
    </row>
    <row r="289" spans="28:28" x14ac:dyDescent="0.2">
      <c r="AB289" s="660" t="str">
        <f>IFERROR(VALUE(RIGHT(AA289,LEN(AA289)-MIN(FIND({0;1;2;3;4;5;6;7;8;9},AA289&amp;"0123456789"))+1)),"")</f>
        <v/>
      </c>
    </row>
    <row r="290" spans="28:28" x14ac:dyDescent="0.2">
      <c r="AB290" s="660" t="str">
        <f>IFERROR(VALUE(RIGHT(AA290,LEN(AA290)-MIN(FIND({0;1;2;3;4;5;6;7;8;9},AA290&amp;"0123456789"))+1)),"")</f>
        <v/>
      </c>
    </row>
    <row r="291" spans="28:28" x14ac:dyDescent="0.2">
      <c r="AB291" s="660" t="str">
        <f>IFERROR(VALUE(RIGHT(AA291,LEN(AA291)-MIN(FIND({0;1;2;3;4;5;6;7;8;9},AA291&amp;"0123456789"))+1)),"")</f>
        <v/>
      </c>
    </row>
    <row r="292" spans="28:28" x14ac:dyDescent="0.2">
      <c r="AB292" s="660" t="str">
        <f>IFERROR(VALUE(RIGHT(AA292,LEN(AA292)-MIN(FIND({0;1;2;3;4;5;6;7;8;9},AA292&amp;"0123456789"))+1)),"")</f>
        <v/>
      </c>
    </row>
    <row r="293" spans="28:28" x14ac:dyDescent="0.2">
      <c r="AB293" s="660" t="str">
        <f>IFERROR(VALUE(RIGHT(AA293,LEN(AA293)-MIN(FIND({0;1;2;3;4;5;6;7;8;9},AA293&amp;"0123456789"))+1)),"")</f>
        <v/>
      </c>
    </row>
    <row r="294" spans="28:28" x14ac:dyDescent="0.2">
      <c r="AB294" s="660" t="str">
        <f>IFERROR(VALUE(RIGHT(AA294,LEN(AA294)-MIN(FIND({0;1;2;3;4;5;6;7;8;9},AA294&amp;"0123456789"))+1)),"")</f>
        <v/>
      </c>
    </row>
    <row r="295" spans="28:28" x14ac:dyDescent="0.2">
      <c r="AB295" s="660" t="str">
        <f>IFERROR(VALUE(RIGHT(AA295,LEN(AA295)-MIN(FIND({0;1;2;3;4;5;6;7;8;9},AA295&amp;"0123456789"))+1)),"")</f>
        <v/>
      </c>
    </row>
    <row r="296" spans="28:28" x14ac:dyDescent="0.2">
      <c r="AB296" s="660" t="str">
        <f>IFERROR(VALUE(RIGHT(AA296,LEN(AA296)-MIN(FIND({0;1;2;3;4;5;6;7;8;9},AA296&amp;"0123456789"))+1)),"")</f>
        <v/>
      </c>
    </row>
    <row r="297" spans="28:28" x14ac:dyDescent="0.2">
      <c r="AB297" s="660" t="str">
        <f>IFERROR(VALUE(RIGHT(AA297,LEN(AA297)-MIN(FIND({0;1;2;3;4;5;6;7;8;9},AA297&amp;"0123456789"))+1)),"")</f>
        <v/>
      </c>
    </row>
    <row r="298" spans="28:28" x14ac:dyDescent="0.2">
      <c r="AB298" s="660" t="str">
        <f>IFERROR(VALUE(RIGHT(AA298,LEN(AA298)-MIN(FIND({0;1;2;3;4;5;6;7;8;9},AA298&amp;"0123456789"))+1)),"")</f>
        <v/>
      </c>
    </row>
    <row r="299" spans="28:28" x14ac:dyDescent="0.2">
      <c r="AB299" s="660" t="str">
        <f>IFERROR(VALUE(RIGHT(AA299,LEN(AA299)-MIN(FIND({0;1;2;3;4;5;6;7;8;9},AA299&amp;"0123456789"))+1)),"")</f>
        <v/>
      </c>
    </row>
    <row r="300" spans="28:28" x14ac:dyDescent="0.2">
      <c r="AB300" s="660" t="str">
        <f>IFERROR(VALUE(RIGHT(AA300,LEN(AA300)-MIN(FIND({0;1;2;3;4;5;6;7;8;9},AA300&amp;"0123456789"))+1)),"")</f>
        <v/>
      </c>
    </row>
    <row r="301" spans="28:28" x14ac:dyDescent="0.2">
      <c r="AB301" s="660" t="str">
        <f>IFERROR(VALUE(RIGHT(AA301,LEN(AA301)-MIN(FIND({0;1;2;3;4;5;6;7;8;9},AA301&amp;"0123456789"))+1)),"")</f>
        <v/>
      </c>
    </row>
    <row r="302" spans="28:28" x14ac:dyDescent="0.2">
      <c r="AB302" s="660" t="str">
        <f>IFERROR(VALUE(RIGHT(AA302,LEN(AA302)-MIN(FIND({0;1;2;3;4;5;6;7;8;9},AA302&amp;"0123456789"))+1)),"")</f>
        <v/>
      </c>
    </row>
    <row r="303" spans="28:28" x14ac:dyDescent="0.2">
      <c r="AB303" s="660" t="str">
        <f>IFERROR(VALUE(RIGHT(AA303,LEN(AA303)-MIN(FIND({0;1;2;3;4;5;6;7;8;9},AA303&amp;"0123456789"))+1)),"")</f>
        <v/>
      </c>
    </row>
    <row r="304" spans="28:28" x14ac:dyDescent="0.2">
      <c r="AB304" s="660" t="str">
        <f>IFERROR(VALUE(RIGHT(AA304,LEN(AA304)-MIN(FIND({0;1;2;3;4;5;6;7;8;9},AA304&amp;"0123456789"))+1)),"")</f>
        <v/>
      </c>
    </row>
    <row r="305" spans="28:28" x14ac:dyDescent="0.2">
      <c r="AB305" s="660" t="str">
        <f>IFERROR(VALUE(RIGHT(AA305,LEN(AA305)-MIN(FIND({0;1;2;3;4;5;6;7;8;9},AA305&amp;"0123456789"))+1)),"")</f>
        <v/>
      </c>
    </row>
    <row r="306" spans="28:28" x14ac:dyDescent="0.2">
      <c r="AB306" s="660" t="str">
        <f>IFERROR(VALUE(RIGHT(AA306,LEN(AA306)-MIN(FIND({0;1;2;3;4;5;6;7;8;9},AA306&amp;"0123456789"))+1)),"")</f>
        <v/>
      </c>
    </row>
    <row r="307" spans="28:28" x14ac:dyDescent="0.2">
      <c r="AB307" s="660" t="str">
        <f>IFERROR(VALUE(RIGHT(AA307,LEN(AA307)-MIN(FIND({0;1;2;3;4;5;6;7;8;9},AA307&amp;"0123456789"))+1)),"")</f>
        <v/>
      </c>
    </row>
    <row r="308" spans="28:28" x14ac:dyDescent="0.2">
      <c r="AB308" s="660" t="str">
        <f>IFERROR(VALUE(RIGHT(AA308,LEN(AA308)-MIN(FIND({0;1;2;3;4;5;6;7;8;9},AA308&amp;"0123456789"))+1)),"")</f>
        <v/>
      </c>
    </row>
    <row r="309" spans="28:28" x14ac:dyDescent="0.2">
      <c r="AB309" s="660" t="str">
        <f>IFERROR(VALUE(RIGHT(AA309,LEN(AA309)-MIN(FIND({0;1;2;3;4;5;6;7;8;9},AA309&amp;"0123456789"))+1)),"")</f>
        <v/>
      </c>
    </row>
    <row r="310" spans="28:28" x14ac:dyDescent="0.2">
      <c r="AB310" s="660" t="str">
        <f>IFERROR(VALUE(RIGHT(AA310,LEN(AA310)-MIN(FIND({0;1;2;3;4;5;6;7;8;9},AA310&amp;"0123456789"))+1)),"")</f>
        <v/>
      </c>
    </row>
    <row r="311" spans="28:28" x14ac:dyDescent="0.2">
      <c r="AB311" s="660" t="str">
        <f>IFERROR(VALUE(RIGHT(AA311,LEN(AA311)-MIN(FIND({0;1;2;3;4;5;6;7;8;9},AA311&amp;"0123456789"))+1)),"")</f>
        <v/>
      </c>
    </row>
    <row r="312" spans="28:28" x14ac:dyDescent="0.2">
      <c r="AB312" s="660" t="str">
        <f>IFERROR(VALUE(RIGHT(AA312,LEN(AA312)-MIN(FIND({0;1;2;3;4;5;6;7;8;9},AA312&amp;"0123456789"))+1)),"")</f>
        <v/>
      </c>
    </row>
    <row r="313" spans="28:28" x14ac:dyDescent="0.2">
      <c r="AB313" s="660" t="str">
        <f>IFERROR(VALUE(RIGHT(AA313,LEN(AA313)-MIN(FIND({0;1;2;3;4;5;6;7;8;9},AA313&amp;"0123456789"))+1)),"")</f>
        <v/>
      </c>
    </row>
    <row r="314" spans="28:28" x14ac:dyDescent="0.2">
      <c r="AB314" s="660" t="str">
        <f>IFERROR(VALUE(RIGHT(AA314,LEN(AA314)-MIN(FIND({0;1;2;3;4;5;6;7;8;9},AA314&amp;"0123456789"))+1)),"")</f>
        <v/>
      </c>
    </row>
    <row r="315" spans="28:28" x14ac:dyDescent="0.2">
      <c r="AB315" s="660" t="str">
        <f>IFERROR(VALUE(RIGHT(AA315,LEN(AA315)-MIN(FIND({0;1;2;3;4;5;6;7;8;9},AA315&amp;"0123456789"))+1)),"")</f>
        <v/>
      </c>
    </row>
    <row r="316" spans="28:28" x14ac:dyDescent="0.2">
      <c r="AB316" s="660" t="str">
        <f>IFERROR(VALUE(RIGHT(AA316,LEN(AA316)-MIN(FIND({0;1;2;3;4;5;6;7;8;9},AA316&amp;"0123456789"))+1)),"")</f>
        <v/>
      </c>
    </row>
    <row r="317" spans="28:28" x14ac:dyDescent="0.2">
      <c r="AB317" s="660" t="str">
        <f>IFERROR(VALUE(RIGHT(AA317,LEN(AA317)-MIN(FIND({0;1;2;3;4;5;6;7;8;9},AA317&amp;"0123456789"))+1)),"")</f>
        <v/>
      </c>
    </row>
    <row r="318" spans="28:28" x14ac:dyDescent="0.2">
      <c r="AB318" s="660" t="str">
        <f>IFERROR(VALUE(RIGHT(AA318,LEN(AA318)-MIN(FIND({0;1;2;3;4;5;6;7;8;9},AA318&amp;"0123456789"))+1)),"")</f>
        <v/>
      </c>
    </row>
    <row r="319" spans="28:28" x14ac:dyDescent="0.2">
      <c r="AB319" s="660" t="str">
        <f>IFERROR(VALUE(RIGHT(AA319,LEN(AA319)-MIN(FIND({0;1;2;3;4;5;6;7;8;9},AA319&amp;"0123456789"))+1)),"")</f>
        <v/>
      </c>
    </row>
    <row r="320" spans="28:28" x14ac:dyDescent="0.2">
      <c r="AB320" s="660" t="str">
        <f>IFERROR(VALUE(RIGHT(AA320,LEN(AA320)-MIN(FIND({0;1;2;3;4;5;6;7;8;9},AA320&amp;"0123456789"))+1)),"")</f>
        <v/>
      </c>
    </row>
    <row r="321" spans="28:28" x14ac:dyDescent="0.2">
      <c r="AB321" s="660" t="str">
        <f>IFERROR(VALUE(RIGHT(AA321,LEN(AA321)-MIN(FIND({0;1;2;3;4;5;6;7;8;9},AA321&amp;"0123456789"))+1)),"")</f>
        <v/>
      </c>
    </row>
    <row r="322" spans="28:28" x14ac:dyDescent="0.2">
      <c r="AB322" s="660" t="str">
        <f>IFERROR(VALUE(RIGHT(AA322,LEN(AA322)-MIN(FIND({0;1;2;3;4;5;6;7;8;9},AA322&amp;"0123456789"))+1)),"")</f>
        <v/>
      </c>
    </row>
    <row r="323" spans="28:28" x14ac:dyDescent="0.2">
      <c r="AB323" s="660" t="str">
        <f>IFERROR(VALUE(RIGHT(AA323,LEN(AA323)-MIN(FIND({0;1;2;3;4;5;6;7;8;9},AA323&amp;"0123456789"))+1)),"")</f>
        <v/>
      </c>
    </row>
    <row r="324" spans="28:28" x14ac:dyDescent="0.2">
      <c r="AB324" s="660" t="str">
        <f>IFERROR(VALUE(RIGHT(AA324,LEN(AA324)-MIN(FIND({0;1;2;3;4;5;6;7;8;9},AA324&amp;"0123456789"))+1)),"")</f>
        <v/>
      </c>
    </row>
    <row r="325" spans="28:28" x14ac:dyDescent="0.2">
      <c r="AB325" s="660" t="str">
        <f>IFERROR(VALUE(RIGHT(AA325,LEN(AA325)-MIN(FIND({0;1;2;3;4;5;6;7;8;9},AA325&amp;"0123456789"))+1)),"")</f>
        <v/>
      </c>
    </row>
    <row r="326" spans="28:28" x14ac:dyDescent="0.2">
      <c r="AB326" s="660" t="str">
        <f>IFERROR(VALUE(RIGHT(AA326,LEN(AA326)-MIN(FIND({0;1;2;3;4;5;6;7;8;9},AA326&amp;"0123456789"))+1)),"")</f>
        <v/>
      </c>
    </row>
    <row r="327" spans="28:28" x14ac:dyDescent="0.2">
      <c r="AB327" s="660" t="str">
        <f>IFERROR(VALUE(RIGHT(AA327,LEN(AA327)-MIN(FIND({0;1;2;3;4;5;6;7;8;9},AA327&amp;"0123456789"))+1)),"")</f>
        <v/>
      </c>
    </row>
    <row r="328" spans="28:28" x14ac:dyDescent="0.2">
      <c r="AB328" s="660" t="str">
        <f>IFERROR(VALUE(RIGHT(AA328,LEN(AA328)-MIN(FIND({0;1;2;3;4;5;6;7;8;9},AA328&amp;"0123456789"))+1)),"")</f>
        <v/>
      </c>
    </row>
    <row r="329" spans="28:28" x14ac:dyDescent="0.2">
      <c r="AB329" s="660" t="str">
        <f>IFERROR(VALUE(RIGHT(AA329,LEN(AA329)-MIN(FIND({0;1;2;3;4;5;6;7;8;9},AA329&amp;"0123456789"))+1)),"")</f>
        <v/>
      </c>
    </row>
    <row r="330" spans="28:28" x14ac:dyDescent="0.2">
      <c r="AB330" s="660" t="str">
        <f>IFERROR(VALUE(RIGHT(AA330,LEN(AA330)-MIN(FIND({0;1;2;3;4;5;6;7;8;9},AA330&amp;"0123456789"))+1)),"")</f>
        <v/>
      </c>
    </row>
    <row r="331" spans="28:28" x14ac:dyDescent="0.2">
      <c r="AB331" s="660" t="str">
        <f>IFERROR(VALUE(RIGHT(AA331,LEN(AA331)-MIN(FIND({0;1;2;3;4;5;6;7;8;9},AA331&amp;"0123456789"))+1)),"")</f>
        <v/>
      </c>
    </row>
    <row r="332" spans="28:28" x14ac:dyDescent="0.2">
      <c r="AB332" s="660" t="str">
        <f>IFERROR(VALUE(RIGHT(AA332,LEN(AA332)-MIN(FIND({0;1;2;3;4;5;6;7;8;9},AA332&amp;"0123456789"))+1)),"")</f>
        <v/>
      </c>
    </row>
    <row r="333" spans="28:28" x14ac:dyDescent="0.2">
      <c r="AB333" s="660" t="str">
        <f>IFERROR(VALUE(RIGHT(AA333,LEN(AA333)-MIN(FIND({0;1;2;3;4;5;6;7;8;9},AA333&amp;"0123456789"))+1)),"")</f>
        <v/>
      </c>
    </row>
    <row r="334" spans="28:28" x14ac:dyDescent="0.2">
      <c r="AB334" s="660" t="str">
        <f>IFERROR(VALUE(RIGHT(AA334,LEN(AA334)-MIN(FIND({0;1;2;3;4;5;6;7;8;9},AA334&amp;"0123456789"))+1)),"")</f>
        <v/>
      </c>
    </row>
    <row r="335" spans="28:28" x14ac:dyDescent="0.2">
      <c r="AB335" s="660" t="str">
        <f>IFERROR(VALUE(RIGHT(AA335,LEN(AA335)-MIN(FIND({0;1;2;3;4;5;6;7;8;9},AA335&amp;"0123456789"))+1)),"")</f>
        <v/>
      </c>
    </row>
    <row r="336" spans="28:28" x14ac:dyDescent="0.2">
      <c r="AB336" s="660" t="str">
        <f>IFERROR(VALUE(RIGHT(AA336,LEN(AA336)-MIN(FIND({0;1;2;3;4;5;6;7;8;9},AA336&amp;"0123456789"))+1)),"")</f>
        <v/>
      </c>
    </row>
    <row r="337" spans="28:28" x14ac:dyDescent="0.2">
      <c r="AB337" s="660" t="str">
        <f>IFERROR(VALUE(RIGHT(AA337,LEN(AA337)-MIN(FIND({0;1;2;3;4;5;6;7;8;9},AA337&amp;"0123456789"))+1)),"")</f>
        <v/>
      </c>
    </row>
    <row r="338" spans="28:28" x14ac:dyDescent="0.2">
      <c r="AB338" s="660" t="str">
        <f>IFERROR(VALUE(RIGHT(AA338,LEN(AA338)-MIN(FIND({0;1;2;3;4;5;6;7;8;9},AA338&amp;"0123456789"))+1)),"")</f>
        <v/>
      </c>
    </row>
    <row r="339" spans="28:28" x14ac:dyDescent="0.2">
      <c r="AB339" s="660" t="str">
        <f>IFERROR(VALUE(RIGHT(AA339,LEN(AA339)-MIN(FIND({0;1;2;3;4;5;6;7;8;9},AA339&amp;"0123456789"))+1)),"")</f>
        <v/>
      </c>
    </row>
    <row r="340" spans="28:28" x14ac:dyDescent="0.2">
      <c r="AB340" s="660" t="str">
        <f>IFERROR(VALUE(RIGHT(AA340,LEN(AA340)-MIN(FIND({0;1;2;3;4;5;6;7;8;9},AA340&amp;"0123456789"))+1)),"")</f>
        <v/>
      </c>
    </row>
    <row r="341" spans="28:28" x14ac:dyDescent="0.2">
      <c r="AB341" s="660" t="str">
        <f>IFERROR(VALUE(RIGHT(AA341,LEN(AA341)-MIN(FIND({0;1;2;3;4;5;6;7;8;9},AA341&amp;"0123456789"))+1)),"")</f>
        <v/>
      </c>
    </row>
    <row r="342" spans="28:28" x14ac:dyDescent="0.2">
      <c r="AB342" s="660" t="str">
        <f>IFERROR(VALUE(RIGHT(AA342,LEN(AA342)-MIN(FIND({0;1;2;3;4;5;6;7;8;9},AA342&amp;"0123456789"))+1)),"")</f>
        <v/>
      </c>
    </row>
    <row r="343" spans="28:28" x14ac:dyDescent="0.2">
      <c r="AB343" s="660" t="str">
        <f>IFERROR(VALUE(RIGHT(AA343,LEN(AA343)-MIN(FIND({0;1;2;3;4;5;6;7;8;9},AA343&amp;"0123456789"))+1)),"")</f>
        <v/>
      </c>
    </row>
    <row r="344" spans="28:28" x14ac:dyDescent="0.2">
      <c r="AB344" s="660" t="str">
        <f>IFERROR(VALUE(RIGHT(AA344,LEN(AA344)-MIN(FIND({0;1;2;3;4;5;6;7;8;9},AA344&amp;"0123456789"))+1)),"")</f>
        <v/>
      </c>
    </row>
    <row r="345" spans="28:28" x14ac:dyDescent="0.2">
      <c r="AB345" s="660" t="str">
        <f>IFERROR(VALUE(RIGHT(AA345,LEN(AA345)-MIN(FIND({0;1;2;3;4;5;6;7;8;9},AA345&amp;"0123456789"))+1)),"")</f>
        <v/>
      </c>
    </row>
    <row r="346" spans="28:28" x14ac:dyDescent="0.2">
      <c r="AB346" s="660" t="str">
        <f>IFERROR(VALUE(RIGHT(AA346,LEN(AA346)-MIN(FIND({0;1;2;3;4;5;6;7;8;9},AA346&amp;"0123456789"))+1)),"")</f>
        <v/>
      </c>
    </row>
    <row r="347" spans="28:28" x14ac:dyDescent="0.2">
      <c r="AB347" s="660" t="str">
        <f>IFERROR(VALUE(RIGHT(AA347,LEN(AA347)-MIN(FIND({0;1;2;3;4;5;6;7;8;9},AA347&amp;"0123456789"))+1)),"")</f>
        <v/>
      </c>
    </row>
    <row r="348" spans="28:28" x14ac:dyDescent="0.2">
      <c r="AB348" s="660" t="str">
        <f>IFERROR(VALUE(RIGHT(AA348,LEN(AA348)-MIN(FIND({0;1;2;3;4;5;6;7;8;9},AA348&amp;"0123456789"))+1)),"")</f>
        <v/>
      </c>
    </row>
    <row r="349" spans="28:28" x14ac:dyDescent="0.2">
      <c r="AB349" s="660" t="str">
        <f>IFERROR(VALUE(RIGHT(AA349,LEN(AA349)-MIN(FIND({0;1;2;3;4;5;6;7;8;9},AA349&amp;"0123456789"))+1)),"")</f>
        <v/>
      </c>
    </row>
    <row r="350" spans="28:28" x14ac:dyDescent="0.2">
      <c r="AB350" s="660" t="str">
        <f>IFERROR(VALUE(RIGHT(AA350,LEN(AA350)-MIN(FIND({0;1;2;3;4;5;6;7;8;9},AA350&amp;"0123456789"))+1)),"")</f>
        <v/>
      </c>
    </row>
    <row r="351" spans="28:28" x14ac:dyDescent="0.2">
      <c r="AB351" s="660" t="str">
        <f>IFERROR(VALUE(RIGHT(AA351,LEN(AA351)-MIN(FIND({0;1;2;3;4;5;6;7;8;9},AA351&amp;"0123456789"))+1)),"")</f>
        <v/>
      </c>
    </row>
    <row r="352" spans="28:28" x14ac:dyDescent="0.2">
      <c r="AB352" s="660" t="str">
        <f>IFERROR(VALUE(RIGHT(AA352,LEN(AA352)-MIN(FIND({0;1;2;3;4;5;6;7;8;9},AA352&amp;"0123456789"))+1)),"")</f>
        <v/>
      </c>
    </row>
    <row r="353" spans="28:28" x14ac:dyDescent="0.2">
      <c r="AB353" s="660" t="str">
        <f>IFERROR(VALUE(RIGHT(AA353,LEN(AA353)-MIN(FIND({0;1;2;3;4;5;6;7;8;9},AA353&amp;"0123456789"))+1)),"")</f>
        <v/>
      </c>
    </row>
    <row r="354" spans="28:28" x14ac:dyDescent="0.2">
      <c r="AB354" s="660" t="str">
        <f>IFERROR(VALUE(RIGHT(AA354,LEN(AA354)-MIN(FIND({0;1;2;3;4;5;6;7;8;9},AA354&amp;"0123456789"))+1)),"")</f>
        <v/>
      </c>
    </row>
    <row r="355" spans="28:28" x14ac:dyDescent="0.2">
      <c r="AB355" s="660" t="str">
        <f>IFERROR(VALUE(RIGHT(AA355,LEN(AA355)-MIN(FIND({0;1;2;3;4;5;6;7;8;9},AA355&amp;"0123456789"))+1)),"")</f>
        <v/>
      </c>
    </row>
    <row r="356" spans="28:28" x14ac:dyDescent="0.2">
      <c r="AB356" s="660" t="str">
        <f>IFERROR(VALUE(RIGHT(AA356,LEN(AA356)-MIN(FIND({0;1;2;3;4;5;6;7;8;9},AA356&amp;"0123456789"))+1)),"")</f>
        <v/>
      </c>
    </row>
    <row r="357" spans="28:28" x14ac:dyDescent="0.2">
      <c r="AB357" s="660" t="str">
        <f>IFERROR(VALUE(RIGHT(AA357,LEN(AA357)-MIN(FIND({0;1;2;3;4;5;6;7;8;9},AA357&amp;"0123456789"))+1)),"")</f>
        <v/>
      </c>
    </row>
    <row r="358" spans="28:28" x14ac:dyDescent="0.2">
      <c r="AB358" s="660" t="str">
        <f>IFERROR(VALUE(RIGHT(AA358,LEN(AA358)-MIN(FIND({0;1;2;3;4;5;6;7;8;9},AA358&amp;"0123456789"))+1)),"")</f>
        <v/>
      </c>
    </row>
    <row r="359" spans="28:28" x14ac:dyDescent="0.2">
      <c r="AB359" s="660" t="str">
        <f>IFERROR(VALUE(RIGHT(AA359,LEN(AA359)-MIN(FIND({0;1;2;3;4;5;6;7;8;9},AA359&amp;"0123456789"))+1)),"")</f>
        <v/>
      </c>
    </row>
    <row r="360" spans="28:28" x14ac:dyDescent="0.2">
      <c r="AB360" s="660" t="str">
        <f>IFERROR(VALUE(RIGHT(AA360,LEN(AA360)-MIN(FIND({0;1;2;3;4;5;6;7;8;9},AA360&amp;"0123456789"))+1)),"")</f>
        <v/>
      </c>
    </row>
    <row r="361" spans="28:28" x14ac:dyDescent="0.2">
      <c r="AB361" s="660" t="str">
        <f>IFERROR(VALUE(RIGHT(AA361,LEN(AA361)-MIN(FIND({0;1;2;3;4;5;6;7;8;9},AA361&amp;"0123456789"))+1)),"")</f>
        <v/>
      </c>
    </row>
    <row r="362" spans="28:28" x14ac:dyDescent="0.2">
      <c r="AB362" s="660" t="str">
        <f>IFERROR(VALUE(RIGHT(AA362,LEN(AA362)-MIN(FIND({0;1;2;3;4;5;6;7;8;9},AA362&amp;"0123456789"))+1)),"")</f>
        <v/>
      </c>
    </row>
    <row r="363" spans="28:28" x14ac:dyDescent="0.2">
      <c r="AB363" s="660" t="str">
        <f>IFERROR(VALUE(RIGHT(AA363,LEN(AA363)-MIN(FIND({0;1;2;3;4;5;6;7;8;9},AA363&amp;"0123456789"))+1)),"")</f>
        <v/>
      </c>
    </row>
    <row r="364" spans="28:28" x14ac:dyDescent="0.2">
      <c r="AB364" s="660" t="str">
        <f>IFERROR(VALUE(RIGHT(AA364,LEN(AA364)-MIN(FIND({0;1;2;3;4;5;6;7;8;9},AA364&amp;"0123456789"))+1)),"")</f>
        <v/>
      </c>
    </row>
    <row r="365" spans="28:28" x14ac:dyDescent="0.2">
      <c r="AB365" s="660" t="str">
        <f>IFERROR(VALUE(RIGHT(AA365,LEN(AA365)-MIN(FIND({0;1;2;3;4;5;6;7;8;9},AA365&amp;"0123456789"))+1)),"")</f>
        <v/>
      </c>
    </row>
    <row r="366" spans="28:28" x14ac:dyDescent="0.2">
      <c r="AB366" s="660" t="str">
        <f>IFERROR(VALUE(RIGHT(AA366,LEN(AA366)-MIN(FIND({0;1;2;3;4;5;6;7;8;9},AA366&amp;"0123456789"))+1)),"")</f>
        <v/>
      </c>
    </row>
    <row r="367" spans="28:28" x14ac:dyDescent="0.2">
      <c r="AB367" s="660" t="str">
        <f>IFERROR(VALUE(RIGHT(AA367,LEN(AA367)-MIN(FIND({0;1;2;3;4;5;6;7;8;9},AA367&amp;"0123456789"))+1)),"")</f>
        <v/>
      </c>
    </row>
    <row r="368" spans="28:28" x14ac:dyDescent="0.2">
      <c r="AB368" s="660" t="str">
        <f>IFERROR(VALUE(RIGHT(AA368,LEN(AA368)-MIN(FIND({0;1;2;3;4;5;6;7;8;9},AA368&amp;"0123456789"))+1)),"")</f>
        <v/>
      </c>
    </row>
    <row r="369" spans="28:28" x14ac:dyDescent="0.2">
      <c r="AB369" s="660" t="str">
        <f>IFERROR(VALUE(RIGHT(AA369,LEN(AA369)-MIN(FIND({0;1;2;3;4;5;6;7;8;9},AA369&amp;"0123456789"))+1)),"")</f>
        <v/>
      </c>
    </row>
    <row r="370" spans="28:28" x14ac:dyDescent="0.2">
      <c r="AB370" s="660" t="str">
        <f>IFERROR(VALUE(RIGHT(AA370,LEN(AA370)-MIN(FIND({0;1;2;3;4;5;6;7;8;9},AA370&amp;"0123456789"))+1)),"")</f>
        <v/>
      </c>
    </row>
    <row r="371" spans="28:28" x14ac:dyDescent="0.2">
      <c r="AB371" s="660" t="str">
        <f>IFERROR(VALUE(RIGHT(AA371,LEN(AA371)-MIN(FIND({0;1;2;3;4;5;6;7;8;9},AA371&amp;"0123456789"))+1)),"")</f>
        <v/>
      </c>
    </row>
    <row r="372" spans="28:28" x14ac:dyDescent="0.2">
      <c r="AB372" s="660" t="str">
        <f>IFERROR(VALUE(RIGHT(AA372,LEN(AA372)-MIN(FIND({0;1;2;3;4;5;6;7;8;9},AA372&amp;"0123456789"))+1)),"")</f>
        <v/>
      </c>
    </row>
    <row r="373" spans="28:28" x14ac:dyDescent="0.2">
      <c r="AB373" s="660" t="str">
        <f>IFERROR(VALUE(RIGHT(AA373,LEN(AA373)-MIN(FIND({0;1;2;3;4;5;6;7;8;9},AA373&amp;"0123456789"))+1)),"")</f>
        <v/>
      </c>
    </row>
    <row r="374" spans="28:28" x14ac:dyDescent="0.2">
      <c r="AB374" s="660" t="str">
        <f>IFERROR(VALUE(RIGHT(AA374,LEN(AA374)-MIN(FIND({0;1;2;3;4;5;6;7;8;9},AA374&amp;"0123456789"))+1)),"")</f>
        <v/>
      </c>
    </row>
    <row r="375" spans="28:28" x14ac:dyDescent="0.2">
      <c r="AB375" s="660" t="str">
        <f>IFERROR(VALUE(RIGHT(AA375,LEN(AA375)-MIN(FIND({0;1;2;3;4;5;6;7;8;9},AA375&amp;"0123456789"))+1)),"")</f>
        <v/>
      </c>
    </row>
    <row r="376" spans="28:28" x14ac:dyDescent="0.2">
      <c r="AB376" s="660" t="str">
        <f>IFERROR(VALUE(RIGHT(AA376,LEN(AA376)-MIN(FIND({0;1;2;3;4;5;6;7;8;9},AA376&amp;"0123456789"))+1)),"")</f>
        <v/>
      </c>
    </row>
    <row r="377" spans="28:28" x14ac:dyDescent="0.2">
      <c r="AB377" s="660" t="str">
        <f>IFERROR(VALUE(RIGHT(AA377,LEN(AA377)-MIN(FIND({0;1;2;3;4;5;6;7;8;9},AA377&amp;"0123456789"))+1)),"")</f>
        <v/>
      </c>
    </row>
    <row r="378" spans="28:28" x14ac:dyDescent="0.2">
      <c r="AB378" s="660" t="str">
        <f>IFERROR(VALUE(RIGHT(AA378,LEN(AA378)-MIN(FIND({0;1;2;3;4;5;6;7;8;9},AA378&amp;"0123456789"))+1)),"")</f>
        <v/>
      </c>
    </row>
    <row r="379" spans="28:28" x14ac:dyDescent="0.2">
      <c r="AB379" s="660" t="str">
        <f>IFERROR(VALUE(RIGHT(AA379,LEN(AA379)-MIN(FIND({0;1;2;3;4;5;6;7;8;9},AA379&amp;"0123456789"))+1)),"")</f>
        <v/>
      </c>
    </row>
    <row r="380" spans="28:28" x14ac:dyDescent="0.2">
      <c r="AB380" s="660" t="str">
        <f>IFERROR(VALUE(RIGHT(AA380,LEN(AA380)-MIN(FIND({0;1;2;3;4;5;6;7;8;9},AA380&amp;"0123456789"))+1)),"")</f>
        <v/>
      </c>
    </row>
    <row r="381" spans="28:28" x14ac:dyDescent="0.2">
      <c r="AB381" s="660" t="str">
        <f>IFERROR(VALUE(RIGHT(AA381,LEN(AA381)-MIN(FIND({0;1;2;3;4;5;6;7;8;9},AA381&amp;"0123456789"))+1)),"")</f>
        <v/>
      </c>
    </row>
    <row r="382" spans="28:28" x14ac:dyDescent="0.2">
      <c r="AB382" s="660" t="str">
        <f>IFERROR(VALUE(RIGHT(AA382,LEN(AA382)-MIN(FIND({0;1;2;3;4;5;6;7;8;9},AA382&amp;"0123456789"))+1)),"")</f>
        <v/>
      </c>
    </row>
    <row r="383" spans="28:28" x14ac:dyDescent="0.2">
      <c r="AB383" s="660" t="str">
        <f>IFERROR(VALUE(RIGHT(AA383,LEN(AA383)-MIN(FIND({0;1;2;3;4;5;6;7;8;9},AA383&amp;"0123456789"))+1)),"")</f>
        <v/>
      </c>
    </row>
    <row r="384" spans="28:28" x14ac:dyDescent="0.2">
      <c r="AB384" s="660" t="str">
        <f>IFERROR(VALUE(RIGHT(AA384,LEN(AA384)-MIN(FIND({0;1;2;3;4;5;6;7;8;9},AA384&amp;"0123456789"))+1)),"")</f>
        <v/>
      </c>
    </row>
    <row r="385" spans="28:28" x14ac:dyDescent="0.2">
      <c r="AB385" s="660" t="str">
        <f>IFERROR(VALUE(RIGHT(AA385,LEN(AA385)-MIN(FIND({0;1;2;3;4;5;6;7;8;9},AA385&amp;"0123456789"))+1)),"")</f>
        <v/>
      </c>
    </row>
    <row r="386" spans="28:28" x14ac:dyDescent="0.2">
      <c r="AB386" s="660" t="str">
        <f>IFERROR(VALUE(RIGHT(AA386,LEN(AA386)-MIN(FIND({0;1;2;3;4;5;6;7;8;9},AA386&amp;"0123456789"))+1)),"")</f>
        <v/>
      </c>
    </row>
    <row r="387" spans="28:28" x14ac:dyDescent="0.2">
      <c r="AB387" s="660" t="str">
        <f>IFERROR(VALUE(RIGHT(AA387,LEN(AA387)-MIN(FIND({0;1;2;3;4;5;6;7;8;9},AA387&amp;"0123456789"))+1)),"")</f>
        <v/>
      </c>
    </row>
    <row r="388" spans="28:28" x14ac:dyDescent="0.2">
      <c r="AB388" s="660" t="str">
        <f>IFERROR(VALUE(RIGHT(AA388,LEN(AA388)-MIN(FIND({0;1;2;3;4;5;6;7;8;9},AA388&amp;"0123456789"))+1)),"")</f>
        <v/>
      </c>
    </row>
    <row r="389" spans="28:28" x14ac:dyDescent="0.2">
      <c r="AB389" s="660" t="str">
        <f>IFERROR(VALUE(RIGHT(AA389,LEN(AA389)-MIN(FIND({0;1;2;3;4;5;6;7;8;9},AA389&amp;"0123456789"))+1)),"")</f>
        <v/>
      </c>
    </row>
    <row r="390" spans="28:28" x14ac:dyDescent="0.2">
      <c r="AB390" s="660" t="str">
        <f>IFERROR(VALUE(RIGHT(AA390,LEN(AA390)-MIN(FIND({0;1;2;3;4;5;6;7;8;9},AA390&amp;"0123456789"))+1)),"")</f>
        <v/>
      </c>
    </row>
    <row r="391" spans="28:28" x14ac:dyDescent="0.2">
      <c r="AB391" s="660" t="str">
        <f>IFERROR(VALUE(RIGHT(AA391,LEN(AA391)-MIN(FIND({0;1;2;3;4;5;6;7;8;9},AA391&amp;"0123456789"))+1)),"")</f>
        <v/>
      </c>
    </row>
    <row r="392" spans="28:28" x14ac:dyDescent="0.2">
      <c r="AB392" s="660" t="str">
        <f>IFERROR(VALUE(RIGHT(AA392,LEN(AA392)-MIN(FIND({0;1;2;3;4;5;6;7;8;9},AA392&amp;"0123456789"))+1)),"")</f>
        <v/>
      </c>
    </row>
    <row r="393" spans="28:28" x14ac:dyDescent="0.2">
      <c r="AB393" s="660" t="str">
        <f>IFERROR(VALUE(RIGHT(AA393,LEN(AA393)-MIN(FIND({0;1;2;3;4;5;6;7;8;9},AA393&amp;"0123456789"))+1)),"")</f>
        <v/>
      </c>
    </row>
    <row r="394" spans="28:28" x14ac:dyDescent="0.2">
      <c r="AB394" s="660" t="str">
        <f>IFERROR(VALUE(RIGHT(AA394,LEN(AA394)-MIN(FIND({0;1;2;3;4;5;6;7;8;9},AA394&amp;"0123456789"))+1)),"")</f>
        <v/>
      </c>
    </row>
    <row r="395" spans="28:28" x14ac:dyDescent="0.2">
      <c r="AB395" s="660" t="str">
        <f>IFERROR(VALUE(RIGHT(AA395,LEN(AA395)-MIN(FIND({0;1;2;3;4;5;6;7;8;9},AA395&amp;"0123456789"))+1)),"")</f>
        <v/>
      </c>
    </row>
    <row r="396" spans="28:28" x14ac:dyDescent="0.2">
      <c r="AB396" s="660" t="str">
        <f>IFERROR(VALUE(RIGHT(AA396,LEN(AA396)-MIN(FIND({0;1;2;3;4;5;6;7;8;9},AA396&amp;"0123456789"))+1)),"")</f>
        <v/>
      </c>
    </row>
    <row r="397" spans="28:28" x14ac:dyDescent="0.2">
      <c r="AB397" s="660" t="str">
        <f>IFERROR(VALUE(RIGHT(AA397,LEN(AA397)-MIN(FIND({0;1;2;3;4;5;6;7;8;9},AA397&amp;"0123456789"))+1)),"")</f>
        <v/>
      </c>
    </row>
    <row r="398" spans="28:28" x14ac:dyDescent="0.2">
      <c r="AB398" s="660" t="str">
        <f>IFERROR(VALUE(RIGHT(AA398,LEN(AA398)-MIN(FIND({0;1;2;3;4;5;6;7;8;9},AA398&amp;"0123456789"))+1)),"")</f>
        <v/>
      </c>
    </row>
    <row r="399" spans="28:28" x14ac:dyDescent="0.2">
      <c r="AB399" s="660" t="str">
        <f>IFERROR(VALUE(RIGHT(AA399,LEN(AA399)-MIN(FIND({0;1;2;3;4;5;6;7;8;9},AA399&amp;"0123456789"))+1)),"")</f>
        <v/>
      </c>
    </row>
    <row r="400" spans="28:28" x14ac:dyDescent="0.2">
      <c r="AB400" s="660" t="str">
        <f>IFERROR(VALUE(RIGHT(AA400,LEN(AA400)-MIN(FIND({0;1;2;3;4;5;6;7;8;9},AA400&amp;"0123456789"))+1)),"")</f>
        <v/>
      </c>
    </row>
    <row r="401" spans="28:28" x14ac:dyDescent="0.2">
      <c r="AB401" s="660" t="str">
        <f>IFERROR(VALUE(RIGHT(AA401,LEN(AA401)-MIN(FIND({0;1;2;3;4;5;6;7;8;9},AA401&amp;"0123456789"))+1)),"")</f>
        <v/>
      </c>
    </row>
    <row r="402" spans="28:28" x14ac:dyDescent="0.2">
      <c r="AB402" s="660" t="str">
        <f>IFERROR(VALUE(RIGHT(AA402,LEN(AA402)-MIN(FIND({0;1;2;3;4;5;6;7;8;9},AA402&amp;"0123456789"))+1)),"")</f>
        <v/>
      </c>
    </row>
    <row r="403" spans="28:28" x14ac:dyDescent="0.2">
      <c r="AB403" s="660" t="str">
        <f>IFERROR(VALUE(RIGHT(AA403,LEN(AA403)-MIN(FIND({0;1;2;3;4;5;6;7;8;9},AA403&amp;"0123456789"))+1)),"")</f>
        <v/>
      </c>
    </row>
    <row r="404" spans="28:28" x14ac:dyDescent="0.2">
      <c r="AB404" s="660" t="str">
        <f>IFERROR(VALUE(RIGHT(AA404,LEN(AA404)-MIN(FIND({0;1;2;3;4;5;6;7;8;9},AA404&amp;"0123456789"))+1)),"")</f>
        <v/>
      </c>
    </row>
    <row r="405" spans="28:28" x14ac:dyDescent="0.2">
      <c r="AB405" s="660" t="str">
        <f>IFERROR(VALUE(RIGHT(AA405,LEN(AA405)-MIN(FIND({0;1;2;3;4;5;6;7;8;9},AA405&amp;"0123456789"))+1)),"")</f>
        <v/>
      </c>
    </row>
    <row r="406" spans="28:28" x14ac:dyDescent="0.2">
      <c r="AB406" s="660" t="str">
        <f>IFERROR(VALUE(RIGHT(AA406,LEN(AA406)-MIN(FIND({0;1;2;3;4;5;6;7;8;9},AA406&amp;"0123456789"))+1)),"")</f>
        <v/>
      </c>
    </row>
    <row r="407" spans="28:28" x14ac:dyDescent="0.2">
      <c r="AB407" s="660" t="str">
        <f>IFERROR(VALUE(RIGHT(AA407,LEN(AA407)-MIN(FIND({0;1;2;3;4;5;6;7;8;9},AA407&amp;"0123456789"))+1)),"")</f>
        <v/>
      </c>
    </row>
    <row r="408" spans="28:28" x14ac:dyDescent="0.2">
      <c r="AB408" s="660" t="str">
        <f>IFERROR(VALUE(RIGHT(AA408,LEN(AA408)-MIN(FIND({0;1;2;3;4;5;6;7;8;9},AA408&amp;"0123456789"))+1)),"")</f>
        <v/>
      </c>
    </row>
    <row r="409" spans="28:28" x14ac:dyDescent="0.2">
      <c r="AB409" s="660" t="str">
        <f>IFERROR(VALUE(RIGHT(AA409,LEN(AA409)-MIN(FIND({0;1;2;3;4;5;6;7;8;9},AA409&amp;"0123456789"))+1)),"")</f>
        <v/>
      </c>
    </row>
    <row r="410" spans="28:28" x14ac:dyDescent="0.2">
      <c r="AB410" s="660" t="str">
        <f>IFERROR(VALUE(RIGHT(AA410,LEN(AA410)-MIN(FIND({0;1;2;3;4;5;6;7;8;9},AA410&amp;"0123456789"))+1)),"")</f>
        <v/>
      </c>
    </row>
    <row r="411" spans="28:28" x14ac:dyDescent="0.2">
      <c r="AB411" s="660" t="str">
        <f>IFERROR(VALUE(RIGHT(AA411,LEN(AA411)-MIN(FIND({0;1;2;3;4;5;6;7;8;9},AA411&amp;"0123456789"))+1)),"")</f>
        <v/>
      </c>
    </row>
    <row r="412" spans="28:28" x14ac:dyDescent="0.2">
      <c r="AB412" s="660" t="str">
        <f>IFERROR(VALUE(RIGHT(AA412,LEN(AA412)-MIN(FIND({0;1;2;3;4;5;6;7;8;9},AA412&amp;"0123456789"))+1)),"")</f>
        <v/>
      </c>
    </row>
    <row r="413" spans="28:28" x14ac:dyDescent="0.2">
      <c r="AB413" s="660" t="str">
        <f>IFERROR(VALUE(RIGHT(AA413,LEN(AA413)-MIN(FIND({0;1;2;3;4;5;6;7;8;9},AA413&amp;"0123456789"))+1)),"")</f>
        <v/>
      </c>
    </row>
    <row r="414" spans="28:28" x14ac:dyDescent="0.2">
      <c r="AB414" s="660" t="str">
        <f>IFERROR(VALUE(RIGHT(AA414,LEN(AA414)-MIN(FIND({0;1;2;3;4;5;6;7;8;9},AA414&amp;"0123456789"))+1)),"")</f>
        <v/>
      </c>
    </row>
    <row r="415" spans="28:28" x14ac:dyDescent="0.2">
      <c r="AB415" s="660" t="str">
        <f>IFERROR(VALUE(RIGHT(AA415,LEN(AA415)-MIN(FIND({0;1;2;3;4;5;6;7;8;9},AA415&amp;"0123456789"))+1)),"")</f>
        <v/>
      </c>
    </row>
    <row r="416" spans="28:28" x14ac:dyDescent="0.2">
      <c r="AB416" s="660" t="str">
        <f>IFERROR(VALUE(RIGHT(AA416,LEN(AA416)-MIN(FIND({0;1;2;3;4;5;6;7;8;9},AA416&amp;"0123456789"))+1)),"")</f>
        <v/>
      </c>
    </row>
    <row r="417" spans="28:28" x14ac:dyDescent="0.2">
      <c r="AB417" s="660" t="str">
        <f>IFERROR(VALUE(RIGHT(AA417,LEN(AA417)-MIN(FIND({0;1;2;3;4;5;6;7;8;9},AA417&amp;"0123456789"))+1)),"")</f>
        <v/>
      </c>
    </row>
    <row r="418" spans="28:28" x14ac:dyDescent="0.2">
      <c r="AB418" s="660" t="str">
        <f>IFERROR(VALUE(RIGHT(AA418,LEN(AA418)-MIN(FIND({0;1;2;3;4;5;6;7;8;9},AA418&amp;"0123456789"))+1)),"")</f>
        <v/>
      </c>
    </row>
    <row r="419" spans="28:28" x14ac:dyDescent="0.2">
      <c r="AB419" s="660" t="str">
        <f>IFERROR(VALUE(RIGHT(AA419,LEN(AA419)-MIN(FIND({0;1;2;3;4;5;6;7;8;9},AA419&amp;"0123456789"))+1)),"")</f>
        <v/>
      </c>
    </row>
    <row r="420" spans="28:28" x14ac:dyDescent="0.2">
      <c r="AB420" s="660" t="str">
        <f>IFERROR(VALUE(RIGHT(AA420,LEN(AA420)-MIN(FIND({0;1;2;3;4;5;6;7;8;9},AA420&amp;"0123456789"))+1)),"")</f>
        <v/>
      </c>
    </row>
    <row r="421" spans="28:28" x14ac:dyDescent="0.2">
      <c r="AB421" s="660" t="str">
        <f>IFERROR(VALUE(RIGHT(AA421,LEN(AA421)-MIN(FIND({0;1;2;3;4;5;6;7;8;9},AA421&amp;"0123456789"))+1)),"")</f>
        <v/>
      </c>
    </row>
    <row r="422" spans="28:28" x14ac:dyDescent="0.2">
      <c r="AB422" s="660" t="str">
        <f>IFERROR(VALUE(RIGHT(AA422,LEN(AA422)-MIN(FIND({0;1;2;3;4;5;6;7;8;9},AA422&amp;"0123456789"))+1)),"")</f>
        <v/>
      </c>
    </row>
    <row r="423" spans="28:28" x14ac:dyDescent="0.2">
      <c r="AB423" s="660" t="str">
        <f>IFERROR(VALUE(RIGHT(AA423,LEN(AA423)-MIN(FIND({0;1;2;3;4;5;6;7;8;9},AA423&amp;"0123456789"))+1)),"")</f>
        <v/>
      </c>
    </row>
    <row r="424" spans="28:28" x14ac:dyDescent="0.2">
      <c r="AB424" s="660" t="str">
        <f>IFERROR(VALUE(RIGHT(AA424,LEN(AA424)-MIN(FIND({0;1;2;3;4;5;6;7;8;9},AA424&amp;"0123456789"))+1)),"")</f>
        <v/>
      </c>
    </row>
    <row r="425" spans="28:28" x14ac:dyDescent="0.2">
      <c r="AB425" s="660" t="str">
        <f>IFERROR(VALUE(RIGHT(AA425,LEN(AA425)-MIN(FIND({0;1;2;3;4;5;6;7;8;9},AA425&amp;"0123456789"))+1)),"")</f>
        <v/>
      </c>
    </row>
    <row r="426" spans="28:28" x14ac:dyDescent="0.2">
      <c r="AB426" s="660" t="str">
        <f>IFERROR(VALUE(RIGHT(AA426,LEN(AA426)-MIN(FIND({0;1;2;3;4;5;6;7;8;9},AA426&amp;"0123456789"))+1)),"")</f>
        <v/>
      </c>
    </row>
    <row r="427" spans="28:28" x14ac:dyDescent="0.2">
      <c r="AB427" s="660" t="str">
        <f>IFERROR(VALUE(RIGHT(AA427,LEN(AA427)-MIN(FIND({0;1;2;3;4;5;6;7;8;9},AA427&amp;"0123456789"))+1)),"")</f>
        <v/>
      </c>
    </row>
    <row r="428" spans="28:28" x14ac:dyDescent="0.2">
      <c r="AB428" s="660" t="str">
        <f>IFERROR(VALUE(RIGHT(AA428,LEN(AA428)-MIN(FIND({0;1;2;3;4;5;6;7;8;9},AA428&amp;"0123456789"))+1)),"")</f>
        <v/>
      </c>
    </row>
    <row r="429" spans="28:28" x14ac:dyDescent="0.2">
      <c r="AB429" s="660" t="str">
        <f>IFERROR(VALUE(RIGHT(AA429,LEN(AA429)-MIN(FIND({0;1;2;3;4;5;6;7;8;9},AA429&amp;"0123456789"))+1)),"")</f>
        <v/>
      </c>
    </row>
    <row r="430" spans="28:28" x14ac:dyDescent="0.2">
      <c r="AB430" s="660" t="str">
        <f>IFERROR(VALUE(RIGHT(AA430,LEN(AA430)-MIN(FIND({0;1;2;3;4;5;6;7;8;9},AA430&amp;"0123456789"))+1)),"")</f>
        <v/>
      </c>
    </row>
    <row r="431" spans="28:28" x14ac:dyDescent="0.2">
      <c r="AB431" s="660" t="str">
        <f>IFERROR(VALUE(RIGHT(AA431,LEN(AA431)-MIN(FIND({0;1;2;3;4;5;6;7;8;9},AA431&amp;"0123456789"))+1)),"")</f>
        <v/>
      </c>
    </row>
    <row r="432" spans="28:28" x14ac:dyDescent="0.2">
      <c r="AB432" s="660" t="str">
        <f>IFERROR(VALUE(RIGHT(AA432,LEN(AA432)-MIN(FIND({0;1;2;3;4;5;6;7;8;9},AA432&amp;"0123456789"))+1)),"")</f>
        <v/>
      </c>
    </row>
    <row r="433" spans="28:28" x14ac:dyDescent="0.2">
      <c r="AB433" s="660" t="str">
        <f>IFERROR(VALUE(RIGHT(AA433,LEN(AA433)-MIN(FIND({0;1;2;3;4;5;6;7;8;9},AA433&amp;"0123456789"))+1)),"")</f>
        <v/>
      </c>
    </row>
    <row r="434" spans="28:28" x14ac:dyDescent="0.2">
      <c r="AB434" s="660" t="str">
        <f>IFERROR(VALUE(RIGHT(AA434,LEN(AA434)-MIN(FIND({0;1;2;3;4;5;6;7;8;9},AA434&amp;"0123456789"))+1)),"")</f>
        <v/>
      </c>
    </row>
    <row r="435" spans="28:28" x14ac:dyDescent="0.2">
      <c r="AB435" s="660" t="str">
        <f>IFERROR(VALUE(RIGHT(AA435,LEN(AA435)-MIN(FIND({0;1;2;3;4;5;6;7;8;9},AA435&amp;"0123456789"))+1)),"")</f>
        <v/>
      </c>
    </row>
    <row r="436" spans="28:28" x14ac:dyDescent="0.2">
      <c r="AB436" s="660" t="str">
        <f>IFERROR(VALUE(RIGHT(AA436,LEN(AA436)-MIN(FIND({0;1;2;3;4;5;6;7;8;9},AA436&amp;"0123456789"))+1)),"")</f>
        <v/>
      </c>
    </row>
    <row r="437" spans="28:28" x14ac:dyDescent="0.2">
      <c r="AB437" s="660" t="str">
        <f>IFERROR(VALUE(RIGHT(AA437,LEN(AA437)-MIN(FIND({0;1;2;3;4;5;6;7;8;9},AA437&amp;"0123456789"))+1)),"")</f>
        <v/>
      </c>
    </row>
    <row r="438" spans="28:28" x14ac:dyDescent="0.2">
      <c r="AB438" s="660" t="str">
        <f>IFERROR(VALUE(RIGHT(AA438,LEN(AA438)-MIN(FIND({0;1;2;3;4;5;6;7;8;9},AA438&amp;"0123456789"))+1)),"")</f>
        <v/>
      </c>
    </row>
    <row r="439" spans="28:28" x14ac:dyDescent="0.2">
      <c r="AB439" s="660" t="str">
        <f>IFERROR(VALUE(RIGHT(AA439,LEN(AA439)-MIN(FIND({0;1;2;3;4;5;6;7;8;9},AA439&amp;"0123456789"))+1)),"")</f>
        <v/>
      </c>
    </row>
    <row r="440" spans="28:28" x14ac:dyDescent="0.2">
      <c r="AB440" s="660" t="str">
        <f>IFERROR(VALUE(RIGHT(AA440,LEN(AA440)-MIN(FIND({0;1;2;3;4;5;6;7;8;9},AA440&amp;"0123456789"))+1)),"")</f>
        <v/>
      </c>
    </row>
    <row r="441" spans="28:28" x14ac:dyDescent="0.2">
      <c r="AB441" s="660" t="str">
        <f>IFERROR(VALUE(RIGHT(AA441,LEN(AA441)-MIN(FIND({0;1;2;3;4;5;6;7;8;9},AA441&amp;"0123456789"))+1)),"")</f>
        <v/>
      </c>
    </row>
    <row r="442" spans="28:28" x14ac:dyDescent="0.2">
      <c r="AB442" s="660" t="str">
        <f>IFERROR(VALUE(RIGHT(AA442,LEN(AA442)-MIN(FIND({0;1;2;3;4;5;6;7;8;9},AA442&amp;"0123456789"))+1)),"")</f>
        <v/>
      </c>
    </row>
    <row r="443" spans="28:28" x14ac:dyDescent="0.2">
      <c r="AB443" s="660" t="str">
        <f>IFERROR(VALUE(RIGHT(AA443,LEN(AA443)-MIN(FIND({0;1;2;3;4;5;6;7;8;9},AA443&amp;"0123456789"))+1)),"")</f>
        <v/>
      </c>
    </row>
    <row r="444" spans="28:28" x14ac:dyDescent="0.2">
      <c r="AB444" s="660" t="str">
        <f>IFERROR(VALUE(RIGHT(AA444,LEN(AA444)-MIN(FIND({0;1;2;3;4;5;6;7;8;9},AA444&amp;"0123456789"))+1)),"")</f>
        <v/>
      </c>
    </row>
    <row r="445" spans="28:28" x14ac:dyDescent="0.2">
      <c r="AB445" s="660" t="str">
        <f>IFERROR(VALUE(RIGHT(AA445,LEN(AA445)-MIN(FIND({0;1;2;3;4;5;6;7;8;9},AA445&amp;"0123456789"))+1)),"")</f>
        <v/>
      </c>
    </row>
    <row r="446" spans="28:28" x14ac:dyDescent="0.2">
      <c r="AB446" s="660" t="str">
        <f>IFERROR(VALUE(RIGHT(AA446,LEN(AA446)-MIN(FIND({0;1;2;3;4;5;6;7;8;9},AA446&amp;"0123456789"))+1)),"")</f>
        <v/>
      </c>
    </row>
    <row r="447" spans="28:28" x14ac:dyDescent="0.2">
      <c r="AB447" s="660" t="str">
        <f>IFERROR(VALUE(RIGHT(AA447,LEN(AA447)-MIN(FIND({0;1;2;3;4;5;6;7;8;9},AA447&amp;"0123456789"))+1)),"")</f>
        <v/>
      </c>
    </row>
    <row r="448" spans="28:28" x14ac:dyDescent="0.2">
      <c r="AB448" s="660" t="str">
        <f>IFERROR(VALUE(RIGHT(AA448,LEN(AA448)-MIN(FIND({0;1;2;3;4;5;6;7;8;9},AA448&amp;"0123456789"))+1)),"")</f>
        <v/>
      </c>
    </row>
    <row r="449" spans="28:28" x14ac:dyDescent="0.2">
      <c r="AB449" s="660" t="str">
        <f>IFERROR(VALUE(RIGHT(AA449,LEN(AA449)-MIN(FIND({0;1;2;3;4;5;6;7;8;9},AA449&amp;"0123456789"))+1)),"")</f>
        <v/>
      </c>
    </row>
    <row r="450" spans="28:28" x14ac:dyDescent="0.2">
      <c r="AB450" s="660" t="str">
        <f>IFERROR(VALUE(RIGHT(AA450,LEN(AA450)-MIN(FIND({0;1;2;3;4;5;6;7;8;9},AA450&amp;"0123456789"))+1)),"")</f>
        <v/>
      </c>
    </row>
    <row r="451" spans="28:28" x14ac:dyDescent="0.2">
      <c r="AB451" s="660" t="str">
        <f>IFERROR(VALUE(RIGHT(AA451,LEN(AA451)-MIN(FIND({0;1;2;3;4;5;6;7;8;9},AA451&amp;"0123456789"))+1)),"")</f>
        <v/>
      </c>
    </row>
    <row r="452" spans="28:28" x14ac:dyDescent="0.2">
      <c r="AB452" s="660" t="str">
        <f>IFERROR(VALUE(RIGHT(AA452,LEN(AA452)-MIN(FIND({0;1;2;3;4;5;6;7;8;9},AA452&amp;"0123456789"))+1)),"")</f>
        <v/>
      </c>
    </row>
    <row r="453" spans="28:28" x14ac:dyDescent="0.2">
      <c r="AB453" s="660" t="str">
        <f>IFERROR(VALUE(RIGHT(AA453,LEN(AA453)-MIN(FIND({0;1;2;3;4;5;6;7;8;9},AA453&amp;"0123456789"))+1)),"")</f>
        <v/>
      </c>
    </row>
    <row r="454" spans="28:28" x14ac:dyDescent="0.2">
      <c r="AB454" s="660" t="str">
        <f>IFERROR(VALUE(RIGHT(AA454,LEN(AA454)-MIN(FIND({0;1;2;3;4;5;6;7;8;9},AA454&amp;"0123456789"))+1)),"")</f>
        <v/>
      </c>
    </row>
    <row r="455" spans="28:28" x14ac:dyDescent="0.2">
      <c r="AB455" s="660" t="str">
        <f>IFERROR(VALUE(RIGHT(AA455,LEN(AA455)-MIN(FIND({0;1;2;3;4;5;6;7;8;9},AA455&amp;"0123456789"))+1)),"")</f>
        <v/>
      </c>
    </row>
    <row r="456" spans="28:28" x14ac:dyDescent="0.2">
      <c r="AB456" s="660" t="str">
        <f>IFERROR(VALUE(RIGHT(AA456,LEN(AA456)-MIN(FIND({0;1;2;3;4;5;6;7;8;9},AA456&amp;"0123456789"))+1)),"")</f>
        <v/>
      </c>
    </row>
    <row r="457" spans="28:28" x14ac:dyDescent="0.2">
      <c r="AB457" s="660" t="str">
        <f>IFERROR(VALUE(RIGHT(AA457,LEN(AA457)-MIN(FIND({0;1;2;3;4;5;6;7;8;9},AA457&amp;"0123456789"))+1)),"")</f>
        <v/>
      </c>
    </row>
    <row r="458" spans="28:28" x14ac:dyDescent="0.2">
      <c r="AB458" s="660" t="str">
        <f>IFERROR(VALUE(RIGHT(AA458,LEN(AA458)-MIN(FIND({0;1;2;3;4;5;6;7;8;9},AA458&amp;"0123456789"))+1)),"")</f>
        <v/>
      </c>
    </row>
    <row r="459" spans="28:28" x14ac:dyDescent="0.2">
      <c r="AB459" s="660" t="str">
        <f>IFERROR(VALUE(RIGHT(AA459,LEN(AA459)-MIN(FIND({0;1;2;3;4;5;6;7;8;9},AA459&amp;"0123456789"))+1)),"")</f>
        <v/>
      </c>
    </row>
    <row r="460" spans="28:28" x14ac:dyDescent="0.2">
      <c r="AB460" s="660" t="str">
        <f>IFERROR(VALUE(RIGHT(AA460,LEN(AA460)-MIN(FIND({0;1;2;3;4;5;6;7;8;9},AA460&amp;"0123456789"))+1)),"")</f>
        <v/>
      </c>
    </row>
    <row r="461" spans="28:28" x14ac:dyDescent="0.2">
      <c r="AB461" s="660" t="str">
        <f>IFERROR(VALUE(RIGHT(AA461,LEN(AA461)-MIN(FIND({0;1;2;3;4;5;6;7;8;9},AA461&amp;"0123456789"))+1)),"")</f>
        <v/>
      </c>
    </row>
    <row r="462" spans="28:28" x14ac:dyDescent="0.2">
      <c r="AB462" s="660" t="str">
        <f>IFERROR(VALUE(RIGHT(AA462,LEN(AA462)-MIN(FIND({0;1;2;3;4;5;6;7;8;9},AA462&amp;"0123456789"))+1)),"")</f>
        <v/>
      </c>
    </row>
    <row r="463" spans="28:28" x14ac:dyDescent="0.2">
      <c r="AB463" s="660" t="str">
        <f>IFERROR(VALUE(RIGHT(AA463,LEN(AA463)-MIN(FIND({0;1;2;3;4;5;6;7;8;9},AA463&amp;"0123456789"))+1)),"")</f>
        <v/>
      </c>
    </row>
    <row r="464" spans="28:28" x14ac:dyDescent="0.2">
      <c r="AB464" s="660" t="str">
        <f>IFERROR(VALUE(RIGHT(AA464,LEN(AA464)-MIN(FIND({0;1;2;3;4;5;6;7;8;9},AA464&amp;"0123456789"))+1)),"")</f>
        <v/>
      </c>
    </row>
    <row r="465" spans="28:28" x14ac:dyDescent="0.2">
      <c r="AB465" s="660" t="str">
        <f>IFERROR(VALUE(RIGHT(AA465,LEN(AA465)-MIN(FIND({0;1;2;3;4;5;6;7;8;9},AA465&amp;"0123456789"))+1)),"")</f>
        <v/>
      </c>
    </row>
    <row r="466" spans="28:28" x14ac:dyDescent="0.2">
      <c r="AB466" s="660" t="str">
        <f>IFERROR(VALUE(RIGHT(AA466,LEN(AA466)-MIN(FIND({0;1;2;3;4;5;6;7;8;9},AA466&amp;"0123456789"))+1)),"")</f>
        <v/>
      </c>
    </row>
    <row r="467" spans="28:28" x14ac:dyDescent="0.2">
      <c r="AB467" s="660" t="str">
        <f>IFERROR(VALUE(RIGHT(AA467,LEN(AA467)-MIN(FIND({0;1;2;3;4;5;6;7;8;9},AA467&amp;"0123456789"))+1)),"")</f>
        <v/>
      </c>
    </row>
    <row r="468" spans="28:28" x14ac:dyDescent="0.2">
      <c r="AB468" s="660" t="str">
        <f>IFERROR(VALUE(RIGHT(AA468,LEN(AA468)-MIN(FIND({0;1;2;3;4;5;6;7;8;9},AA468&amp;"0123456789"))+1)),"")</f>
        <v/>
      </c>
    </row>
    <row r="469" spans="28:28" x14ac:dyDescent="0.2">
      <c r="AB469" s="660" t="str">
        <f>IFERROR(VALUE(RIGHT(AA469,LEN(AA469)-MIN(FIND({0;1;2;3;4;5;6;7;8;9},AA469&amp;"0123456789"))+1)),"")</f>
        <v/>
      </c>
    </row>
    <row r="470" spans="28:28" x14ac:dyDescent="0.2">
      <c r="AB470" s="660" t="str">
        <f>IFERROR(VALUE(RIGHT(AA470,LEN(AA470)-MIN(FIND({0;1;2;3;4;5;6;7;8;9},AA470&amp;"0123456789"))+1)),"")</f>
        <v/>
      </c>
    </row>
    <row r="471" spans="28:28" x14ac:dyDescent="0.2">
      <c r="AB471" s="660" t="str">
        <f>IFERROR(VALUE(RIGHT(AA471,LEN(AA471)-MIN(FIND({0;1;2;3;4;5;6;7;8;9},AA471&amp;"0123456789"))+1)),"")</f>
        <v/>
      </c>
    </row>
    <row r="472" spans="28:28" x14ac:dyDescent="0.2">
      <c r="AB472" s="660" t="str">
        <f>IFERROR(VALUE(RIGHT(AA472,LEN(AA472)-MIN(FIND({0;1;2;3;4;5;6;7;8;9},AA472&amp;"0123456789"))+1)),"")</f>
        <v/>
      </c>
    </row>
    <row r="473" spans="28:28" x14ac:dyDescent="0.2">
      <c r="AB473" s="660" t="str">
        <f>IFERROR(VALUE(RIGHT(AA473,LEN(AA473)-MIN(FIND({0;1;2;3;4;5;6;7;8;9},AA473&amp;"0123456789"))+1)),"")</f>
        <v/>
      </c>
    </row>
    <row r="474" spans="28:28" x14ac:dyDescent="0.2">
      <c r="AB474" s="660" t="str">
        <f>IFERROR(VALUE(RIGHT(AA474,LEN(AA474)-MIN(FIND({0;1;2;3;4;5;6;7;8;9},AA474&amp;"0123456789"))+1)),"")</f>
        <v/>
      </c>
    </row>
    <row r="475" spans="28:28" x14ac:dyDescent="0.2">
      <c r="AB475" s="660" t="str">
        <f>IFERROR(VALUE(RIGHT(AA475,LEN(AA475)-MIN(FIND({0;1;2;3;4;5;6;7;8;9},AA475&amp;"0123456789"))+1)),"")</f>
        <v/>
      </c>
    </row>
    <row r="476" spans="28:28" x14ac:dyDescent="0.2">
      <c r="AB476" s="660" t="str">
        <f>IFERROR(VALUE(RIGHT(AA476,LEN(AA476)-MIN(FIND({0;1;2;3;4;5;6;7;8;9},AA476&amp;"0123456789"))+1)),"")</f>
        <v/>
      </c>
    </row>
    <row r="477" spans="28:28" x14ac:dyDescent="0.2">
      <c r="AB477" s="660" t="str">
        <f>IFERROR(VALUE(RIGHT(AA477,LEN(AA477)-MIN(FIND({0;1;2;3;4;5;6;7;8;9},AA477&amp;"0123456789"))+1)),"")</f>
        <v/>
      </c>
    </row>
    <row r="478" spans="28:28" x14ac:dyDescent="0.2">
      <c r="AB478" s="660" t="str">
        <f>IFERROR(VALUE(RIGHT(AA478,LEN(AA478)-MIN(FIND({0;1;2;3;4;5;6;7;8;9},AA478&amp;"0123456789"))+1)),"")</f>
        <v/>
      </c>
    </row>
    <row r="479" spans="28:28" x14ac:dyDescent="0.2">
      <c r="AB479" s="660" t="str">
        <f>IFERROR(VALUE(RIGHT(AA479,LEN(AA479)-MIN(FIND({0;1;2;3;4;5;6;7;8;9},AA479&amp;"0123456789"))+1)),"")</f>
        <v/>
      </c>
    </row>
    <row r="480" spans="28:28" x14ac:dyDescent="0.2">
      <c r="AB480" s="660" t="str">
        <f>IFERROR(VALUE(RIGHT(AA480,LEN(AA480)-MIN(FIND({0;1;2;3;4;5;6;7;8;9},AA480&amp;"0123456789"))+1)),"")</f>
        <v/>
      </c>
    </row>
    <row r="481" spans="28:28" x14ac:dyDescent="0.2">
      <c r="AB481" s="660" t="str">
        <f>IFERROR(VALUE(RIGHT(AA481,LEN(AA481)-MIN(FIND({0;1;2;3;4;5;6;7;8;9},AA481&amp;"0123456789"))+1)),"")</f>
        <v/>
      </c>
    </row>
    <row r="482" spans="28:28" x14ac:dyDescent="0.2">
      <c r="AB482" s="660" t="str">
        <f>IFERROR(VALUE(RIGHT(AA482,LEN(AA482)-MIN(FIND({0;1;2;3;4;5;6;7;8;9},AA482&amp;"0123456789"))+1)),"")</f>
        <v/>
      </c>
    </row>
    <row r="483" spans="28:28" x14ac:dyDescent="0.2">
      <c r="AB483" s="660" t="str">
        <f>IFERROR(VALUE(RIGHT(AA483,LEN(AA483)-MIN(FIND({0;1;2;3;4;5;6;7;8;9},AA483&amp;"0123456789"))+1)),"")</f>
        <v/>
      </c>
    </row>
    <row r="484" spans="28:28" x14ac:dyDescent="0.2">
      <c r="AB484" s="660" t="str">
        <f>IFERROR(VALUE(RIGHT(AA484,LEN(AA484)-MIN(FIND({0;1;2;3;4;5;6;7;8;9},AA484&amp;"0123456789"))+1)),"")</f>
        <v/>
      </c>
    </row>
    <row r="485" spans="28:28" x14ac:dyDescent="0.2">
      <c r="AB485" s="660" t="str">
        <f>IFERROR(VALUE(RIGHT(AA485,LEN(AA485)-MIN(FIND({0;1;2;3;4;5;6;7;8;9},AA485&amp;"0123456789"))+1)),"")</f>
        <v/>
      </c>
    </row>
    <row r="486" spans="28:28" x14ac:dyDescent="0.2">
      <c r="AB486" s="660" t="str">
        <f>IFERROR(VALUE(RIGHT(AA486,LEN(AA486)-MIN(FIND({0;1;2;3;4;5;6;7;8;9},AA486&amp;"0123456789"))+1)),"")</f>
        <v/>
      </c>
    </row>
    <row r="487" spans="28:28" x14ac:dyDescent="0.2">
      <c r="AB487" s="660" t="str">
        <f>IFERROR(VALUE(RIGHT(AA487,LEN(AA487)-MIN(FIND({0;1;2;3;4;5;6;7;8;9},AA487&amp;"0123456789"))+1)),"")</f>
        <v/>
      </c>
    </row>
    <row r="488" spans="28:28" x14ac:dyDescent="0.2">
      <c r="AB488" s="660" t="str">
        <f>IFERROR(VALUE(RIGHT(AA488,LEN(AA488)-MIN(FIND({0;1;2;3;4;5;6;7;8;9},AA488&amp;"0123456789"))+1)),"")</f>
        <v/>
      </c>
    </row>
    <row r="489" spans="28:28" x14ac:dyDescent="0.2">
      <c r="AB489" s="660" t="str">
        <f>IFERROR(VALUE(RIGHT(AA489,LEN(AA489)-MIN(FIND({0;1;2;3;4;5;6;7;8;9},AA489&amp;"0123456789"))+1)),"")</f>
        <v/>
      </c>
    </row>
    <row r="490" spans="28:28" x14ac:dyDescent="0.2">
      <c r="AB490" s="660" t="str">
        <f>IFERROR(VALUE(RIGHT(AA490,LEN(AA490)-MIN(FIND({0;1;2;3;4;5;6;7;8;9},AA490&amp;"0123456789"))+1)),"")</f>
        <v/>
      </c>
    </row>
    <row r="491" spans="28:28" x14ac:dyDescent="0.2">
      <c r="AB491" s="660" t="str">
        <f>IFERROR(VALUE(RIGHT(AA491,LEN(AA491)-MIN(FIND({0;1;2;3;4;5;6;7;8;9},AA491&amp;"0123456789"))+1)),"")</f>
        <v/>
      </c>
    </row>
    <row r="492" spans="28:28" x14ac:dyDescent="0.2">
      <c r="AB492" s="660" t="str">
        <f>IFERROR(VALUE(RIGHT(AA492,LEN(AA492)-MIN(FIND({0;1;2;3;4;5;6;7;8;9},AA492&amp;"0123456789"))+1)),"")</f>
        <v/>
      </c>
    </row>
    <row r="493" spans="28:28" x14ac:dyDescent="0.2">
      <c r="AB493" s="660" t="str">
        <f>IFERROR(VALUE(RIGHT(AA493,LEN(AA493)-MIN(FIND({0;1;2;3;4;5;6;7;8;9},AA493&amp;"0123456789"))+1)),"")</f>
        <v/>
      </c>
    </row>
    <row r="494" spans="28:28" x14ac:dyDescent="0.2">
      <c r="AB494" s="660" t="str">
        <f>IFERROR(VALUE(RIGHT(AA494,LEN(AA494)-MIN(FIND({0;1;2;3;4;5;6;7;8;9},AA494&amp;"0123456789"))+1)),"")</f>
        <v/>
      </c>
    </row>
    <row r="495" spans="28:28" x14ac:dyDescent="0.2">
      <c r="AB495" s="660" t="str">
        <f>IFERROR(VALUE(RIGHT(AA495,LEN(AA495)-MIN(FIND({0;1;2;3;4;5;6;7;8;9},AA495&amp;"0123456789"))+1)),"")</f>
        <v/>
      </c>
    </row>
    <row r="496" spans="28:28" x14ac:dyDescent="0.2">
      <c r="AB496" s="660" t="str">
        <f>IFERROR(VALUE(RIGHT(AA496,LEN(AA496)-MIN(FIND({0;1;2;3;4;5;6;7;8;9},AA496&amp;"0123456789"))+1)),"")</f>
        <v/>
      </c>
    </row>
    <row r="497" spans="28:28" x14ac:dyDescent="0.2">
      <c r="AB497" s="660" t="str">
        <f>IFERROR(VALUE(RIGHT(AA497,LEN(AA497)-MIN(FIND({0;1;2;3;4;5;6;7;8;9},AA497&amp;"0123456789"))+1)),"")</f>
        <v/>
      </c>
    </row>
    <row r="498" spans="28:28" x14ac:dyDescent="0.2">
      <c r="AB498" s="660" t="str">
        <f>IFERROR(VALUE(RIGHT(AA498,LEN(AA498)-MIN(FIND({0;1;2;3;4;5;6;7;8;9},AA498&amp;"0123456789"))+1)),"")</f>
        <v/>
      </c>
    </row>
    <row r="499" spans="28:28" x14ac:dyDescent="0.2">
      <c r="AB499" s="660" t="str">
        <f>IFERROR(VALUE(RIGHT(AA499,LEN(AA499)-MIN(FIND({0;1;2;3;4;5;6;7;8;9},AA499&amp;"0123456789"))+1)),"")</f>
        <v/>
      </c>
    </row>
    <row r="500" spans="28:28" x14ac:dyDescent="0.2">
      <c r="AB500" s="660" t="str">
        <f>IFERROR(VALUE(RIGHT(AA500,LEN(AA500)-MIN(FIND({0;1;2;3;4;5;6;7;8;9},AA500&amp;"0123456789"))+1)),"")</f>
        <v/>
      </c>
    </row>
    <row r="501" spans="28:28" x14ac:dyDescent="0.2">
      <c r="AB501" s="660" t="str">
        <f>IFERROR(VALUE(RIGHT(AA501,LEN(AA501)-MIN(FIND({0;1;2;3;4;5;6;7;8;9},AA501&amp;"0123456789"))+1)),"")</f>
        <v/>
      </c>
    </row>
    <row r="502" spans="28:28" x14ac:dyDescent="0.2">
      <c r="AB502" s="660" t="str">
        <f>IFERROR(VALUE(RIGHT(AA502,LEN(AA502)-MIN(FIND({0;1;2;3;4;5;6;7;8;9},AA502&amp;"0123456789"))+1)),"")</f>
        <v/>
      </c>
    </row>
    <row r="503" spans="28:28" x14ac:dyDescent="0.2">
      <c r="AB503" s="660" t="str">
        <f>IFERROR(VALUE(RIGHT(AA503,LEN(AA503)-MIN(FIND({0;1;2;3;4;5;6;7;8;9},AA503&amp;"0123456789"))+1)),"")</f>
        <v/>
      </c>
    </row>
    <row r="504" spans="28:28" x14ac:dyDescent="0.2">
      <c r="AB504" s="660" t="str">
        <f>IFERROR(VALUE(RIGHT(AA504,LEN(AA504)-MIN(FIND({0;1;2;3;4;5;6;7;8;9},AA504&amp;"0123456789"))+1)),"")</f>
        <v/>
      </c>
    </row>
    <row r="505" spans="28:28" x14ac:dyDescent="0.2">
      <c r="AB505" s="660" t="str">
        <f>IFERROR(VALUE(RIGHT(AA505,LEN(AA505)-MIN(FIND({0;1;2;3;4;5;6;7;8;9},AA505&amp;"0123456789"))+1)),"")</f>
        <v/>
      </c>
    </row>
    <row r="506" spans="28:28" x14ac:dyDescent="0.2">
      <c r="AB506" s="660" t="str">
        <f>IFERROR(VALUE(RIGHT(AA506,LEN(AA506)-MIN(FIND({0;1;2;3;4;5;6;7;8;9},AA506&amp;"0123456789"))+1)),"")</f>
        <v/>
      </c>
    </row>
    <row r="507" spans="28:28" x14ac:dyDescent="0.2">
      <c r="AB507" s="660" t="str">
        <f>IFERROR(VALUE(RIGHT(AA507,LEN(AA507)-MIN(FIND({0;1;2;3;4;5;6;7;8;9},AA507&amp;"0123456789"))+1)),"")</f>
        <v/>
      </c>
    </row>
    <row r="508" spans="28:28" x14ac:dyDescent="0.2">
      <c r="AB508" s="660" t="str">
        <f>IFERROR(VALUE(RIGHT(AA508,LEN(AA508)-MIN(FIND({0;1;2;3;4;5;6;7;8;9},AA508&amp;"0123456789"))+1)),"")</f>
        <v/>
      </c>
    </row>
    <row r="509" spans="28:28" x14ac:dyDescent="0.2">
      <c r="AB509" s="660" t="str">
        <f>IFERROR(VALUE(RIGHT(AA509,LEN(AA509)-MIN(FIND({0;1;2;3;4;5;6;7;8;9},AA509&amp;"0123456789"))+1)),"")</f>
        <v/>
      </c>
    </row>
    <row r="510" spans="28:28" x14ac:dyDescent="0.2">
      <c r="AB510" s="660" t="str">
        <f>IFERROR(VALUE(RIGHT(AA510,LEN(AA510)-MIN(FIND({0;1;2;3;4;5;6;7;8;9},AA510&amp;"0123456789"))+1)),"")</f>
        <v/>
      </c>
    </row>
    <row r="511" spans="28:28" x14ac:dyDescent="0.2">
      <c r="AB511" s="660" t="str">
        <f>IFERROR(VALUE(RIGHT(AA511,LEN(AA511)-MIN(FIND({0;1;2;3;4;5;6;7;8;9},AA511&amp;"0123456789"))+1)),"")</f>
        <v/>
      </c>
    </row>
    <row r="512" spans="28:28" x14ac:dyDescent="0.2">
      <c r="AB512" s="660" t="str">
        <f>IFERROR(VALUE(RIGHT(AA512,LEN(AA512)-MIN(FIND({0;1;2;3;4;5;6;7;8;9},AA512&amp;"0123456789"))+1)),"")</f>
        <v/>
      </c>
    </row>
    <row r="513" spans="28:28" x14ac:dyDescent="0.2">
      <c r="AB513" s="660" t="str">
        <f>IFERROR(VALUE(RIGHT(AA513,LEN(AA513)-MIN(FIND({0;1;2;3;4;5;6;7;8;9},AA513&amp;"0123456789"))+1)),"")</f>
        <v/>
      </c>
    </row>
    <row r="514" spans="28:28" x14ac:dyDescent="0.2">
      <c r="AB514" s="660" t="str">
        <f>IFERROR(VALUE(RIGHT(AA514,LEN(AA514)-MIN(FIND({0;1;2;3;4;5;6;7;8;9},AA514&amp;"0123456789"))+1)),"")</f>
        <v/>
      </c>
    </row>
    <row r="515" spans="28:28" x14ac:dyDescent="0.2">
      <c r="AB515" s="660" t="str">
        <f>IFERROR(VALUE(RIGHT(AA515,LEN(AA515)-MIN(FIND({0;1;2;3;4;5;6;7;8;9},AA515&amp;"0123456789"))+1)),"")</f>
        <v/>
      </c>
    </row>
    <row r="516" spans="28:28" x14ac:dyDescent="0.2">
      <c r="AB516" s="660" t="str">
        <f>IFERROR(VALUE(RIGHT(AA516,LEN(AA516)-MIN(FIND({0;1;2;3;4;5;6;7;8;9},AA516&amp;"0123456789"))+1)),"")</f>
        <v/>
      </c>
    </row>
    <row r="517" spans="28:28" x14ac:dyDescent="0.2">
      <c r="AB517" s="660" t="str">
        <f>IFERROR(VALUE(RIGHT(AA517,LEN(AA517)-MIN(FIND({0;1;2;3;4;5;6;7;8;9},AA517&amp;"0123456789"))+1)),"")</f>
        <v/>
      </c>
    </row>
    <row r="518" spans="28:28" x14ac:dyDescent="0.2">
      <c r="AB518" s="660" t="str">
        <f>IFERROR(VALUE(RIGHT(AA518,LEN(AA518)-MIN(FIND({0;1;2;3;4;5;6;7;8;9},AA518&amp;"0123456789"))+1)),"")</f>
        <v/>
      </c>
    </row>
    <row r="519" spans="28:28" x14ac:dyDescent="0.2">
      <c r="AB519" s="660" t="str">
        <f>IFERROR(VALUE(RIGHT(AA519,LEN(AA519)-MIN(FIND({0;1;2;3;4;5;6;7;8;9},AA519&amp;"0123456789"))+1)),"")</f>
        <v/>
      </c>
    </row>
    <row r="520" spans="28:28" x14ac:dyDescent="0.2">
      <c r="AB520" s="660" t="str">
        <f>IFERROR(VALUE(RIGHT(AA520,LEN(AA520)-MIN(FIND({0;1;2;3;4;5;6;7;8;9},AA520&amp;"0123456789"))+1)),"")</f>
        <v/>
      </c>
    </row>
    <row r="521" spans="28:28" x14ac:dyDescent="0.2">
      <c r="AB521" s="660" t="str">
        <f>IFERROR(VALUE(RIGHT(AA521,LEN(AA521)-MIN(FIND({0;1;2;3;4;5;6;7;8;9},AA521&amp;"0123456789"))+1)),"")</f>
        <v/>
      </c>
    </row>
    <row r="522" spans="28:28" x14ac:dyDescent="0.2">
      <c r="AB522" s="660" t="str">
        <f>IFERROR(VALUE(RIGHT(AA522,LEN(AA522)-MIN(FIND({0;1;2;3;4;5;6;7;8;9},AA522&amp;"0123456789"))+1)),"")</f>
        <v/>
      </c>
    </row>
    <row r="523" spans="28:28" x14ac:dyDescent="0.2">
      <c r="AB523" s="660" t="str">
        <f>IFERROR(VALUE(RIGHT(AA523,LEN(AA523)-MIN(FIND({0;1;2;3;4;5;6;7;8;9},AA523&amp;"0123456789"))+1)),"")</f>
        <v/>
      </c>
    </row>
    <row r="524" spans="28:28" x14ac:dyDescent="0.2">
      <c r="AB524" s="660" t="str">
        <f>IFERROR(VALUE(RIGHT(AA524,LEN(AA524)-MIN(FIND({0;1;2;3;4;5;6;7;8;9},AA524&amp;"0123456789"))+1)),"")</f>
        <v/>
      </c>
    </row>
    <row r="525" spans="28:28" x14ac:dyDescent="0.2">
      <c r="AB525" s="660" t="str">
        <f>IFERROR(VALUE(RIGHT(AA525,LEN(AA525)-MIN(FIND({0;1;2;3;4;5;6;7;8;9},AA525&amp;"0123456789"))+1)),"")</f>
        <v/>
      </c>
    </row>
    <row r="526" spans="28:28" x14ac:dyDescent="0.2">
      <c r="AB526" s="660" t="str">
        <f>IFERROR(VALUE(RIGHT(AA526,LEN(AA526)-MIN(FIND({0;1;2;3;4;5;6;7;8;9},AA526&amp;"0123456789"))+1)),"")</f>
        <v/>
      </c>
    </row>
    <row r="527" spans="28:28" x14ac:dyDescent="0.2">
      <c r="AB527" s="660" t="str">
        <f>IFERROR(VALUE(RIGHT(AA527,LEN(AA527)-MIN(FIND({0;1;2;3;4;5;6;7;8;9},AA527&amp;"0123456789"))+1)),"")</f>
        <v/>
      </c>
    </row>
    <row r="528" spans="28:28" x14ac:dyDescent="0.2">
      <c r="AB528" s="660" t="str">
        <f>IFERROR(VALUE(RIGHT(AA528,LEN(AA528)-MIN(FIND({0;1;2;3;4;5;6;7;8;9},AA528&amp;"0123456789"))+1)),"")</f>
        <v/>
      </c>
    </row>
    <row r="529" spans="28:28" x14ac:dyDescent="0.2">
      <c r="AB529" s="660" t="str">
        <f>IFERROR(VALUE(RIGHT(AA529,LEN(AA529)-MIN(FIND({0;1;2;3;4;5;6;7;8;9},AA529&amp;"0123456789"))+1)),"")</f>
        <v/>
      </c>
    </row>
    <row r="530" spans="28:28" x14ac:dyDescent="0.2">
      <c r="AB530" s="660" t="str">
        <f>IFERROR(VALUE(RIGHT(AA530,LEN(AA530)-MIN(FIND({0;1;2;3;4;5;6;7;8;9},AA530&amp;"0123456789"))+1)),"")</f>
        <v/>
      </c>
    </row>
    <row r="531" spans="28:28" x14ac:dyDescent="0.2">
      <c r="AB531" s="660" t="str">
        <f>IFERROR(VALUE(RIGHT(AA531,LEN(AA531)-MIN(FIND({0;1;2;3;4;5;6;7;8;9},AA531&amp;"0123456789"))+1)),"")</f>
        <v/>
      </c>
    </row>
    <row r="532" spans="28:28" x14ac:dyDescent="0.2">
      <c r="AB532" s="660" t="str">
        <f>IFERROR(VALUE(RIGHT(AA532,LEN(AA532)-MIN(FIND({0;1;2;3;4;5;6;7;8;9},AA532&amp;"0123456789"))+1)),"")</f>
        <v/>
      </c>
    </row>
    <row r="533" spans="28:28" x14ac:dyDescent="0.2">
      <c r="AB533" s="660" t="str">
        <f>IFERROR(VALUE(RIGHT(AA533,LEN(AA533)-MIN(FIND({0;1;2;3;4;5;6;7;8;9},AA533&amp;"0123456789"))+1)),"")</f>
        <v/>
      </c>
    </row>
    <row r="534" spans="28:28" x14ac:dyDescent="0.2">
      <c r="AB534" s="660" t="str">
        <f>IFERROR(VALUE(RIGHT(AA534,LEN(AA534)-MIN(FIND({0;1;2;3;4;5;6;7;8;9},AA534&amp;"0123456789"))+1)),"")</f>
        <v/>
      </c>
    </row>
    <row r="535" spans="28:28" x14ac:dyDescent="0.2">
      <c r="AB535" s="660" t="str">
        <f>IFERROR(VALUE(RIGHT(AA535,LEN(AA535)-MIN(FIND({0;1;2;3;4;5;6;7;8;9},AA535&amp;"0123456789"))+1)),"")</f>
        <v/>
      </c>
    </row>
    <row r="536" spans="28:28" x14ac:dyDescent="0.2">
      <c r="AB536" s="660" t="str">
        <f>IFERROR(VALUE(RIGHT(AA536,LEN(AA536)-MIN(FIND({0;1;2;3;4;5;6;7;8;9},AA536&amp;"0123456789"))+1)),"")</f>
        <v/>
      </c>
    </row>
    <row r="537" spans="28:28" x14ac:dyDescent="0.2">
      <c r="AB537" s="660" t="str">
        <f>IFERROR(VALUE(RIGHT(AA537,LEN(AA537)-MIN(FIND({0;1;2;3;4;5;6;7;8;9},AA537&amp;"0123456789"))+1)),"")</f>
        <v/>
      </c>
    </row>
    <row r="538" spans="28:28" x14ac:dyDescent="0.2">
      <c r="AB538" s="660" t="str">
        <f>IFERROR(VALUE(RIGHT(AA538,LEN(AA538)-MIN(FIND({0;1;2;3;4;5;6;7;8;9},AA538&amp;"0123456789"))+1)),"")</f>
        <v/>
      </c>
    </row>
    <row r="539" spans="28:28" x14ac:dyDescent="0.2">
      <c r="AB539" s="660" t="str">
        <f>IFERROR(VALUE(RIGHT(AA539,LEN(AA539)-MIN(FIND({0;1;2;3;4;5;6;7;8;9},AA539&amp;"0123456789"))+1)),"")</f>
        <v/>
      </c>
    </row>
    <row r="540" spans="28:28" x14ac:dyDescent="0.2">
      <c r="AB540" s="660" t="str">
        <f>IFERROR(VALUE(RIGHT(AA540,LEN(AA540)-MIN(FIND({0;1;2;3;4;5;6;7;8;9},AA540&amp;"0123456789"))+1)),"")</f>
        <v/>
      </c>
    </row>
    <row r="541" spans="28:28" x14ac:dyDescent="0.2">
      <c r="AB541" s="660" t="str">
        <f>IFERROR(VALUE(RIGHT(AA541,LEN(AA541)-MIN(FIND({0;1;2;3;4;5;6;7;8;9},AA541&amp;"0123456789"))+1)),"")</f>
        <v/>
      </c>
    </row>
    <row r="542" spans="28:28" x14ac:dyDescent="0.2">
      <c r="AB542" s="660" t="str">
        <f>IFERROR(VALUE(RIGHT(AA542,LEN(AA542)-MIN(FIND({0;1;2;3;4;5;6;7;8;9},AA542&amp;"0123456789"))+1)),"")</f>
        <v/>
      </c>
    </row>
    <row r="543" spans="28:28" x14ac:dyDescent="0.2">
      <c r="AB543" s="660" t="str">
        <f>IFERROR(VALUE(RIGHT(AA543,LEN(AA543)-MIN(FIND({0;1;2;3;4;5;6;7;8;9},AA543&amp;"0123456789"))+1)),"")</f>
        <v/>
      </c>
    </row>
    <row r="544" spans="28:28" x14ac:dyDescent="0.2">
      <c r="AB544" s="660" t="str">
        <f>IFERROR(VALUE(RIGHT(AA544,LEN(AA544)-MIN(FIND({0;1;2;3;4;5;6;7;8;9},AA544&amp;"0123456789"))+1)),"")</f>
        <v/>
      </c>
    </row>
    <row r="545" spans="28:28" x14ac:dyDescent="0.2">
      <c r="AB545" s="660" t="str">
        <f>IFERROR(VALUE(RIGHT(AA545,LEN(AA545)-MIN(FIND({0;1;2;3;4;5;6;7;8;9},AA545&amp;"0123456789"))+1)),"")</f>
        <v/>
      </c>
    </row>
    <row r="546" spans="28:28" x14ac:dyDescent="0.2">
      <c r="AB546" s="660" t="str">
        <f>IFERROR(VALUE(RIGHT(AA546,LEN(AA546)-MIN(FIND({0;1;2;3;4;5;6;7;8;9},AA546&amp;"0123456789"))+1)),"")</f>
        <v/>
      </c>
    </row>
    <row r="547" spans="28:28" x14ac:dyDescent="0.2">
      <c r="AB547" s="660" t="str">
        <f>IFERROR(VALUE(RIGHT(AA547,LEN(AA547)-MIN(FIND({0;1;2;3;4;5;6;7;8;9},AA547&amp;"0123456789"))+1)),"")</f>
        <v/>
      </c>
    </row>
    <row r="548" spans="28:28" x14ac:dyDescent="0.2">
      <c r="AB548" s="660" t="str">
        <f>IFERROR(VALUE(RIGHT(AA548,LEN(AA548)-MIN(FIND({0;1;2;3;4;5;6;7;8;9},AA548&amp;"0123456789"))+1)),"")</f>
        <v/>
      </c>
    </row>
    <row r="549" spans="28:28" x14ac:dyDescent="0.2">
      <c r="AB549" s="660" t="str">
        <f>IFERROR(VALUE(RIGHT(AA549,LEN(AA549)-MIN(FIND({0;1;2;3;4;5;6;7;8;9},AA549&amp;"0123456789"))+1)),"")</f>
        <v/>
      </c>
    </row>
    <row r="550" spans="28:28" x14ac:dyDescent="0.2">
      <c r="AB550" s="660" t="str">
        <f>IFERROR(VALUE(RIGHT(AA550,LEN(AA550)-MIN(FIND({0;1;2;3;4;5;6;7;8;9},AA550&amp;"0123456789"))+1)),"")</f>
        <v/>
      </c>
    </row>
    <row r="551" spans="28:28" x14ac:dyDescent="0.2">
      <c r="AB551" s="660" t="str">
        <f>IFERROR(VALUE(RIGHT(AA551,LEN(AA551)-MIN(FIND({0;1;2;3;4;5;6;7;8;9},AA551&amp;"0123456789"))+1)),"")</f>
        <v/>
      </c>
    </row>
    <row r="552" spans="28:28" x14ac:dyDescent="0.2">
      <c r="AB552" s="660" t="str">
        <f>IFERROR(VALUE(RIGHT(AA552,LEN(AA552)-MIN(FIND({0;1;2;3;4;5;6;7;8;9},AA552&amp;"0123456789"))+1)),"")</f>
        <v/>
      </c>
    </row>
    <row r="553" spans="28:28" x14ac:dyDescent="0.2">
      <c r="AB553" s="660" t="str">
        <f>IFERROR(VALUE(RIGHT(AA553,LEN(AA553)-MIN(FIND({0;1;2;3;4;5;6;7;8;9},AA553&amp;"0123456789"))+1)),"")</f>
        <v/>
      </c>
    </row>
    <row r="554" spans="28:28" x14ac:dyDescent="0.2">
      <c r="AB554" s="660" t="str">
        <f>IFERROR(VALUE(RIGHT(AA554,LEN(AA554)-MIN(FIND({0;1;2;3;4;5;6;7;8;9},AA554&amp;"0123456789"))+1)),"")</f>
        <v/>
      </c>
    </row>
    <row r="555" spans="28:28" x14ac:dyDescent="0.2">
      <c r="AB555" s="660" t="str">
        <f>IFERROR(VALUE(RIGHT(AA555,LEN(AA555)-MIN(FIND({0;1;2;3;4;5;6;7;8;9},AA555&amp;"0123456789"))+1)),"")</f>
        <v/>
      </c>
    </row>
    <row r="556" spans="28:28" x14ac:dyDescent="0.2">
      <c r="AB556" s="660" t="str">
        <f>IFERROR(VALUE(RIGHT(AA556,LEN(AA556)-MIN(FIND({0;1;2;3;4;5;6;7;8;9},AA556&amp;"0123456789"))+1)),"")</f>
        <v/>
      </c>
    </row>
    <row r="557" spans="28:28" x14ac:dyDescent="0.2">
      <c r="AB557" s="660" t="str">
        <f>IFERROR(VALUE(RIGHT(AA557,LEN(AA557)-MIN(FIND({0;1;2;3;4;5;6;7;8;9},AA557&amp;"0123456789"))+1)),"")</f>
        <v/>
      </c>
    </row>
    <row r="558" spans="28:28" x14ac:dyDescent="0.2">
      <c r="AB558" s="660" t="str">
        <f>IFERROR(VALUE(RIGHT(AA558,LEN(AA558)-MIN(FIND({0;1;2;3;4;5;6;7;8;9},AA558&amp;"0123456789"))+1)),"")</f>
        <v/>
      </c>
    </row>
    <row r="559" spans="28:28" x14ac:dyDescent="0.2">
      <c r="AB559" s="660" t="str">
        <f>IFERROR(VALUE(RIGHT(AA559,LEN(AA559)-MIN(FIND({0;1;2;3;4;5;6;7;8;9},AA559&amp;"0123456789"))+1)),"")</f>
        <v/>
      </c>
    </row>
    <row r="560" spans="28:28" x14ac:dyDescent="0.2">
      <c r="AB560" s="660" t="str">
        <f>IFERROR(VALUE(RIGHT(AA560,LEN(AA560)-MIN(FIND({0;1;2;3;4;5;6;7;8;9},AA560&amp;"0123456789"))+1)),"")</f>
        <v/>
      </c>
    </row>
    <row r="561" spans="28:28" x14ac:dyDescent="0.2">
      <c r="AB561" s="660" t="str">
        <f>IFERROR(VALUE(RIGHT(AA561,LEN(AA561)-MIN(FIND({0;1;2;3;4;5;6;7;8;9},AA561&amp;"0123456789"))+1)),"")</f>
        <v/>
      </c>
    </row>
    <row r="562" spans="28:28" x14ac:dyDescent="0.2">
      <c r="AB562" s="660" t="str">
        <f>IFERROR(VALUE(RIGHT(AA562,LEN(AA562)-MIN(FIND({0;1;2;3;4;5;6;7;8;9},AA562&amp;"0123456789"))+1)),"")</f>
        <v/>
      </c>
    </row>
    <row r="563" spans="28:28" x14ac:dyDescent="0.2">
      <c r="AB563" s="660" t="str">
        <f>IFERROR(VALUE(RIGHT(AA563,LEN(AA563)-MIN(FIND({0;1;2;3;4;5;6;7;8;9},AA563&amp;"0123456789"))+1)),"")</f>
        <v/>
      </c>
    </row>
    <row r="564" spans="28:28" x14ac:dyDescent="0.2">
      <c r="AB564" s="660" t="str">
        <f>IFERROR(VALUE(RIGHT(AA564,LEN(AA564)-MIN(FIND({0;1;2;3;4;5;6;7;8;9},AA564&amp;"0123456789"))+1)),"")</f>
        <v/>
      </c>
    </row>
    <row r="565" spans="28:28" x14ac:dyDescent="0.2">
      <c r="AB565" s="660" t="str">
        <f>IFERROR(VALUE(RIGHT(AA565,LEN(AA565)-MIN(FIND({0;1;2;3;4;5;6;7;8;9},AA565&amp;"0123456789"))+1)),"")</f>
        <v/>
      </c>
    </row>
    <row r="566" spans="28:28" x14ac:dyDescent="0.2">
      <c r="AB566" s="660" t="str">
        <f>IFERROR(VALUE(RIGHT(AA566,LEN(AA566)-MIN(FIND({0;1;2;3;4;5;6;7;8;9},AA566&amp;"0123456789"))+1)),"")</f>
        <v/>
      </c>
    </row>
    <row r="567" spans="28:28" x14ac:dyDescent="0.2">
      <c r="AB567" s="660" t="str">
        <f>IFERROR(VALUE(RIGHT(AA567,LEN(AA567)-MIN(FIND({0;1;2;3;4;5;6;7;8;9},AA567&amp;"0123456789"))+1)),"")</f>
        <v/>
      </c>
    </row>
    <row r="568" spans="28:28" x14ac:dyDescent="0.2">
      <c r="AB568" s="660" t="str">
        <f>IFERROR(VALUE(RIGHT(AA568,LEN(AA568)-MIN(FIND({0;1;2;3;4;5;6;7;8;9},AA568&amp;"0123456789"))+1)),"")</f>
        <v/>
      </c>
    </row>
    <row r="569" spans="28:28" x14ac:dyDescent="0.2">
      <c r="AB569" s="660" t="str">
        <f>IFERROR(VALUE(RIGHT(AA569,LEN(AA569)-MIN(FIND({0;1;2;3;4;5;6;7;8;9},AA569&amp;"0123456789"))+1)),"")</f>
        <v/>
      </c>
    </row>
    <row r="570" spans="28:28" x14ac:dyDescent="0.2">
      <c r="AB570" s="660" t="str">
        <f>IFERROR(VALUE(RIGHT(AA570,LEN(AA570)-MIN(FIND({0;1;2;3;4;5;6;7;8;9},AA570&amp;"0123456789"))+1)),"")</f>
        <v/>
      </c>
    </row>
    <row r="571" spans="28:28" x14ac:dyDescent="0.2">
      <c r="AB571" s="660" t="str">
        <f>IFERROR(VALUE(RIGHT(AA571,LEN(AA571)-MIN(FIND({0;1;2;3;4;5;6;7;8;9},AA571&amp;"0123456789"))+1)),"")</f>
        <v/>
      </c>
    </row>
    <row r="572" spans="28:28" x14ac:dyDescent="0.2">
      <c r="AB572" s="660" t="str">
        <f>IFERROR(VALUE(RIGHT(AA572,LEN(AA572)-MIN(FIND({0;1;2;3;4;5;6;7;8;9},AA572&amp;"0123456789"))+1)),"")</f>
        <v/>
      </c>
    </row>
    <row r="573" spans="28:28" x14ac:dyDescent="0.2">
      <c r="AB573" s="660" t="str">
        <f>IFERROR(VALUE(RIGHT(AA573,LEN(AA573)-MIN(FIND({0;1;2;3;4;5;6;7;8;9},AA573&amp;"0123456789"))+1)),"")</f>
        <v/>
      </c>
    </row>
    <row r="574" spans="28:28" x14ac:dyDescent="0.2">
      <c r="AB574" s="660" t="str">
        <f>IFERROR(VALUE(RIGHT(AA574,LEN(AA574)-MIN(FIND({0;1;2;3;4;5;6;7;8;9},AA574&amp;"0123456789"))+1)),"")</f>
        <v/>
      </c>
    </row>
    <row r="575" spans="28:28" x14ac:dyDescent="0.2">
      <c r="AB575" s="660" t="str">
        <f>IFERROR(VALUE(RIGHT(AA575,LEN(AA575)-MIN(FIND({0;1;2;3;4;5;6;7;8;9},AA575&amp;"0123456789"))+1)),"")</f>
        <v/>
      </c>
    </row>
    <row r="576" spans="28:28" x14ac:dyDescent="0.2">
      <c r="AB576" s="660" t="str">
        <f>IFERROR(VALUE(RIGHT(AA576,LEN(AA576)-MIN(FIND({0;1;2;3;4;5;6;7;8;9},AA576&amp;"0123456789"))+1)),"")</f>
        <v/>
      </c>
    </row>
    <row r="577" spans="28:28" x14ac:dyDescent="0.2">
      <c r="AB577" s="660" t="str">
        <f>IFERROR(VALUE(RIGHT(AA577,LEN(AA577)-MIN(FIND({0;1;2;3;4;5;6;7;8;9},AA577&amp;"0123456789"))+1)),"")</f>
        <v/>
      </c>
    </row>
    <row r="578" spans="28:28" x14ac:dyDescent="0.2">
      <c r="AB578" s="660" t="str">
        <f>IFERROR(VALUE(RIGHT(AA578,LEN(AA578)-MIN(FIND({0;1;2;3;4;5;6;7;8;9},AA578&amp;"0123456789"))+1)),"")</f>
        <v/>
      </c>
    </row>
    <row r="579" spans="28:28" x14ac:dyDescent="0.2">
      <c r="AB579" s="660" t="str">
        <f>IFERROR(VALUE(RIGHT(AA579,LEN(AA579)-MIN(FIND({0;1;2;3;4;5;6;7;8;9},AA579&amp;"0123456789"))+1)),"")</f>
        <v/>
      </c>
    </row>
    <row r="580" spans="28:28" x14ac:dyDescent="0.2">
      <c r="AB580" s="660" t="str">
        <f>IFERROR(VALUE(RIGHT(AA580,LEN(AA580)-MIN(FIND({0;1;2;3;4;5;6;7;8;9},AA580&amp;"0123456789"))+1)),"")</f>
        <v/>
      </c>
    </row>
    <row r="581" spans="28:28" x14ac:dyDescent="0.2">
      <c r="AB581" s="660" t="str">
        <f>IFERROR(VALUE(RIGHT(AA581,LEN(AA581)-MIN(FIND({0;1;2;3;4;5;6;7;8;9},AA581&amp;"0123456789"))+1)),"")</f>
        <v/>
      </c>
    </row>
    <row r="582" spans="28:28" x14ac:dyDescent="0.2">
      <c r="AB582" s="660" t="str">
        <f>IFERROR(VALUE(RIGHT(AA582,LEN(AA582)-MIN(FIND({0;1;2;3;4;5;6;7;8;9},AA582&amp;"0123456789"))+1)),"")</f>
        <v/>
      </c>
    </row>
    <row r="583" spans="28:28" x14ac:dyDescent="0.2">
      <c r="AB583" s="660" t="str">
        <f>IFERROR(VALUE(RIGHT(AA583,LEN(AA583)-MIN(FIND({0;1;2;3;4;5;6;7;8;9},AA583&amp;"0123456789"))+1)),"")</f>
        <v/>
      </c>
    </row>
    <row r="584" spans="28:28" x14ac:dyDescent="0.2">
      <c r="AB584" s="660" t="str">
        <f>IFERROR(VALUE(RIGHT(AA584,LEN(AA584)-MIN(FIND({0;1;2;3;4;5;6;7;8;9},AA584&amp;"0123456789"))+1)),"")</f>
        <v/>
      </c>
    </row>
    <row r="585" spans="28:28" x14ac:dyDescent="0.2">
      <c r="AB585" s="660" t="str">
        <f>IFERROR(VALUE(RIGHT(AA585,LEN(AA585)-MIN(FIND({0;1;2;3;4;5;6;7;8;9},AA585&amp;"0123456789"))+1)),"")</f>
        <v/>
      </c>
    </row>
    <row r="586" spans="28:28" x14ac:dyDescent="0.2">
      <c r="AB586" s="660" t="str">
        <f>IFERROR(VALUE(RIGHT(AA586,LEN(AA586)-MIN(FIND({0;1;2;3;4;5;6;7;8;9},AA586&amp;"0123456789"))+1)),"")</f>
        <v/>
      </c>
    </row>
    <row r="587" spans="28:28" x14ac:dyDescent="0.2">
      <c r="AB587" s="660" t="str">
        <f>IFERROR(VALUE(RIGHT(AA587,LEN(AA587)-MIN(FIND({0;1;2;3;4;5;6;7;8;9},AA587&amp;"0123456789"))+1)),"")</f>
        <v/>
      </c>
    </row>
    <row r="588" spans="28:28" x14ac:dyDescent="0.2">
      <c r="AB588" s="660" t="str">
        <f>IFERROR(VALUE(RIGHT(AA588,LEN(AA588)-MIN(FIND({0;1;2;3;4;5;6;7;8;9},AA588&amp;"0123456789"))+1)),"")</f>
        <v/>
      </c>
    </row>
    <row r="589" spans="28:28" x14ac:dyDescent="0.2">
      <c r="AB589" s="660" t="str">
        <f>IFERROR(VALUE(RIGHT(AA589,LEN(AA589)-MIN(FIND({0;1;2;3;4;5;6;7;8;9},AA589&amp;"0123456789"))+1)),"")</f>
        <v/>
      </c>
    </row>
    <row r="590" spans="28:28" x14ac:dyDescent="0.2">
      <c r="AB590" s="660" t="str">
        <f>IFERROR(VALUE(RIGHT(AA590,LEN(AA590)-MIN(FIND({0;1;2;3;4;5;6;7;8;9},AA590&amp;"0123456789"))+1)),"")</f>
        <v/>
      </c>
    </row>
    <row r="591" spans="28:28" x14ac:dyDescent="0.2">
      <c r="AB591" s="660" t="str">
        <f>IFERROR(VALUE(RIGHT(AA591,LEN(AA591)-MIN(FIND({0;1;2;3;4;5;6;7;8;9},AA591&amp;"0123456789"))+1)),"")</f>
        <v/>
      </c>
    </row>
    <row r="592" spans="28:28" x14ac:dyDescent="0.2">
      <c r="AB592" s="660" t="str">
        <f>IFERROR(VALUE(RIGHT(AA592,LEN(AA592)-MIN(FIND({0;1;2;3;4;5;6;7;8;9},AA592&amp;"0123456789"))+1)),"")</f>
        <v/>
      </c>
    </row>
    <row r="593" spans="28:28" x14ac:dyDescent="0.2">
      <c r="AB593" s="660" t="str">
        <f>IFERROR(VALUE(RIGHT(AA593,LEN(AA593)-MIN(FIND({0;1;2;3;4;5;6;7;8;9},AA593&amp;"0123456789"))+1)),"")</f>
        <v/>
      </c>
    </row>
    <row r="594" spans="28:28" x14ac:dyDescent="0.2">
      <c r="AB594" s="660" t="str">
        <f>IFERROR(VALUE(RIGHT(AA594,LEN(AA594)-MIN(FIND({0;1;2;3;4;5;6;7;8;9},AA594&amp;"0123456789"))+1)),"")</f>
        <v/>
      </c>
    </row>
    <row r="595" spans="28:28" x14ac:dyDescent="0.2">
      <c r="AB595" s="660" t="str">
        <f>IFERROR(VALUE(RIGHT(AA595,LEN(AA595)-MIN(FIND({0;1;2;3;4;5;6;7;8;9},AA595&amp;"0123456789"))+1)),"")</f>
        <v/>
      </c>
    </row>
    <row r="596" spans="28:28" x14ac:dyDescent="0.2">
      <c r="AB596" s="660" t="str">
        <f>IFERROR(VALUE(RIGHT(AA596,LEN(AA596)-MIN(FIND({0;1;2;3;4;5;6;7;8;9},AA596&amp;"0123456789"))+1)),"")</f>
        <v/>
      </c>
    </row>
    <row r="597" spans="28:28" x14ac:dyDescent="0.2">
      <c r="AB597" s="660" t="str">
        <f>IFERROR(VALUE(RIGHT(AA597,LEN(AA597)-MIN(FIND({0;1;2;3;4;5;6;7;8;9},AA597&amp;"0123456789"))+1)),"")</f>
        <v/>
      </c>
    </row>
    <row r="598" spans="28:28" x14ac:dyDescent="0.2">
      <c r="AB598" s="660" t="str">
        <f>IFERROR(VALUE(RIGHT(AA598,LEN(AA598)-MIN(FIND({0;1;2;3;4;5;6;7;8;9},AA598&amp;"0123456789"))+1)),"")</f>
        <v/>
      </c>
    </row>
    <row r="599" spans="28:28" x14ac:dyDescent="0.2">
      <c r="AB599" s="660" t="str">
        <f>IFERROR(VALUE(RIGHT(AA599,LEN(AA599)-MIN(FIND({0;1;2;3;4;5;6;7;8;9},AA599&amp;"0123456789"))+1)),"")</f>
        <v/>
      </c>
    </row>
    <row r="600" spans="28:28" x14ac:dyDescent="0.2">
      <c r="AB600" s="660" t="str">
        <f>IFERROR(VALUE(RIGHT(AA600,LEN(AA600)-MIN(FIND({0;1;2;3;4;5;6;7;8;9},AA600&amp;"0123456789"))+1)),"")</f>
        <v/>
      </c>
    </row>
    <row r="601" spans="28:28" x14ac:dyDescent="0.2">
      <c r="AB601" s="660" t="str">
        <f>IFERROR(VALUE(RIGHT(AA601,LEN(AA601)-MIN(FIND({0;1;2;3;4;5;6;7;8;9},AA601&amp;"0123456789"))+1)),"")</f>
        <v/>
      </c>
    </row>
    <row r="602" spans="28:28" x14ac:dyDescent="0.2">
      <c r="AB602" s="660" t="str">
        <f>IFERROR(VALUE(RIGHT(AA602,LEN(AA602)-MIN(FIND({0;1;2;3;4;5;6;7;8;9},AA602&amp;"0123456789"))+1)),"")</f>
        <v/>
      </c>
    </row>
    <row r="603" spans="28:28" x14ac:dyDescent="0.2">
      <c r="AB603" s="660" t="str">
        <f>IFERROR(VALUE(RIGHT(AA603,LEN(AA603)-MIN(FIND({0;1;2;3;4;5;6;7;8;9},AA603&amp;"0123456789"))+1)),"")</f>
        <v/>
      </c>
    </row>
    <row r="604" spans="28:28" x14ac:dyDescent="0.2">
      <c r="AB604" s="660" t="str">
        <f>IFERROR(VALUE(RIGHT(AA604,LEN(AA604)-MIN(FIND({0;1;2;3;4;5;6;7;8;9},AA604&amp;"0123456789"))+1)),"")</f>
        <v/>
      </c>
    </row>
    <row r="605" spans="28:28" x14ac:dyDescent="0.2">
      <c r="AB605" s="660" t="str">
        <f>IFERROR(VALUE(RIGHT(AA605,LEN(AA605)-MIN(FIND({0;1;2;3;4;5;6;7;8;9},AA605&amp;"0123456789"))+1)),"")</f>
        <v/>
      </c>
    </row>
    <row r="606" spans="28:28" x14ac:dyDescent="0.2">
      <c r="AB606" s="660" t="str">
        <f>IFERROR(VALUE(RIGHT(AA606,LEN(AA606)-MIN(FIND({0;1;2;3;4;5;6;7;8;9},AA606&amp;"0123456789"))+1)),"")</f>
        <v/>
      </c>
    </row>
    <row r="607" spans="28:28" x14ac:dyDescent="0.2">
      <c r="AB607" s="660" t="str">
        <f>IFERROR(VALUE(RIGHT(AA607,LEN(AA607)-MIN(FIND({0;1;2;3;4;5;6;7;8;9},AA607&amp;"0123456789"))+1)),"")</f>
        <v/>
      </c>
    </row>
    <row r="608" spans="28:28" x14ac:dyDescent="0.2">
      <c r="AB608" s="660" t="str">
        <f>IFERROR(VALUE(RIGHT(AA608,LEN(AA608)-MIN(FIND({0;1;2;3;4;5;6;7;8;9},AA608&amp;"0123456789"))+1)),"")</f>
        <v/>
      </c>
    </row>
    <row r="609" spans="28:28" x14ac:dyDescent="0.2">
      <c r="AB609" s="660" t="str">
        <f>IFERROR(VALUE(RIGHT(AA609,LEN(AA609)-MIN(FIND({0;1;2;3;4;5;6;7;8;9},AA609&amp;"0123456789"))+1)),"")</f>
        <v/>
      </c>
    </row>
    <row r="610" spans="28:28" x14ac:dyDescent="0.2">
      <c r="AB610" s="660" t="str">
        <f>IFERROR(VALUE(RIGHT(AA610,LEN(AA610)-MIN(FIND({0;1;2;3;4;5;6;7;8;9},AA610&amp;"0123456789"))+1)),"")</f>
        <v/>
      </c>
    </row>
    <row r="611" spans="28:28" x14ac:dyDescent="0.2">
      <c r="AB611" s="660" t="str">
        <f>IFERROR(VALUE(RIGHT(AA611,LEN(AA611)-MIN(FIND({0;1;2;3;4;5;6;7;8;9},AA611&amp;"0123456789"))+1)),"")</f>
        <v/>
      </c>
    </row>
    <row r="612" spans="28:28" x14ac:dyDescent="0.2">
      <c r="AB612" s="660" t="str">
        <f>IFERROR(VALUE(RIGHT(AA612,LEN(AA612)-MIN(FIND({0;1;2;3;4;5;6;7;8;9},AA612&amp;"0123456789"))+1)),"")</f>
        <v/>
      </c>
    </row>
    <row r="613" spans="28:28" x14ac:dyDescent="0.2">
      <c r="AB613" s="660" t="str">
        <f>IFERROR(VALUE(RIGHT(AA613,LEN(AA613)-MIN(FIND({0;1;2;3;4;5;6;7;8;9},AA613&amp;"0123456789"))+1)),"")</f>
        <v/>
      </c>
    </row>
    <row r="614" spans="28:28" x14ac:dyDescent="0.2">
      <c r="AB614" s="660" t="str">
        <f>IFERROR(VALUE(RIGHT(AA614,LEN(AA614)-MIN(FIND({0;1;2;3;4;5;6;7;8;9},AA614&amp;"0123456789"))+1)),"")</f>
        <v/>
      </c>
    </row>
    <row r="615" spans="28:28" x14ac:dyDescent="0.2">
      <c r="AB615" s="660" t="str">
        <f>IFERROR(VALUE(RIGHT(AA615,LEN(AA615)-MIN(FIND({0;1;2;3;4;5;6;7;8;9},AA615&amp;"0123456789"))+1)),"")</f>
        <v/>
      </c>
    </row>
    <row r="616" spans="28:28" x14ac:dyDescent="0.2">
      <c r="AB616" s="660" t="str">
        <f>IFERROR(VALUE(RIGHT(AA616,LEN(AA616)-MIN(FIND({0;1;2;3;4;5;6;7;8;9},AA616&amp;"0123456789"))+1)),"")</f>
        <v/>
      </c>
    </row>
    <row r="617" spans="28:28" x14ac:dyDescent="0.2">
      <c r="AB617" s="660" t="str">
        <f>IFERROR(VALUE(RIGHT(AA617,LEN(AA617)-MIN(FIND({0;1;2;3;4;5;6;7;8;9},AA617&amp;"0123456789"))+1)),"")</f>
        <v/>
      </c>
    </row>
    <row r="618" spans="28:28" x14ac:dyDescent="0.2">
      <c r="AB618" s="660" t="str">
        <f>IFERROR(VALUE(RIGHT(AA618,LEN(AA618)-MIN(FIND({0;1;2;3;4;5;6;7;8;9},AA618&amp;"0123456789"))+1)),"")</f>
        <v/>
      </c>
    </row>
    <row r="619" spans="28:28" x14ac:dyDescent="0.2">
      <c r="AB619" s="660" t="str">
        <f>IFERROR(VALUE(RIGHT(AA619,LEN(AA619)-MIN(FIND({0;1;2;3;4;5;6;7;8;9},AA619&amp;"0123456789"))+1)),"")</f>
        <v/>
      </c>
    </row>
    <row r="620" spans="28:28" x14ac:dyDescent="0.2">
      <c r="AB620" s="660" t="str">
        <f>IFERROR(VALUE(RIGHT(AA620,LEN(AA620)-MIN(FIND({0;1;2;3;4;5;6;7;8;9},AA620&amp;"0123456789"))+1)),"")</f>
        <v/>
      </c>
    </row>
    <row r="621" spans="28:28" x14ac:dyDescent="0.2">
      <c r="AB621" s="660" t="str">
        <f>IFERROR(VALUE(RIGHT(AA621,LEN(AA621)-MIN(FIND({0;1;2;3;4;5;6;7;8;9},AA621&amp;"0123456789"))+1)),"")</f>
        <v/>
      </c>
    </row>
    <row r="622" spans="28:28" x14ac:dyDescent="0.2">
      <c r="AB622" s="660" t="str">
        <f>IFERROR(VALUE(RIGHT(AA622,LEN(AA622)-MIN(FIND({0;1;2;3;4;5;6;7;8;9},AA622&amp;"0123456789"))+1)),"")</f>
        <v/>
      </c>
    </row>
    <row r="623" spans="28:28" x14ac:dyDescent="0.2">
      <c r="AB623" s="660" t="str">
        <f>IFERROR(VALUE(RIGHT(AA623,LEN(AA623)-MIN(FIND({0;1;2;3;4;5;6;7;8;9},AA623&amp;"0123456789"))+1)),"")</f>
        <v/>
      </c>
    </row>
    <row r="624" spans="28:28" x14ac:dyDescent="0.2">
      <c r="AB624" s="660" t="str">
        <f>IFERROR(VALUE(RIGHT(AA624,LEN(AA624)-MIN(FIND({0;1;2;3;4;5;6;7;8;9},AA624&amp;"0123456789"))+1)),"")</f>
        <v/>
      </c>
    </row>
    <row r="625" spans="28:28" x14ac:dyDescent="0.2">
      <c r="AB625" s="660" t="str">
        <f>IFERROR(VALUE(RIGHT(AA625,LEN(AA625)-MIN(FIND({0;1;2;3;4;5;6;7;8;9},AA625&amp;"0123456789"))+1)),"")</f>
        <v/>
      </c>
    </row>
    <row r="626" spans="28:28" x14ac:dyDescent="0.2">
      <c r="AB626" s="660" t="str">
        <f>IFERROR(VALUE(RIGHT(AA626,LEN(AA626)-MIN(FIND({0;1;2;3;4;5;6;7;8;9},AA626&amp;"0123456789"))+1)),"")</f>
        <v/>
      </c>
    </row>
    <row r="627" spans="28:28" x14ac:dyDescent="0.2">
      <c r="AB627" s="660" t="str">
        <f>IFERROR(VALUE(RIGHT(AA627,LEN(AA627)-MIN(FIND({0;1;2;3;4;5;6;7;8;9},AA627&amp;"0123456789"))+1)),"")</f>
        <v/>
      </c>
    </row>
    <row r="628" spans="28:28" x14ac:dyDescent="0.2">
      <c r="AB628" s="660" t="str">
        <f>IFERROR(VALUE(RIGHT(AA628,LEN(AA628)-MIN(FIND({0;1;2;3;4;5;6;7;8;9},AA628&amp;"0123456789"))+1)),"")</f>
        <v/>
      </c>
    </row>
    <row r="629" spans="28:28" x14ac:dyDescent="0.2">
      <c r="AB629" s="660" t="str">
        <f>IFERROR(VALUE(RIGHT(AA629,LEN(AA629)-MIN(FIND({0;1;2;3;4;5;6;7;8;9},AA629&amp;"0123456789"))+1)),"")</f>
        <v/>
      </c>
    </row>
    <row r="630" spans="28:28" x14ac:dyDescent="0.2">
      <c r="AB630" s="660" t="str">
        <f>IFERROR(VALUE(RIGHT(AA630,LEN(AA630)-MIN(FIND({0;1;2;3;4;5;6;7;8;9},AA630&amp;"0123456789"))+1)),"")</f>
        <v/>
      </c>
    </row>
    <row r="631" spans="28:28" x14ac:dyDescent="0.2">
      <c r="AB631" s="660" t="str">
        <f>IFERROR(VALUE(RIGHT(AA631,LEN(AA631)-MIN(FIND({0;1;2;3;4;5;6;7;8;9},AA631&amp;"0123456789"))+1)),"")</f>
        <v/>
      </c>
    </row>
    <row r="632" spans="28:28" x14ac:dyDescent="0.2">
      <c r="AB632" s="660" t="str">
        <f>IFERROR(VALUE(RIGHT(AA632,LEN(AA632)-MIN(FIND({0;1;2;3;4;5;6;7;8;9},AA632&amp;"0123456789"))+1)),"")</f>
        <v/>
      </c>
    </row>
    <row r="633" spans="28:28" x14ac:dyDescent="0.2">
      <c r="AB633" s="660" t="str">
        <f>IFERROR(VALUE(RIGHT(AA633,LEN(AA633)-MIN(FIND({0;1;2;3;4;5;6;7;8;9},AA633&amp;"0123456789"))+1)),"")</f>
        <v/>
      </c>
    </row>
    <row r="634" spans="28:28" x14ac:dyDescent="0.2">
      <c r="AB634" s="660" t="str">
        <f>IFERROR(VALUE(RIGHT(AA634,LEN(AA634)-MIN(FIND({0;1;2;3;4;5;6;7;8;9},AA634&amp;"0123456789"))+1)),"")</f>
        <v/>
      </c>
    </row>
    <row r="635" spans="28:28" x14ac:dyDescent="0.2">
      <c r="AB635" s="660" t="str">
        <f>IFERROR(VALUE(RIGHT(AA635,LEN(AA635)-MIN(FIND({0;1;2;3;4;5;6;7;8;9},AA635&amp;"0123456789"))+1)),"")</f>
        <v/>
      </c>
    </row>
    <row r="636" spans="28:28" x14ac:dyDescent="0.2">
      <c r="AB636" s="660" t="str">
        <f>IFERROR(VALUE(RIGHT(AA636,LEN(AA636)-MIN(FIND({0;1;2;3;4;5;6;7;8;9},AA636&amp;"0123456789"))+1)),"")</f>
        <v/>
      </c>
    </row>
    <row r="637" spans="28:28" x14ac:dyDescent="0.2">
      <c r="AB637" s="660" t="str">
        <f>IFERROR(VALUE(RIGHT(AA637,LEN(AA637)-MIN(FIND({0;1;2;3;4;5;6;7;8;9},AA637&amp;"0123456789"))+1)),"")</f>
        <v/>
      </c>
    </row>
    <row r="638" spans="28:28" x14ac:dyDescent="0.2">
      <c r="AB638" s="660" t="str">
        <f>IFERROR(VALUE(RIGHT(AA638,LEN(AA638)-MIN(FIND({0;1;2;3;4;5;6;7;8;9},AA638&amp;"0123456789"))+1)),"")</f>
        <v/>
      </c>
    </row>
    <row r="639" spans="28:28" x14ac:dyDescent="0.2">
      <c r="AB639" s="660" t="str">
        <f>IFERROR(VALUE(RIGHT(AA639,LEN(AA639)-MIN(FIND({0;1;2;3;4;5;6;7;8;9},AA639&amp;"0123456789"))+1)),"")</f>
        <v/>
      </c>
    </row>
    <row r="640" spans="28:28" x14ac:dyDescent="0.2">
      <c r="AB640" s="660" t="str">
        <f>IFERROR(VALUE(RIGHT(AA640,LEN(AA640)-MIN(FIND({0;1;2;3;4;5;6;7;8;9},AA640&amp;"0123456789"))+1)),"")</f>
        <v/>
      </c>
    </row>
    <row r="641" spans="28:28" x14ac:dyDescent="0.2">
      <c r="AB641" s="660" t="str">
        <f>IFERROR(VALUE(RIGHT(AA641,LEN(AA641)-MIN(FIND({0;1;2;3;4;5;6;7;8;9},AA641&amp;"0123456789"))+1)),"")</f>
        <v/>
      </c>
    </row>
    <row r="642" spans="28:28" x14ac:dyDescent="0.2">
      <c r="AB642" s="660" t="str">
        <f>IFERROR(VALUE(RIGHT(AA642,LEN(AA642)-MIN(FIND({0;1;2;3;4;5;6;7;8;9},AA642&amp;"0123456789"))+1)),"")</f>
        <v/>
      </c>
    </row>
    <row r="643" spans="28:28" x14ac:dyDescent="0.2">
      <c r="AB643" s="660" t="str">
        <f>IFERROR(VALUE(RIGHT(AA643,LEN(AA643)-MIN(FIND({0;1;2;3;4;5;6;7;8;9},AA643&amp;"0123456789"))+1)),"")</f>
        <v/>
      </c>
    </row>
    <row r="644" spans="28:28" x14ac:dyDescent="0.2">
      <c r="AB644" s="660" t="str">
        <f>IFERROR(VALUE(RIGHT(AA644,LEN(AA644)-MIN(FIND({0;1;2;3;4;5;6;7;8;9},AA644&amp;"0123456789"))+1)),"")</f>
        <v/>
      </c>
    </row>
    <row r="645" spans="28:28" x14ac:dyDescent="0.2">
      <c r="AB645" s="660" t="str">
        <f>IFERROR(VALUE(RIGHT(AA645,LEN(AA645)-MIN(FIND({0;1;2;3;4;5;6;7;8;9},AA645&amp;"0123456789"))+1)),"")</f>
        <v/>
      </c>
    </row>
    <row r="646" spans="28:28" x14ac:dyDescent="0.2">
      <c r="AB646" s="660" t="str">
        <f>IFERROR(VALUE(RIGHT(AA646,LEN(AA646)-MIN(FIND({0;1;2;3;4;5;6;7;8;9},AA646&amp;"0123456789"))+1)),"")</f>
        <v/>
      </c>
    </row>
    <row r="647" spans="28:28" x14ac:dyDescent="0.2">
      <c r="AB647" s="660" t="str">
        <f>IFERROR(VALUE(RIGHT(AA647,LEN(AA647)-MIN(FIND({0;1;2;3;4;5;6;7;8;9},AA647&amp;"0123456789"))+1)),"")</f>
        <v/>
      </c>
    </row>
    <row r="648" spans="28:28" x14ac:dyDescent="0.2">
      <c r="AB648" s="660" t="str">
        <f>IFERROR(VALUE(RIGHT(AA648,LEN(AA648)-MIN(FIND({0;1;2;3;4;5;6;7;8;9},AA648&amp;"0123456789"))+1)),"")</f>
        <v/>
      </c>
    </row>
    <row r="649" spans="28:28" x14ac:dyDescent="0.2">
      <c r="AB649" s="660" t="str">
        <f>IFERROR(VALUE(RIGHT(AA649,LEN(AA649)-MIN(FIND({0;1;2;3;4;5;6;7;8;9},AA649&amp;"0123456789"))+1)),"")</f>
        <v/>
      </c>
    </row>
    <row r="650" spans="28:28" x14ac:dyDescent="0.2">
      <c r="AB650" s="660" t="str">
        <f>IFERROR(VALUE(RIGHT(AA650,LEN(AA650)-MIN(FIND({0;1;2;3;4;5;6;7;8;9},AA650&amp;"0123456789"))+1)),"")</f>
        <v/>
      </c>
    </row>
    <row r="651" spans="28:28" x14ac:dyDescent="0.2">
      <c r="AB651" s="660" t="str">
        <f>IFERROR(VALUE(RIGHT(AA651,LEN(AA651)-MIN(FIND({0;1;2;3;4;5;6;7;8;9},AA651&amp;"0123456789"))+1)),"")</f>
        <v/>
      </c>
    </row>
    <row r="652" spans="28:28" x14ac:dyDescent="0.2">
      <c r="AB652" s="660" t="str">
        <f>IFERROR(VALUE(RIGHT(AA652,LEN(AA652)-MIN(FIND({0;1;2;3;4;5;6;7;8;9},AA652&amp;"0123456789"))+1)),"")</f>
        <v/>
      </c>
    </row>
    <row r="653" spans="28:28" x14ac:dyDescent="0.2">
      <c r="AB653" s="660" t="str">
        <f>IFERROR(VALUE(RIGHT(AA653,LEN(AA653)-MIN(FIND({0;1;2;3;4;5;6;7;8;9},AA653&amp;"0123456789"))+1)),"")</f>
        <v/>
      </c>
    </row>
    <row r="654" spans="28:28" x14ac:dyDescent="0.2">
      <c r="AB654" s="660" t="str">
        <f>IFERROR(VALUE(RIGHT(AA654,LEN(AA654)-MIN(FIND({0;1;2;3;4;5;6;7;8;9},AA654&amp;"0123456789"))+1)),"")</f>
        <v/>
      </c>
    </row>
    <row r="655" spans="28:28" x14ac:dyDescent="0.2">
      <c r="AB655" s="660" t="str">
        <f>IFERROR(VALUE(RIGHT(AA655,LEN(AA655)-MIN(FIND({0;1;2;3;4;5;6;7;8;9},AA655&amp;"0123456789"))+1)),"")</f>
        <v/>
      </c>
    </row>
    <row r="656" spans="28:28" x14ac:dyDescent="0.2">
      <c r="AB656" s="660" t="str">
        <f>IFERROR(VALUE(RIGHT(AA656,LEN(AA656)-MIN(FIND({0;1;2;3;4;5;6;7;8;9},AA656&amp;"0123456789"))+1)),"")</f>
        <v/>
      </c>
    </row>
    <row r="657" spans="28:28" x14ac:dyDescent="0.2">
      <c r="AB657" s="660" t="str">
        <f>IFERROR(VALUE(RIGHT(AA657,LEN(AA657)-MIN(FIND({0;1;2;3;4;5;6;7;8;9},AA657&amp;"0123456789"))+1)),"")</f>
        <v/>
      </c>
    </row>
    <row r="658" spans="28:28" x14ac:dyDescent="0.2">
      <c r="AB658" s="660" t="str">
        <f>IFERROR(VALUE(RIGHT(AA658,LEN(AA658)-MIN(FIND({0;1;2;3;4;5;6;7;8;9},AA658&amp;"0123456789"))+1)),"")</f>
        <v/>
      </c>
    </row>
    <row r="659" spans="28:28" x14ac:dyDescent="0.2">
      <c r="AB659" s="660" t="str">
        <f>IFERROR(VALUE(RIGHT(AA659,LEN(AA659)-MIN(FIND({0;1;2;3;4;5;6;7;8;9},AA659&amp;"0123456789"))+1)),"")</f>
        <v/>
      </c>
    </row>
    <row r="660" spans="28:28" x14ac:dyDescent="0.2">
      <c r="AB660" s="660" t="str">
        <f>IFERROR(VALUE(RIGHT(AA660,LEN(AA660)-MIN(FIND({0;1;2;3;4;5;6;7;8;9},AA660&amp;"0123456789"))+1)),"")</f>
        <v/>
      </c>
    </row>
    <row r="661" spans="28:28" x14ac:dyDescent="0.2">
      <c r="AB661" s="660" t="str">
        <f>IFERROR(VALUE(RIGHT(AA661,LEN(AA661)-MIN(FIND({0;1;2;3;4;5;6;7;8;9},AA661&amp;"0123456789"))+1)),"")</f>
        <v/>
      </c>
    </row>
    <row r="662" spans="28:28" x14ac:dyDescent="0.2">
      <c r="AB662" s="660" t="str">
        <f>IFERROR(VALUE(RIGHT(AA662,LEN(AA662)-MIN(FIND({0;1;2;3;4;5;6;7;8;9},AA662&amp;"0123456789"))+1)),"")</f>
        <v/>
      </c>
    </row>
    <row r="663" spans="28:28" x14ac:dyDescent="0.2">
      <c r="AB663" s="660" t="str">
        <f>IFERROR(VALUE(RIGHT(AA663,LEN(AA663)-MIN(FIND({0;1;2;3;4;5;6;7;8;9},AA663&amp;"0123456789"))+1)),"")</f>
        <v/>
      </c>
    </row>
    <row r="664" spans="28:28" x14ac:dyDescent="0.2">
      <c r="AB664" s="660" t="str">
        <f>IFERROR(VALUE(RIGHT(AA664,LEN(AA664)-MIN(FIND({0;1;2;3;4;5;6;7;8;9},AA664&amp;"0123456789"))+1)),"")</f>
        <v/>
      </c>
    </row>
    <row r="665" spans="28:28" x14ac:dyDescent="0.2">
      <c r="AB665" s="660" t="str">
        <f>IFERROR(VALUE(RIGHT(AA665,LEN(AA665)-MIN(FIND({0;1;2;3;4;5;6;7;8;9},AA665&amp;"0123456789"))+1)),"")</f>
        <v/>
      </c>
    </row>
    <row r="666" spans="28:28" x14ac:dyDescent="0.2">
      <c r="AB666" s="660" t="str">
        <f>IFERROR(VALUE(RIGHT(AA666,LEN(AA666)-MIN(FIND({0;1;2;3;4;5;6;7;8;9},AA666&amp;"0123456789"))+1)),"")</f>
        <v/>
      </c>
    </row>
    <row r="667" spans="28:28" x14ac:dyDescent="0.2">
      <c r="AB667" s="660" t="str">
        <f>IFERROR(VALUE(RIGHT(AA667,LEN(AA667)-MIN(FIND({0;1;2;3;4;5;6;7;8;9},AA667&amp;"0123456789"))+1)),"")</f>
        <v/>
      </c>
    </row>
    <row r="668" spans="28:28" x14ac:dyDescent="0.2">
      <c r="AB668" s="660" t="str">
        <f>IFERROR(VALUE(RIGHT(AA668,LEN(AA668)-MIN(FIND({0;1;2;3;4;5;6;7;8;9},AA668&amp;"0123456789"))+1)),"")</f>
        <v/>
      </c>
    </row>
    <row r="669" spans="28:28" x14ac:dyDescent="0.2">
      <c r="AB669" s="660" t="str">
        <f>IFERROR(VALUE(RIGHT(AA669,LEN(AA669)-MIN(FIND({0;1;2;3;4;5;6;7;8;9},AA669&amp;"0123456789"))+1)),"")</f>
        <v/>
      </c>
    </row>
    <row r="670" spans="28:28" x14ac:dyDescent="0.2">
      <c r="AB670" s="660" t="str">
        <f>IFERROR(VALUE(RIGHT(AA670,LEN(AA670)-MIN(FIND({0;1;2;3;4;5;6;7;8;9},AA670&amp;"0123456789"))+1)),"")</f>
        <v/>
      </c>
    </row>
    <row r="671" spans="28:28" x14ac:dyDescent="0.2">
      <c r="AB671" s="660" t="str">
        <f>IFERROR(VALUE(RIGHT(AA671,LEN(AA671)-MIN(FIND({0;1;2;3;4;5;6;7;8;9},AA671&amp;"0123456789"))+1)),"")</f>
        <v/>
      </c>
    </row>
    <row r="672" spans="28:28" x14ac:dyDescent="0.2">
      <c r="AB672" s="660" t="str">
        <f>IFERROR(VALUE(RIGHT(AA672,LEN(AA672)-MIN(FIND({0;1;2;3;4;5;6;7;8;9},AA672&amp;"0123456789"))+1)),"")</f>
        <v/>
      </c>
    </row>
    <row r="673" spans="28:28" x14ac:dyDescent="0.2">
      <c r="AB673" s="660" t="str">
        <f>IFERROR(VALUE(RIGHT(AA673,LEN(AA673)-MIN(FIND({0;1;2;3;4;5;6;7;8;9},AA673&amp;"0123456789"))+1)),"")</f>
        <v/>
      </c>
    </row>
    <row r="674" spans="28:28" x14ac:dyDescent="0.2">
      <c r="AB674" s="660" t="str">
        <f>IFERROR(VALUE(RIGHT(AA674,LEN(AA674)-MIN(FIND({0;1;2;3;4;5;6;7;8;9},AA674&amp;"0123456789"))+1)),"")</f>
        <v/>
      </c>
    </row>
    <row r="675" spans="28:28" x14ac:dyDescent="0.2">
      <c r="AB675" s="660" t="str">
        <f>IFERROR(VALUE(RIGHT(AA675,LEN(AA675)-MIN(FIND({0;1;2;3;4;5;6;7;8;9},AA675&amp;"0123456789"))+1)),"")</f>
        <v/>
      </c>
    </row>
    <row r="676" spans="28:28" x14ac:dyDescent="0.2">
      <c r="AB676" s="660" t="str">
        <f>IFERROR(VALUE(RIGHT(AA676,LEN(AA676)-MIN(FIND({0;1;2;3;4;5;6;7;8;9},AA676&amp;"0123456789"))+1)),"")</f>
        <v/>
      </c>
    </row>
    <row r="677" spans="28:28" x14ac:dyDescent="0.2">
      <c r="AB677" s="660" t="str">
        <f>IFERROR(VALUE(RIGHT(AA677,LEN(AA677)-MIN(FIND({0;1;2;3;4;5;6;7;8;9},AA677&amp;"0123456789"))+1)),"")</f>
        <v/>
      </c>
    </row>
    <row r="678" spans="28:28" x14ac:dyDescent="0.2">
      <c r="AB678" s="660" t="str">
        <f>IFERROR(VALUE(RIGHT(AA678,LEN(AA678)-MIN(FIND({0;1;2;3;4;5;6;7;8;9},AA678&amp;"0123456789"))+1)),"")</f>
        <v/>
      </c>
    </row>
    <row r="679" spans="28:28" x14ac:dyDescent="0.2">
      <c r="AB679" s="660" t="str">
        <f>IFERROR(VALUE(RIGHT(AA679,LEN(AA679)-MIN(FIND({0;1;2;3;4;5;6;7;8;9},AA679&amp;"0123456789"))+1)),"")</f>
        <v/>
      </c>
    </row>
    <row r="680" spans="28:28" x14ac:dyDescent="0.2">
      <c r="AB680" s="660" t="str">
        <f>IFERROR(VALUE(RIGHT(AA680,LEN(AA680)-MIN(FIND({0;1;2;3;4;5;6;7;8;9},AA680&amp;"0123456789"))+1)),"")</f>
        <v/>
      </c>
    </row>
    <row r="681" spans="28:28" x14ac:dyDescent="0.2">
      <c r="AB681" s="660" t="str">
        <f>IFERROR(VALUE(RIGHT(AA681,LEN(AA681)-MIN(FIND({0;1;2;3;4;5;6;7;8;9},AA681&amp;"0123456789"))+1)),"")</f>
        <v/>
      </c>
    </row>
    <row r="682" spans="28:28" x14ac:dyDescent="0.2">
      <c r="AB682" s="660" t="str">
        <f>IFERROR(VALUE(RIGHT(AA682,LEN(AA682)-MIN(FIND({0;1;2;3;4;5;6;7;8;9},AA682&amp;"0123456789"))+1)),"")</f>
        <v/>
      </c>
    </row>
    <row r="683" spans="28:28" x14ac:dyDescent="0.2">
      <c r="AB683" s="660" t="str">
        <f>IFERROR(VALUE(RIGHT(AA683,LEN(AA683)-MIN(FIND({0;1;2;3;4;5;6;7;8;9},AA683&amp;"0123456789"))+1)),"")</f>
        <v/>
      </c>
    </row>
    <row r="684" spans="28:28" x14ac:dyDescent="0.2">
      <c r="AB684" s="660" t="str">
        <f>IFERROR(VALUE(RIGHT(AA684,LEN(AA684)-MIN(FIND({0;1;2;3;4;5;6;7;8;9},AA684&amp;"0123456789"))+1)),"")</f>
        <v/>
      </c>
    </row>
    <row r="685" spans="28:28" x14ac:dyDescent="0.2">
      <c r="AB685" s="660" t="str">
        <f>IFERROR(VALUE(RIGHT(AA685,LEN(AA685)-MIN(FIND({0;1;2;3;4;5;6;7;8;9},AA685&amp;"0123456789"))+1)),"")</f>
        <v/>
      </c>
    </row>
    <row r="686" spans="28:28" x14ac:dyDescent="0.2">
      <c r="AB686" s="660" t="str">
        <f>IFERROR(VALUE(RIGHT(AA686,LEN(AA686)-MIN(FIND({0;1;2;3;4;5;6;7;8;9},AA686&amp;"0123456789"))+1)),"")</f>
        <v/>
      </c>
    </row>
    <row r="687" spans="28:28" x14ac:dyDescent="0.2">
      <c r="AB687" s="660" t="str">
        <f>IFERROR(VALUE(RIGHT(AA687,LEN(AA687)-MIN(FIND({0;1;2;3;4;5;6;7;8;9},AA687&amp;"0123456789"))+1)),"")</f>
        <v/>
      </c>
    </row>
    <row r="688" spans="28:28" x14ac:dyDescent="0.2">
      <c r="AB688" s="660" t="str">
        <f>IFERROR(VALUE(RIGHT(AA688,LEN(AA688)-MIN(FIND({0;1;2;3;4;5;6;7;8;9},AA688&amp;"0123456789"))+1)),"")</f>
        <v/>
      </c>
    </row>
    <row r="689" spans="28:28" x14ac:dyDescent="0.2">
      <c r="AB689" s="660" t="str">
        <f>IFERROR(VALUE(RIGHT(AA689,LEN(AA689)-MIN(FIND({0;1;2;3;4;5;6;7;8;9},AA689&amp;"0123456789"))+1)),"")</f>
        <v/>
      </c>
    </row>
    <row r="690" spans="28:28" x14ac:dyDescent="0.2">
      <c r="AB690" s="660" t="str">
        <f>IFERROR(VALUE(RIGHT(AA690,LEN(AA690)-MIN(FIND({0;1;2;3;4;5;6;7;8;9},AA690&amp;"0123456789"))+1)),"")</f>
        <v/>
      </c>
    </row>
    <row r="691" spans="28:28" x14ac:dyDescent="0.2">
      <c r="AB691" s="660" t="str">
        <f>IFERROR(VALUE(RIGHT(AA691,LEN(AA691)-MIN(FIND({0;1;2;3;4;5;6;7;8;9},AA691&amp;"0123456789"))+1)),"")</f>
        <v/>
      </c>
    </row>
    <row r="692" spans="28:28" x14ac:dyDescent="0.2">
      <c r="AB692" s="660" t="str">
        <f>IFERROR(VALUE(RIGHT(AA692,LEN(AA692)-MIN(FIND({0;1;2;3;4;5;6;7;8;9},AA692&amp;"0123456789"))+1)),"")</f>
        <v/>
      </c>
    </row>
    <row r="693" spans="28:28" x14ac:dyDescent="0.2">
      <c r="AB693" s="660" t="str">
        <f>IFERROR(VALUE(RIGHT(AA693,LEN(AA693)-MIN(FIND({0;1;2;3;4;5;6;7;8;9},AA693&amp;"0123456789"))+1)),"")</f>
        <v/>
      </c>
    </row>
    <row r="694" spans="28:28" x14ac:dyDescent="0.2">
      <c r="AB694" s="660" t="str">
        <f>IFERROR(VALUE(RIGHT(AA694,LEN(AA694)-MIN(FIND({0;1;2;3;4;5;6;7;8;9},AA694&amp;"0123456789"))+1)),"")</f>
        <v/>
      </c>
    </row>
    <row r="695" spans="28:28" x14ac:dyDescent="0.2">
      <c r="AB695" s="660" t="str">
        <f>IFERROR(VALUE(RIGHT(AA695,LEN(AA695)-MIN(FIND({0;1;2;3;4;5;6;7;8;9},AA695&amp;"0123456789"))+1)),"")</f>
        <v/>
      </c>
    </row>
    <row r="696" spans="28:28" x14ac:dyDescent="0.2">
      <c r="AB696" s="660" t="str">
        <f>IFERROR(VALUE(RIGHT(AA696,LEN(AA696)-MIN(FIND({0;1;2;3;4;5;6;7;8;9},AA696&amp;"0123456789"))+1)),"")</f>
        <v/>
      </c>
    </row>
    <row r="697" spans="28:28" x14ac:dyDescent="0.2">
      <c r="AB697" s="660" t="str">
        <f>IFERROR(VALUE(RIGHT(AA697,LEN(AA697)-MIN(FIND({0;1;2;3;4;5;6;7;8;9},AA697&amp;"0123456789"))+1)),"")</f>
        <v/>
      </c>
    </row>
    <row r="698" spans="28:28" x14ac:dyDescent="0.2">
      <c r="AB698" s="660" t="str">
        <f>IFERROR(VALUE(RIGHT(AA698,LEN(AA698)-MIN(FIND({0;1;2;3;4;5;6;7;8;9},AA698&amp;"0123456789"))+1)),"")</f>
        <v/>
      </c>
    </row>
    <row r="699" spans="28:28" x14ac:dyDescent="0.2">
      <c r="AB699" s="660" t="str">
        <f>IFERROR(VALUE(RIGHT(AA699,LEN(AA699)-MIN(FIND({0;1;2;3;4;5;6;7;8;9},AA699&amp;"0123456789"))+1)),"")</f>
        <v/>
      </c>
    </row>
    <row r="700" spans="28:28" x14ac:dyDescent="0.2">
      <c r="AB700" s="660" t="str">
        <f>IFERROR(VALUE(RIGHT(AA700,LEN(AA700)-MIN(FIND({0;1;2;3;4;5;6;7;8;9},AA700&amp;"0123456789"))+1)),"")</f>
        <v/>
      </c>
    </row>
    <row r="701" spans="28:28" x14ac:dyDescent="0.2">
      <c r="AB701" s="660" t="str">
        <f>IFERROR(VALUE(RIGHT(AA701,LEN(AA701)-MIN(FIND({0;1;2;3;4;5;6;7;8;9},AA701&amp;"0123456789"))+1)),"")</f>
        <v/>
      </c>
    </row>
    <row r="702" spans="28:28" x14ac:dyDescent="0.2">
      <c r="AB702" s="660" t="str">
        <f>IFERROR(VALUE(RIGHT(AA702,LEN(AA702)-MIN(FIND({0;1;2;3;4;5;6;7;8;9},AA702&amp;"0123456789"))+1)),"")</f>
        <v/>
      </c>
    </row>
    <row r="703" spans="28:28" x14ac:dyDescent="0.2">
      <c r="AB703" s="660" t="str">
        <f>IFERROR(VALUE(RIGHT(AA703,LEN(AA703)-MIN(FIND({0;1;2;3;4;5;6;7;8;9},AA703&amp;"0123456789"))+1)),"")</f>
        <v/>
      </c>
    </row>
    <row r="704" spans="28:28" x14ac:dyDescent="0.2">
      <c r="AB704" s="660" t="str">
        <f>IFERROR(VALUE(RIGHT(AA704,LEN(AA704)-MIN(FIND({0;1;2;3;4;5;6;7;8;9},AA704&amp;"0123456789"))+1)),"")</f>
        <v/>
      </c>
    </row>
    <row r="705" spans="28:28" x14ac:dyDescent="0.2">
      <c r="AB705" s="660" t="str">
        <f>IFERROR(VALUE(RIGHT(AA705,LEN(AA705)-MIN(FIND({0;1;2;3;4;5;6;7;8;9},AA705&amp;"0123456789"))+1)),"")</f>
        <v/>
      </c>
    </row>
    <row r="706" spans="28:28" x14ac:dyDescent="0.2">
      <c r="AB706" s="660" t="str">
        <f>IFERROR(VALUE(RIGHT(AA706,LEN(AA706)-MIN(FIND({0;1;2;3;4;5;6;7;8;9},AA706&amp;"0123456789"))+1)),"")</f>
        <v/>
      </c>
    </row>
    <row r="707" spans="28:28" x14ac:dyDescent="0.2">
      <c r="AB707" s="660" t="str">
        <f>IFERROR(VALUE(RIGHT(AA707,LEN(AA707)-MIN(FIND({0;1;2;3;4;5;6;7;8;9},AA707&amp;"0123456789"))+1)),"")</f>
        <v/>
      </c>
    </row>
    <row r="708" spans="28:28" x14ac:dyDescent="0.2">
      <c r="AB708" s="660" t="str">
        <f>IFERROR(VALUE(RIGHT(AA708,LEN(AA708)-MIN(FIND({0;1;2;3;4;5;6;7;8;9},AA708&amp;"0123456789"))+1)),"")</f>
        <v/>
      </c>
    </row>
    <row r="709" spans="28:28" x14ac:dyDescent="0.2">
      <c r="AB709" s="660" t="str">
        <f>IFERROR(VALUE(RIGHT(AA709,LEN(AA709)-MIN(FIND({0;1;2;3;4;5;6;7;8;9},AA709&amp;"0123456789"))+1)),"")</f>
        <v/>
      </c>
    </row>
    <row r="710" spans="28:28" x14ac:dyDescent="0.2">
      <c r="AB710" s="660" t="str">
        <f>IFERROR(VALUE(RIGHT(AA710,LEN(AA710)-MIN(FIND({0;1;2;3;4;5;6;7;8;9},AA710&amp;"0123456789"))+1)),"")</f>
        <v/>
      </c>
    </row>
    <row r="711" spans="28:28" x14ac:dyDescent="0.2">
      <c r="AB711" s="660" t="str">
        <f>IFERROR(VALUE(RIGHT(AA711,LEN(AA711)-MIN(FIND({0;1;2;3;4;5;6;7;8;9},AA711&amp;"0123456789"))+1)),"")</f>
        <v/>
      </c>
    </row>
    <row r="712" spans="28:28" x14ac:dyDescent="0.2">
      <c r="AB712" s="660" t="str">
        <f>IFERROR(VALUE(RIGHT(AA712,LEN(AA712)-MIN(FIND({0;1;2;3;4;5;6;7;8;9},AA712&amp;"0123456789"))+1)),"")</f>
        <v/>
      </c>
    </row>
    <row r="713" spans="28:28" x14ac:dyDescent="0.2">
      <c r="AB713" s="660" t="str">
        <f>IFERROR(VALUE(RIGHT(AA713,LEN(AA713)-MIN(FIND({0;1;2;3;4;5;6;7;8;9},AA713&amp;"0123456789"))+1)),"")</f>
        <v/>
      </c>
    </row>
    <row r="714" spans="28:28" x14ac:dyDescent="0.2">
      <c r="AB714" s="660" t="str">
        <f>IFERROR(VALUE(RIGHT(AA714,LEN(AA714)-MIN(FIND({0;1;2;3;4;5;6;7;8;9},AA714&amp;"0123456789"))+1)),"")</f>
        <v/>
      </c>
    </row>
    <row r="715" spans="28:28" x14ac:dyDescent="0.2">
      <c r="AB715" s="660" t="str">
        <f>IFERROR(VALUE(RIGHT(AA715,LEN(AA715)-MIN(FIND({0;1;2;3;4;5;6;7;8;9},AA715&amp;"0123456789"))+1)),"")</f>
        <v/>
      </c>
    </row>
    <row r="716" spans="28:28" x14ac:dyDescent="0.2">
      <c r="AB716" s="660" t="str">
        <f>IFERROR(VALUE(RIGHT(AA716,LEN(AA716)-MIN(FIND({0;1;2;3;4;5;6;7;8;9},AA716&amp;"0123456789"))+1)),"")</f>
        <v/>
      </c>
    </row>
    <row r="717" spans="28:28" x14ac:dyDescent="0.2">
      <c r="AB717" s="660" t="str">
        <f>IFERROR(VALUE(RIGHT(AA717,LEN(AA717)-MIN(FIND({0;1;2;3;4;5;6;7;8;9},AA717&amp;"0123456789"))+1)),"")</f>
        <v/>
      </c>
    </row>
    <row r="718" spans="28:28" x14ac:dyDescent="0.2">
      <c r="AB718" s="660" t="str">
        <f>IFERROR(VALUE(RIGHT(AA718,LEN(AA718)-MIN(FIND({0;1;2;3;4;5;6;7;8;9},AA718&amp;"0123456789"))+1)),"")</f>
        <v/>
      </c>
    </row>
    <row r="719" spans="28:28" x14ac:dyDescent="0.2">
      <c r="AB719" s="660" t="str">
        <f>IFERROR(VALUE(RIGHT(AA719,LEN(AA719)-MIN(FIND({0;1;2;3;4;5;6;7;8;9},AA719&amp;"0123456789"))+1)),"")</f>
        <v/>
      </c>
    </row>
    <row r="720" spans="28:28" x14ac:dyDescent="0.2">
      <c r="AB720" s="660" t="str">
        <f>IFERROR(VALUE(RIGHT(AA720,LEN(AA720)-MIN(FIND({0;1;2;3;4;5;6;7;8;9},AA720&amp;"0123456789"))+1)),"")</f>
        <v/>
      </c>
    </row>
    <row r="721" spans="28:28" x14ac:dyDescent="0.2">
      <c r="AB721" s="660" t="str">
        <f>IFERROR(VALUE(RIGHT(AA721,LEN(AA721)-MIN(FIND({0;1;2;3;4;5;6;7;8;9},AA721&amp;"0123456789"))+1)),"")</f>
        <v/>
      </c>
    </row>
    <row r="722" spans="28:28" x14ac:dyDescent="0.2">
      <c r="AB722" s="660" t="str">
        <f>IFERROR(VALUE(RIGHT(AA722,LEN(AA722)-MIN(FIND({0;1;2;3;4;5;6;7;8;9},AA722&amp;"0123456789"))+1)),"")</f>
        <v/>
      </c>
    </row>
    <row r="723" spans="28:28" x14ac:dyDescent="0.2">
      <c r="AB723" s="660" t="str">
        <f>IFERROR(VALUE(RIGHT(AA723,LEN(AA723)-MIN(FIND({0;1;2;3;4;5;6;7;8;9},AA723&amp;"0123456789"))+1)),"")</f>
        <v/>
      </c>
    </row>
    <row r="724" spans="28:28" x14ac:dyDescent="0.2">
      <c r="AB724" s="660" t="str">
        <f>IFERROR(VALUE(RIGHT(AA724,LEN(AA724)-MIN(FIND({0;1;2;3;4;5;6;7;8;9},AA724&amp;"0123456789"))+1)),"")</f>
        <v/>
      </c>
    </row>
    <row r="725" spans="28:28" x14ac:dyDescent="0.2">
      <c r="AB725" s="660" t="str">
        <f>IFERROR(VALUE(RIGHT(AA725,LEN(AA725)-MIN(FIND({0;1;2;3;4;5;6;7;8;9},AA725&amp;"0123456789"))+1)),"")</f>
        <v/>
      </c>
    </row>
    <row r="726" spans="28:28" x14ac:dyDescent="0.2">
      <c r="AB726" s="660" t="str">
        <f>IFERROR(VALUE(RIGHT(AA726,LEN(AA726)-MIN(FIND({0;1;2;3;4;5;6;7;8;9},AA726&amp;"0123456789"))+1)),"")</f>
        <v/>
      </c>
    </row>
    <row r="727" spans="28:28" x14ac:dyDescent="0.2">
      <c r="AB727" s="660" t="str">
        <f>IFERROR(VALUE(RIGHT(AA727,LEN(AA727)-MIN(FIND({0;1;2;3;4;5;6;7;8;9},AA727&amp;"0123456789"))+1)),"")</f>
        <v/>
      </c>
    </row>
    <row r="728" spans="28:28" x14ac:dyDescent="0.2">
      <c r="AB728" s="660" t="str">
        <f>IFERROR(VALUE(RIGHT(AA728,LEN(AA728)-MIN(FIND({0;1;2;3;4;5;6;7;8;9},AA728&amp;"0123456789"))+1)),"")</f>
        <v/>
      </c>
    </row>
    <row r="729" spans="28:28" x14ac:dyDescent="0.2">
      <c r="AB729" s="660" t="str">
        <f>IFERROR(VALUE(RIGHT(AA729,LEN(AA729)-MIN(FIND({0;1;2;3;4;5;6;7;8;9},AA729&amp;"0123456789"))+1)),"")</f>
        <v/>
      </c>
    </row>
    <row r="730" spans="28:28" x14ac:dyDescent="0.2">
      <c r="AB730" s="660" t="str">
        <f>IFERROR(VALUE(RIGHT(AA730,LEN(AA730)-MIN(FIND({0;1;2;3;4;5;6;7;8;9},AA730&amp;"0123456789"))+1)),"")</f>
        <v/>
      </c>
    </row>
    <row r="731" spans="28:28" x14ac:dyDescent="0.2">
      <c r="AB731" s="660" t="str">
        <f>IFERROR(VALUE(RIGHT(AA731,LEN(AA731)-MIN(FIND({0;1;2;3;4;5;6;7;8;9},AA731&amp;"0123456789"))+1)),"")</f>
        <v/>
      </c>
    </row>
    <row r="732" spans="28:28" x14ac:dyDescent="0.2">
      <c r="AB732" s="660" t="str">
        <f>IFERROR(VALUE(RIGHT(AA732,LEN(AA732)-MIN(FIND({0;1;2;3;4;5;6;7;8;9},AA732&amp;"0123456789"))+1)),"")</f>
        <v/>
      </c>
    </row>
    <row r="733" spans="28:28" x14ac:dyDescent="0.2">
      <c r="AB733" s="660" t="str">
        <f>IFERROR(VALUE(RIGHT(AA733,LEN(AA733)-MIN(FIND({0;1;2;3;4;5;6;7;8;9},AA733&amp;"0123456789"))+1)),"")</f>
        <v/>
      </c>
    </row>
    <row r="734" spans="28:28" x14ac:dyDescent="0.2">
      <c r="AB734" s="660" t="str">
        <f>IFERROR(VALUE(RIGHT(AA734,LEN(AA734)-MIN(FIND({0;1;2;3;4;5;6;7;8;9},AA734&amp;"0123456789"))+1)),"")</f>
        <v/>
      </c>
    </row>
    <row r="735" spans="28:28" x14ac:dyDescent="0.2">
      <c r="AB735" s="660" t="str">
        <f>IFERROR(VALUE(RIGHT(AA735,LEN(AA735)-MIN(FIND({0;1;2;3;4;5;6;7;8;9},AA735&amp;"0123456789"))+1)),"")</f>
        <v/>
      </c>
    </row>
    <row r="736" spans="28:28" x14ac:dyDescent="0.2">
      <c r="AB736" s="660" t="str">
        <f>IFERROR(VALUE(RIGHT(AA736,LEN(AA736)-MIN(FIND({0;1;2;3;4;5;6;7;8;9},AA736&amp;"0123456789"))+1)),"")</f>
        <v/>
      </c>
    </row>
    <row r="737" spans="28:28" x14ac:dyDescent="0.2">
      <c r="AB737" s="660" t="str">
        <f>IFERROR(VALUE(RIGHT(AA737,LEN(AA737)-MIN(FIND({0;1;2;3;4;5;6;7;8;9},AA737&amp;"0123456789"))+1)),"")</f>
        <v/>
      </c>
    </row>
    <row r="738" spans="28:28" x14ac:dyDescent="0.2">
      <c r="AB738" s="660" t="str">
        <f>IFERROR(VALUE(RIGHT(AA738,LEN(AA738)-MIN(FIND({0;1;2;3;4;5;6;7;8;9},AA738&amp;"0123456789"))+1)),"")</f>
        <v/>
      </c>
    </row>
    <row r="739" spans="28:28" x14ac:dyDescent="0.2">
      <c r="AB739" s="660" t="str">
        <f>IFERROR(VALUE(RIGHT(AA739,LEN(AA739)-MIN(FIND({0;1;2;3;4;5;6;7;8;9},AA739&amp;"0123456789"))+1)),"")</f>
        <v/>
      </c>
    </row>
    <row r="740" spans="28:28" x14ac:dyDescent="0.2">
      <c r="AB740" s="660" t="str">
        <f>IFERROR(VALUE(RIGHT(AA740,LEN(AA740)-MIN(FIND({0;1;2;3;4;5;6;7;8;9},AA740&amp;"0123456789"))+1)),"")</f>
        <v/>
      </c>
    </row>
    <row r="741" spans="28:28" x14ac:dyDescent="0.2">
      <c r="AB741" s="660" t="str">
        <f>IFERROR(VALUE(RIGHT(AA741,LEN(AA741)-MIN(FIND({0;1;2;3;4;5;6;7;8;9},AA741&amp;"0123456789"))+1)),"")</f>
        <v/>
      </c>
    </row>
    <row r="742" spans="28:28" x14ac:dyDescent="0.2">
      <c r="AB742" s="660" t="str">
        <f>IFERROR(VALUE(RIGHT(AA742,LEN(AA742)-MIN(FIND({0;1;2;3;4;5;6;7;8;9},AA742&amp;"0123456789"))+1)),"")</f>
        <v/>
      </c>
    </row>
    <row r="743" spans="28:28" x14ac:dyDescent="0.2">
      <c r="AB743" s="660" t="str">
        <f>IFERROR(VALUE(RIGHT(AA743,LEN(AA743)-MIN(FIND({0;1;2;3;4;5;6;7;8;9},AA743&amp;"0123456789"))+1)),"")</f>
        <v/>
      </c>
    </row>
    <row r="744" spans="28:28" x14ac:dyDescent="0.2">
      <c r="AB744" s="660" t="str">
        <f>IFERROR(VALUE(RIGHT(AA744,LEN(AA744)-MIN(FIND({0;1;2;3;4;5;6;7;8;9},AA744&amp;"0123456789"))+1)),"")</f>
        <v/>
      </c>
    </row>
    <row r="745" spans="28:28" x14ac:dyDescent="0.2">
      <c r="AB745" s="660" t="str">
        <f>IFERROR(VALUE(RIGHT(AA745,LEN(AA745)-MIN(FIND({0;1;2;3;4;5;6;7;8;9},AA745&amp;"0123456789"))+1)),"")</f>
        <v/>
      </c>
    </row>
    <row r="746" spans="28:28" x14ac:dyDescent="0.2">
      <c r="AB746" s="660" t="str">
        <f>IFERROR(VALUE(RIGHT(AA746,LEN(AA746)-MIN(FIND({0;1;2;3;4;5;6;7;8;9},AA746&amp;"0123456789"))+1)),"")</f>
        <v/>
      </c>
    </row>
    <row r="747" spans="28:28" x14ac:dyDescent="0.2">
      <c r="AB747" s="660" t="str">
        <f>IFERROR(VALUE(RIGHT(AA747,LEN(AA747)-MIN(FIND({0;1;2;3;4;5;6;7;8;9},AA747&amp;"0123456789"))+1)),"")</f>
        <v/>
      </c>
    </row>
    <row r="748" spans="28:28" x14ac:dyDescent="0.2">
      <c r="AB748" s="660" t="str">
        <f>IFERROR(VALUE(RIGHT(AA748,LEN(AA748)-MIN(FIND({0;1;2;3;4;5;6;7;8;9},AA748&amp;"0123456789"))+1)),"")</f>
        <v/>
      </c>
    </row>
    <row r="749" spans="28:28" x14ac:dyDescent="0.2">
      <c r="AB749" s="660" t="str">
        <f>IFERROR(VALUE(RIGHT(AA749,LEN(AA749)-MIN(FIND({0;1;2;3;4;5;6;7;8;9},AA749&amp;"0123456789"))+1)),"")</f>
        <v/>
      </c>
    </row>
    <row r="750" spans="28:28" x14ac:dyDescent="0.2">
      <c r="AB750" s="660" t="str">
        <f>IFERROR(VALUE(RIGHT(AA750,LEN(AA750)-MIN(FIND({0;1;2;3;4;5;6;7;8;9},AA750&amp;"0123456789"))+1)),"")</f>
        <v/>
      </c>
    </row>
    <row r="751" spans="28:28" x14ac:dyDescent="0.2">
      <c r="AB751" s="660" t="str">
        <f>IFERROR(VALUE(RIGHT(AA751,LEN(AA751)-MIN(FIND({0;1;2;3;4;5;6;7;8;9},AA751&amp;"0123456789"))+1)),"")</f>
        <v/>
      </c>
    </row>
    <row r="752" spans="28:28" x14ac:dyDescent="0.2">
      <c r="AB752" s="660" t="str">
        <f>IFERROR(VALUE(RIGHT(AA752,LEN(AA752)-MIN(FIND({0;1;2;3;4;5;6;7;8;9},AA752&amp;"0123456789"))+1)),"")</f>
        <v/>
      </c>
    </row>
    <row r="753" spans="28:28" x14ac:dyDescent="0.2">
      <c r="AB753" s="660" t="str">
        <f>IFERROR(VALUE(RIGHT(AA753,LEN(AA753)-MIN(FIND({0;1;2;3;4;5;6;7;8;9},AA753&amp;"0123456789"))+1)),"")</f>
        <v/>
      </c>
    </row>
    <row r="754" spans="28:28" x14ac:dyDescent="0.2">
      <c r="AB754" s="660" t="str">
        <f>IFERROR(VALUE(RIGHT(AA754,LEN(AA754)-MIN(FIND({0;1;2;3;4;5;6;7;8;9},AA754&amp;"0123456789"))+1)),"")</f>
        <v/>
      </c>
    </row>
    <row r="755" spans="28:28" x14ac:dyDescent="0.2">
      <c r="AB755" s="660" t="str">
        <f>IFERROR(VALUE(RIGHT(AA755,LEN(AA755)-MIN(FIND({0;1;2;3;4;5;6;7;8;9},AA755&amp;"0123456789"))+1)),"")</f>
        <v/>
      </c>
    </row>
    <row r="756" spans="28:28" x14ac:dyDescent="0.2">
      <c r="AB756" s="660" t="str">
        <f>IFERROR(VALUE(RIGHT(AA756,LEN(AA756)-MIN(FIND({0;1;2;3;4;5;6;7;8;9},AA756&amp;"0123456789"))+1)),"")</f>
        <v/>
      </c>
    </row>
    <row r="757" spans="28:28" x14ac:dyDescent="0.2">
      <c r="AB757" s="660" t="str">
        <f>IFERROR(VALUE(RIGHT(AA757,LEN(AA757)-MIN(FIND({0;1;2;3;4;5;6;7;8;9},AA757&amp;"0123456789"))+1)),"")</f>
        <v/>
      </c>
    </row>
    <row r="758" spans="28:28" x14ac:dyDescent="0.2">
      <c r="AB758" s="660" t="str">
        <f>IFERROR(VALUE(RIGHT(AA758,LEN(AA758)-MIN(FIND({0;1;2;3;4;5;6;7;8;9},AA758&amp;"0123456789"))+1)),"")</f>
        <v/>
      </c>
    </row>
    <row r="759" spans="28:28" x14ac:dyDescent="0.2">
      <c r="AB759" s="660" t="str">
        <f>IFERROR(VALUE(RIGHT(AA759,LEN(AA759)-MIN(FIND({0;1;2;3;4;5;6;7;8;9},AA759&amp;"0123456789"))+1)),"")</f>
        <v/>
      </c>
    </row>
    <row r="760" spans="28:28" x14ac:dyDescent="0.2">
      <c r="AB760" s="660" t="str">
        <f>IFERROR(VALUE(RIGHT(AA760,LEN(AA760)-MIN(FIND({0;1;2;3;4;5;6;7;8;9},AA760&amp;"0123456789"))+1)),"")</f>
        <v/>
      </c>
    </row>
    <row r="761" spans="28:28" x14ac:dyDescent="0.2">
      <c r="AB761" s="660" t="str">
        <f>IFERROR(VALUE(RIGHT(AA761,LEN(AA761)-MIN(FIND({0;1;2;3;4;5;6;7;8;9},AA761&amp;"0123456789"))+1)),"")</f>
        <v/>
      </c>
    </row>
    <row r="762" spans="28:28" x14ac:dyDescent="0.2">
      <c r="AB762" s="660" t="str">
        <f>IFERROR(VALUE(RIGHT(AA762,LEN(AA762)-MIN(FIND({0;1;2;3;4;5;6;7;8;9},AA762&amp;"0123456789"))+1)),"")</f>
        <v/>
      </c>
    </row>
    <row r="763" spans="28:28" x14ac:dyDescent="0.2">
      <c r="AB763" s="660" t="str">
        <f>IFERROR(VALUE(RIGHT(AA763,LEN(AA763)-MIN(FIND({0;1;2;3;4;5;6;7;8;9},AA763&amp;"0123456789"))+1)),"")</f>
        <v/>
      </c>
    </row>
    <row r="764" spans="28:28" x14ac:dyDescent="0.2">
      <c r="AB764" s="660" t="str">
        <f>IFERROR(VALUE(RIGHT(AA764,LEN(AA764)-MIN(FIND({0;1;2;3;4;5;6;7;8;9},AA764&amp;"0123456789"))+1)),"")</f>
        <v/>
      </c>
    </row>
    <row r="765" spans="28:28" x14ac:dyDescent="0.2">
      <c r="AB765" s="660" t="str">
        <f>IFERROR(VALUE(RIGHT(AA765,LEN(AA765)-MIN(FIND({0;1;2;3;4;5;6;7;8;9},AA765&amp;"0123456789"))+1)),"")</f>
        <v/>
      </c>
    </row>
    <row r="766" spans="28:28" x14ac:dyDescent="0.2">
      <c r="AB766" s="660" t="str">
        <f>IFERROR(VALUE(RIGHT(AA766,LEN(AA766)-MIN(FIND({0;1;2;3;4;5;6;7;8;9},AA766&amp;"0123456789"))+1)),"")</f>
        <v/>
      </c>
    </row>
    <row r="767" spans="28:28" x14ac:dyDescent="0.2">
      <c r="AB767" s="660" t="str">
        <f>IFERROR(VALUE(RIGHT(AA767,LEN(AA767)-MIN(FIND({0;1;2;3;4;5;6;7;8;9},AA767&amp;"0123456789"))+1)),"")</f>
        <v/>
      </c>
    </row>
    <row r="768" spans="28:28" x14ac:dyDescent="0.2">
      <c r="AB768" s="660" t="str">
        <f>IFERROR(VALUE(RIGHT(AA768,LEN(AA768)-MIN(FIND({0;1;2;3;4;5;6;7;8;9},AA768&amp;"0123456789"))+1)),"")</f>
        <v/>
      </c>
    </row>
    <row r="769" spans="28:28" x14ac:dyDescent="0.2">
      <c r="AB769" s="660" t="str">
        <f>IFERROR(VALUE(RIGHT(AA769,LEN(AA769)-MIN(FIND({0;1;2;3;4;5;6;7;8;9},AA769&amp;"0123456789"))+1)),"")</f>
        <v/>
      </c>
    </row>
    <row r="770" spans="28:28" x14ac:dyDescent="0.2">
      <c r="AB770" s="660" t="str">
        <f>IFERROR(VALUE(RIGHT(AA770,LEN(AA770)-MIN(FIND({0;1;2;3;4;5;6;7;8;9},AA770&amp;"0123456789"))+1)),"")</f>
        <v/>
      </c>
    </row>
    <row r="771" spans="28:28" x14ac:dyDescent="0.2">
      <c r="AB771" s="660" t="str">
        <f>IFERROR(VALUE(RIGHT(AA771,LEN(AA771)-MIN(FIND({0;1;2;3;4;5;6;7;8;9},AA771&amp;"0123456789"))+1)),"")</f>
        <v/>
      </c>
    </row>
    <row r="772" spans="28:28" x14ac:dyDescent="0.2">
      <c r="AB772" s="660" t="str">
        <f>IFERROR(VALUE(RIGHT(AA772,LEN(AA772)-MIN(FIND({0;1;2;3;4;5;6;7;8;9},AA772&amp;"0123456789"))+1)),"")</f>
        <v/>
      </c>
    </row>
    <row r="773" spans="28:28" x14ac:dyDescent="0.2">
      <c r="AB773" s="660" t="str">
        <f>IFERROR(VALUE(RIGHT(AA773,LEN(AA773)-MIN(FIND({0;1;2;3;4;5;6;7;8;9},AA773&amp;"0123456789"))+1)),"")</f>
        <v/>
      </c>
    </row>
    <row r="774" spans="28:28" x14ac:dyDescent="0.2">
      <c r="AB774" s="660" t="str">
        <f>IFERROR(VALUE(RIGHT(AA774,LEN(AA774)-MIN(FIND({0;1;2;3;4;5;6;7;8;9},AA774&amp;"0123456789"))+1)),"")</f>
        <v/>
      </c>
    </row>
    <row r="775" spans="28:28" x14ac:dyDescent="0.2">
      <c r="AB775" s="660" t="str">
        <f>IFERROR(VALUE(RIGHT(AA775,LEN(AA775)-MIN(FIND({0;1;2;3;4;5;6;7;8;9},AA775&amp;"0123456789"))+1)),"")</f>
        <v/>
      </c>
    </row>
    <row r="776" spans="28:28" x14ac:dyDescent="0.2">
      <c r="AB776" s="660" t="str">
        <f>IFERROR(VALUE(RIGHT(AA776,LEN(AA776)-MIN(FIND({0;1;2;3;4;5;6;7;8;9},AA776&amp;"0123456789"))+1)),"")</f>
        <v/>
      </c>
    </row>
    <row r="777" spans="28:28" x14ac:dyDescent="0.2">
      <c r="AB777" s="660" t="str">
        <f>IFERROR(VALUE(RIGHT(AA777,LEN(AA777)-MIN(FIND({0;1;2;3;4;5;6;7;8;9},AA777&amp;"0123456789"))+1)),"")</f>
        <v/>
      </c>
    </row>
    <row r="778" spans="28:28" x14ac:dyDescent="0.2">
      <c r="AB778" s="660" t="str">
        <f>IFERROR(VALUE(RIGHT(AA778,LEN(AA778)-MIN(FIND({0;1;2;3;4;5;6;7;8;9},AA778&amp;"0123456789"))+1)),"")</f>
        <v/>
      </c>
    </row>
    <row r="779" spans="28:28" x14ac:dyDescent="0.2">
      <c r="AB779" s="660" t="str">
        <f>IFERROR(VALUE(RIGHT(AA779,LEN(AA779)-MIN(FIND({0;1;2;3;4;5;6;7;8;9},AA779&amp;"0123456789"))+1)),"")</f>
        <v/>
      </c>
    </row>
    <row r="780" spans="28:28" x14ac:dyDescent="0.2">
      <c r="AB780" s="660" t="str">
        <f>IFERROR(VALUE(RIGHT(AA780,LEN(AA780)-MIN(FIND({0;1;2;3;4;5;6;7;8;9},AA780&amp;"0123456789"))+1)),"")</f>
        <v/>
      </c>
    </row>
    <row r="781" spans="28:28" x14ac:dyDescent="0.2">
      <c r="AB781" s="660" t="str">
        <f>IFERROR(VALUE(RIGHT(AA781,LEN(AA781)-MIN(FIND({0;1;2;3;4;5;6;7;8;9},AA781&amp;"0123456789"))+1)),"")</f>
        <v/>
      </c>
    </row>
    <row r="782" spans="28:28" x14ac:dyDescent="0.2">
      <c r="AB782" s="660" t="str">
        <f>IFERROR(VALUE(RIGHT(AA782,LEN(AA782)-MIN(FIND({0;1;2;3;4;5;6;7;8;9},AA782&amp;"0123456789"))+1)),"")</f>
        <v/>
      </c>
    </row>
    <row r="783" spans="28:28" x14ac:dyDescent="0.2">
      <c r="AB783" s="660" t="str">
        <f>IFERROR(VALUE(RIGHT(AA783,LEN(AA783)-MIN(FIND({0;1;2;3;4;5;6;7;8;9},AA783&amp;"0123456789"))+1)),"")</f>
        <v/>
      </c>
    </row>
    <row r="784" spans="28:28" x14ac:dyDescent="0.2">
      <c r="AB784" s="660" t="str">
        <f>IFERROR(VALUE(RIGHT(AA784,LEN(AA784)-MIN(FIND({0;1;2;3;4;5;6;7;8;9},AA784&amp;"0123456789"))+1)),"")</f>
        <v/>
      </c>
    </row>
    <row r="785" spans="28:28" x14ac:dyDescent="0.2">
      <c r="AB785" s="660" t="str">
        <f>IFERROR(VALUE(RIGHT(AA785,LEN(AA785)-MIN(FIND({0;1;2;3;4;5;6;7;8;9},AA785&amp;"0123456789"))+1)),"")</f>
        <v/>
      </c>
    </row>
    <row r="786" spans="28:28" x14ac:dyDescent="0.2">
      <c r="AB786" s="660" t="str">
        <f>IFERROR(VALUE(RIGHT(AA786,LEN(AA786)-MIN(FIND({0;1;2;3;4;5;6;7;8;9},AA786&amp;"0123456789"))+1)),"")</f>
        <v/>
      </c>
    </row>
    <row r="787" spans="28:28" x14ac:dyDescent="0.2">
      <c r="AB787" s="660" t="str">
        <f>IFERROR(VALUE(RIGHT(AA787,LEN(AA787)-MIN(FIND({0;1;2;3;4;5;6;7;8;9},AA787&amp;"0123456789"))+1)),"")</f>
        <v/>
      </c>
    </row>
    <row r="788" spans="28:28" x14ac:dyDescent="0.2">
      <c r="AB788" s="660" t="str">
        <f>IFERROR(VALUE(RIGHT(AA788,LEN(AA788)-MIN(FIND({0;1;2;3;4;5;6;7;8;9},AA788&amp;"0123456789"))+1)),"")</f>
        <v/>
      </c>
    </row>
    <row r="789" spans="28:28" x14ac:dyDescent="0.2">
      <c r="AB789" s="660" t="str">
        <f>IFERROR(VALUE(RIGHT(AA789,LEN(AA789)-MIN(FIND({0;1;2;3;4;5;6;7;8;9},AA789&amp;"0123456789"))+1)),"")</f>
        <v/>
      </c>
    </row>
    <row r="790" spans="28:28" x14ac:dyDescent="0.2">
      <c r="AB790" s="660" t="str">
        <f>IFERROR(VALUE(RIGHT(AA790,LEN(AA790)-MIN(FIND({0;1;2;3;4;5;6;7;8;9},AA790&amp;"0123456789"))+1)),"")</f>
        <v/>
      </c>
    </row>
    <row r="791" spans="28:28" x14ac:dyDescent="0.2">
      <c r="AB791" s="660" t="str">
        <f>IFERROR(VALUE(RIGHT(AA791,LEN(AA791)-MIN(FIND({0;1;2;3;4;5;6;7;8;9},AA791&amp;"0123456789"))+1)),"")</f>
        <v/>
      </c>
    </row>
    <row r="792" spans="28:28" x14ac:dyDescent="0.2">
      <c r="AB792" s="660" t="str">
        <f>IFERROR(VALUE(RIGHT(AA792,LEN(AA792)-MIN(FIND({0;1;2;3;4;5;6;7;8;9},AA792&amp;"0123456789"))+1)),"")</f>
        <v/>
      </c>
    </row>
    <row r="793" spans="28:28" x14ac:dyDescent="0.2">
      <c r="AB793" s="660" t="str">
        <f>IFERROR(VALUE(RIGHT(AA793,LEN(AA793)-MIN(FIND({0;1;2;3;4;5;6;7;8;9},AA793&amp;"0123456789"))+1)),"")</f>
        <v/>
      </c>
    </row>
    <row r="794" spans="28:28" x14ac:dyDescent="0.2">
      <c r="AB794" s="660" t="str">
        <f>IFERROR(VALUE(RIGHT(AA794,LEN(AA794)-MIN(FIND({0;1;2;3;4;5;6;7;8;9},AA794&amp;"0123456789"))+1)),"")</f>
        <v/>
      </c>
    </row>
    <row r="795" spans="28:28" x14ac:dyDescent="0.2">
      <c r="AB795" s="660" t="str">
        <f>IFERROR(VALUE(RIGHT(AA795,LEN(AA795)-MIN(FIND({0;1;2;3;4;5;6;7;8;9},AA795&amp;"0123456789"))+1)),"")</f>
        <v/>
      </c>
    </row>
    <row r="796" spans="28:28" x14ac:dyDescent="0.2">
      <c r="AB796" s="660" t="str">
        <f>IFERROR(VALUE(RIGHT(AA796,LEN(AA796)-MIN(FIND({0;1;2;3;4;5;6;7;8;9},AA796&amp;"0123456789"))+1)),"")</f>
        <v/>
      </c>
    </row>
    <row r="797" spans="28:28" x14ac:dyDescent="0.2">
      <c r="AB797" s="660" t="str">
        <f>IFERROR(VALUE(RIGHT(AA797,LEN(AA797)-MIN(FIND({0;1;2;3;4;5;6;7;8;9},AA797&amp;"0123456789"))+1)),"")</f>
        <v/>
      </c>
    </row>
    <row r="798" spans="28:28" x14ac:dyDescent="0.2">
      <c r="AB798" s="660" t="str">
        <f>IFERROR(VALUE(RIGHT(AA798,LEN(AA798)-MIN(FIND({0;1;2;3;4;5;6;7;8;9},AA798&amp;"0123456789"))+1)),"")</f>
        <v/>
      </c>
    </row>
    <row r="799" spans="28:28" x14ac:dyDescent="0.2">
      <c r="AB799" s="660" t="str">
        <f>IFERROR(VALUE(RIGHT(AA799,LEN(AA799)-MIN(FIND({0;1;2;3;4;5;6;7;8;9},AA799&amp;"0123456789"))+1)),"")</f>
        <v/>
      </c>
    </row>
    <row r="800" spans="28:28" x14ac:dyDescent="0.2">
      <c r="AB800" s="660" t="str">
        <f>IFERROR(VALUE(RIGHT(AA800,LEN(AA800)-MIN(FIND({0;1;2;3;4;5;6;7;8;9},AA800&amp;"0123456789"))+1)),"")</f>
        <v/>
      </c>
    </row>
    <row r="801" spans="28:28" x14ac:dyDescent="0.2">
      <c r="AB801" s="660" t="str">
        <f>IFERROR(VALUE(RIGHT(AA801,LEN(AA801)-MIN(FIND({0;1;2;3;4;5;6;7;8;9},AA801&amp;"0123456789"))+1)),"")</f>
        <v/>
      </c>
    </row>
    <row r="802" spans="28:28" x14ac:dyDescent="0.2">
      <c r="AB802" s="660" t="str">
        <f>IFERROR(VALUE(RIGHT(AA802,LEN(AA802)-MIN(FIND({0;1;2;3;4;5;6;7;8;9},AA802&amp;"0123456789"))+1)),"")</f>
        <v/>
      </c>
    </row>
    <row r="803" spans="28:28" x14ac:dyDescent="0.2">
      <c r="AB803" s="660" t="str">
        <f>IFERROR(VALUE(RIGHT(AA803,LEN(AA803)-MIN(FIND({0;1;2;3;4;5;6;7;8;9},AA803&amp;"0123456789"))+1)),"")</f>
        <v/>
      </c>
    </row>
    <row r="804" spans="28:28" x14ac:dyDescent="0.2">
      <c r="AB804" s="660" t="str">
        <f>IFERROR(VALUE(RIGHT(AA804,LEN(AA804)-MIN(FIND({0;1;2;3;4;5;6;7;8;9},AA804&amp;"0123456789"))+1)),"")</f>
        <v/>
      </c>
    </row>
    <row r="805" spans="28:28" x14ac:dyDescent="0.2">
      <c r="AB805" s="660" t="str">
        <f>IFERROR(VALUE(RIGHT(AA805,LEN(AA805)-MIN(FIND({0;1;2;3;4;5;6;7;8;9},AA805&amp;"0123456789"))+1)),"")</f>
        <v/>
      </c>
    </row>
    <row r="806" spans="28:28" x14ac:dyDescent="0.2">
      <c r="AB806" s="660" t="str">
        <f>IFERROR(VALUE(RIGHT(AA806,LEN(AA806)-MIN(FIND({0;1;2;3;4;5;6;7;8;9},AA806&amp;"0123456789"))+1)),"")</f>
        <v/>
      </c>
    </row>
    <row r="807" spans="28:28" x14ac:dyDescent="0.2">
      <c r="AB807" s="660" t="str">
        <f>IFERROR(VALUE(RIGHT(AA807,LEN(AA807)-MIN(FIND({0;1;2;3;4;5;6;7;8;9},AA807&amp;"0123456789"))+1)),"")</f>
        <v/>
      </c>
    </row>
    <row r="808" spans="28:28" x14ac:dyDescent="0.2">
      <c r="AB808" s="660" t="str">
        <f>IFERROR(VALUE(RIGHT(AA808,LEN(AA808)-MIN(FIND({0;1;2;3;4;5;6;7;8;9},AA808&amp;"0123456789"))+1)),"")</f>
        <v/>
      </c>
    </row>
    <row r="809" spans="28:28" x14ac:dyDescent="0.2">
      <c r="AB809" s="660" t="str">
        <f>IFERROR(VALUE(RIGHT(AA809,LEN(AA809)-MIN(FIND({0;1;2;3;4;5;6;7;8;9},AA809&amp;"0123456789"))+1)),"")</f>
        <v/>
      </c>
    </row>
    <row r="810" spans="28:28" x14ac:dyDescent="0.2">
      <c r="AB810" s="660" t="str">
        <f>IFERROR(VALUE(RIGHT(AA810,LEN(AA810)-MIN(FIND({0;1;2;3;4;5;6;7;8;9},AA810&amp;"0123456789"))+1)),"")</f>
        <v/>
      </c>
    </row>
    <row r="811" spans="28:28" x14ac:dyDescent="0.2">
      <c r="AB811" s="660" t="str">
        <f>IFERROR(VALUE(RIGHT(AA811,LEN(AA811)-MIN(FIND({0;1;2;3;4;5;6;7;8;9},AA811&amp;"0123456789"))+1)),"")</f>
        <v/>
      </c>
    </row>
    <row r="812" spans="28:28" x14ac:dyDescent="0.2">
      <c r="AB812" s="660" t="str">
        <f>IFERROR(VALUE(RIGHT(AA812,LEN(AA812)-MIN(FIND({0;1;2;3;4;5;6;7;8;9},AA812&amp;"0123456789"))+1)),"")</f>
        <v/>
      </c>
    </row>
    <row r="813" spans="28:28" x14ac:dyDescent="0.2">
      <c r="AB813" s="660" t="str">
        <f>IFERROR(VALUE(RIGHT(AA813,LEN(AA813)-MIN(FIND({0;1;2;3;4;5;6;7;8;9},AA813&amp;"0123456789"))+1)),"")</f>
        <v/>
      </c>
    </row>
    <row r="814" spans="28:28" x14ac:dyDescent="0.2">
      <c r="AB814" s="660" t="str">
        <f>IFERROR(VALUE(RIGHT(AA814,LEN(AA814)-MIN(FIND({0;1;2;3;4;5;6;7;8;9},AA814&amp;"0123456789"))+1)),"")</f>
        <v/>
      </c>
    </row>
    <row r="815" spans="28:28" x14ac:dyDescent="0.2">
      <c r="AB815" s="660" t="str">
        <f>IFERROR(VALUE(RIGHT(AA815,LEN(AA815)-MIN(FIND({0;1;2;3;4;5;6;7;8;9},AA815&amp;"0123456789"))+1)),"")</f>
        <v/>
      </c>
    </row>
    <row r="816" spans="28:28" x14ac:dyDescent="0.2">
      <c r="AB816" s="660" t="str">
        <f>IFERROR(VALUE(RIGHT(AA816,LEN(AA816)-MIN(FIND({0;1;2;3;4;5;6;7;8;9},AA816&amp;"0123456789"))+1)),"")</f>
        <v/>
      </c>
    </row>
    <row r="817" spans="28:28" x14ac:dyDescent="0.2">
      <c r="AB817" s="660" t="str">
        <f>IFERROR(VALUE(RIGHT(AA817,LEN(AA817)-MIN(FIND({0;1;2;3;4;5;6;7;8;9},AA817&amp;"0123456789"))+1)),"")</f>
        <v/>
      </c>
    </row>
    <row r="818" spans="28:28" x14ac:dyDescent="0.2">
      <c r="AB818" s="660" t="str">
        <f>IFERROR(VALUE(RIGHT(AA818,LEN(AA818)-MIN(FIND({0;1;2;3;4;5;6;7;8;9},AA818&amp;"0123456789"))+1)),"")</f>
        <v/>
      </c>
    </row>
    <row r="819" spans="28:28" x14ac:dyDescent="0.2">
      <c r="AB819" s="660" t="str">
        <f>IFERROR(VALUE(RIGHT(AA819,LEN(AA819)-MIN(FIND({0;1;2;3;4;5;6;7;8;9},AA819&amp;"0123456789"))+1)),"")</f>
        <v/>
      </c>
    </row>
    <row r="820" spans="28:28" x14ac:dyDescent="0.2">
      <c r="AB820" s="660" t="str">
        <f>IFERROR(VALUE(RIGHT(AA820,LEN(AA820)-MIN(FIND({0;1;2;3;4;5;6;7;8;9},AA820&amp;"0123456789"))+1)),"")</f>
        <v/>
      </c>
    </row>
    <row r="821" spans="28:28" x14ac:dyDescent="0.2">
      <c r="AB821" s="660" t="str">
        <f>IFERROR(VALUE(RIGHT(AA821,LEN(AA821)-MIN(FIND({0;1;2;3;4;5;6;7;8;9},AA821&amp;"0123456789"))+1)),"")</f>
        <v/>
      </c>
    </row>
    <row r="822" spans="28:28" x14ac:dyDescent="0.2">
      <c r="AB822" s="660" t="str">
        <f>IFERROR(VALUE(RIGHT(AA822,LEN(AA822)-MIN(FIND({0;1;2;3;4;5;6;7;8;9},AA822&amp;"0123456789"))+1)),"")</f>
        <v/>
      </c>
    </row>
    <row r="823" spans="28:28" x14ac:dyDescent="0.2">
      <c r="AB823" s="660" t="str">
        <f>IFERROR(VALUE(RIGHT(AA823,LEN(AA823)-MIN(FIND({0;1;2;3;4;5;6;7;8;9},AA823&amp;"0123456789"))+1)),"")</f>
        <v/>
      </c>
    </row>
    <row r="824" spans="28:28" x14ac:dyDescent="0.2">
      <c r="AB824" s="660" t="str">
        <f>IFERROR(VALUE(RIGHT(AA824,LEN(AA824)-MIN(FIND({0;1;2;3;4;5;6;7;8;9},AA824&amp;"0123456789"))+1)),"")</f>
        <v/>
      </c>
    </row>
    <row r="825" spans="28:28" x14ac:dyDescent="0.2">
      <c r="AB825" s="660" t="str">
        <f>IFERROR(VALUE(RIGHT(AA825,LEN(AA825)-MIN(FIND({0;1;2;3;4;5;6;7;8;9},AA825&amp;"0123456789"))+1)),"")</f>
        <v/>
      </c>
    </row>
    <row r="826" spans="28:28" x14ac:dyDescent="0.2">
      <c r="AB826" s="660" t="str">
        <f>IFERROR(VALUE(RIGHT(AA826,LEN(AA826)-MIN(FIND({0;1;2;3;4;5;6;7;8;9},AA826&amp;"0123456789"))+1)),"")</f>
        <v/>
      </c>
    </row>
    <row r="827" spans="28:28" x14ac:dyDescent="0.2">
      <c r="AB827" s="660" t="str">
        <f>IFERROR(VALUE(RIGHT(AA827,LEN(AA827)-MIN(FIND({0;1;2;3;4;5;6;7;8;9},AA827&amp;"0123456789"))+1)),"")</f>
        <v/>
      </c>
    </row>
    <row r="828" spans="28:28" x14ac:dyDescent="0.2">
      <c r="AB828" s="660" t="str">
        <f>IFERROR(VALUE(RIGHT(AA828,LEN(AA828)-MIN(FIND({0;1;2;3;4;5;6;7;8;9},AA828&amp;"0123456789"))+1)),"")</f>
        <v/>
      </c>
    </row>
    <row r="829" spans="28:28" x14ac:dyDescent="0.2">
      <c r="AB829" s="660" t="str">
        <f>IFERROR(VALUE(RIGHT(AA829,LEN(AA829)-MIN(FIND({0;1;2;3;4;5;6;7;8;9},AA829&amp;"0123456789"))+1)),"")</f>
        <v/>
      </c>
    </row>
    <row r="830" spans="28:28" x14ac:dyDescent="0.2">
      <c r="AB830" s="660" t="str">
        <f>IFERROR(VALUE(RIGHT(AA830,LEN(AA830)-MIN(FIND({0;1;2;3;4;5;6;7;8;9},AA830&amp;"0123456789"))+1)),"")</f>
        <v/>
      </c>
    </row>
    <row r="831" spans="28:28" x14ac:dyDescent="0.2">
      <c r="AB831" s="660" t="str">
        <f>IFERROR(VALUE(RIGHT(AA831,LEN(AA831)-MIN(FIND({0;1;2;3;4;5;6;7;8;9},AA831&amp;"0123456789"))+1)),"")</f>
        <v/>
      </c>
    </row>
    <row r="832" spans="28:28" x14ac:dyDescent="0.2">
      <c r="AB832" s="660" t="str">
        <f>IFERROR(VALUE(RIGHT(AA832,LEN(AA832)-MIN(FIND({0;1;2;3;4;5;6;7;8;9},AA832&amp;"0123456789"))+1)),"")</f>
        <v/>
      </c>
    </row>
    <row r="833" spans="28:28" x14ac:dyDescent="0.2">
      <c r="AB833" s="660" t="str">
        <f>IFERROR(VALUE(RIGHT(AA833,LEN(AA833)-MIN(FIND({0;1;2;3;4;5;6;7;8;9},AA833&amp;"0123456789"))+1)),"")</f>
        <v/>
      </c>
    </row>
    <row r="834" spans="28:28" x14ac:dyDescent="0.2">
      <c r="AB834" s="660" t="str">
        <f>IFERROR(VALUE(RIGHT(AA834,LEN(AA834)-MIN(FIND({0;1;2;3;4;5;6;7;8;9},AA834&amp;"0123456789"))+1)),"")</f>
        <v/>
      </c>
    </row>
    <row r="835" spans="28:28" x14ac:dyDescent="0.2">
      <c r="AB835" s="660" t="str">
        <f>IFERROR(VALUE(RIGHT(AA835,LEN(AA835)-MIN(FIND({0;1;2;3;4;5;6;7;8;9},AA835&amp;"0123456789"))+1)),"")</f>
        <v/>
      </c>
    </row>
    <row r="836" spans="28:28" x14ac:dyDescent="0.2">
      <c r="AB836" s="660" t="str">
        <f>IFERROR(VALUE(RIGHT(AA836,LEN(AA836)-MIN(FIND({0;1;2;3;4;5;6;7;8;9},AA836&amp;"0123456789"))+1)),"")</f>
        <v/>
      </c>
    </row>
    <row r="837" spans="28:28" x14ac:dyDescent="0.2">
      <c r="AB837" s="660" t="str">
        <f>IFERROR(VALUE(RIGHT(AA837,LEN(AA837)-MIN(FIND({0;1;2;3;4;5;6;7;8;9},AA837&amp;"0123456789"))+1)),"")</f>
        <v/>
      </c>
    </row>
    <row r="838" spans="28:28" x14ac:dyDescent="0.2">
      <c r="AB838" s="660" t="str">
        <f>IFERROR(VALUE(RIGHT(AA838,LEN(AA838)-MIN(FIND({0;1;2;3;4;5;6;7;8;9},AA838&amp;"0123456789"))+1)),"")</f>
        <v/>
      </c>
    </row>
    <row r="839" spans="28:28" x14ac:dyDescent="0.2">
      <c r="AB839" s="660" t="str">
        <f>IFERROR(VALUE(RIGHT(AA839,LEN(AA839)-MIN(FIND({0;1;2;3;4;5;6;7;8;9},AA839&amp;"0123456789"))+1)),"")</f>
        <v/>
      </c>
    </row>
    <row r="840" spans="28:28" x14ac:dyDescent="0.2">
      <c r="AB840" s="660" t="str">
        <f>IFERROR(VALUE(RIGHT(AA840,LEN(AA840)-MIN(FIND({0;1;2;3;4;5;6;7;8;9},AA840&amp;"0123456789"))+1)),"")</f>
        <v/>
      </c>
    </row>
    <row r="841" spans="28:28" x14ac:dyDescent="0.2">
      <c r="AB841" s="660" t="str">
        <f>IFERROR(VALUE(RIGHT(AA841,LEN(AA841)-MIN(FIND({0;1;2;3;4;5;6;7;8;9},AA841&amp;"0123456789"))+1)),"")</f>
        <v/>
      </c>
    </row>
    <row r="842" spans="28:28" x14ac:dyDescent="0.2">
      <c r="AB842" s="660" t="str">
        <f>IFERROR(VALUE(RIGHT(AA842,LEN(AA842)-MIN(FIND({0;1;2;3;4;5;6;7;8;9},AA842&amp;"0123456789"))+1)),"")</f>
        <v/>
      </c>
    </row>
    <row r="843" spans="28:28" x14ac:dyDescent="0.2">
      <c r="AB843" s="660" t="str">
        <f>IFERROR(VALUE(RIGHT(AA843,LEN(AA843)-MIN(FIND({0;1;2;3;4;5;6;7;8;9},AA843&amp;"0123456789"))+1)),"")</f>
        <v/>
      </c>
    </row>
    <row r="844" spans="28:28" x14ac:dyDescent="0.2">
      <c r="AB844" s="660" t="str">
        <f>IFERROR(VALUE(RIGHT(AA844,LEN(AA844)-MIN(FIND({0;1;2;3;4;5;6;7;8;9},AA844&amp;"0123456789"))+1)),"")</f>
        <v/>
      </c>
    </row>
    <row r="845" spans="28:28" x14ac:dyDescent="0.2">
      <c r="AB845" s="660" t="str">
        <f>IFERROR(VALUE(RIGHT(AA845,LEN(AA845)-MIN(FIND({0;1;2;3;4;5;6;7;8;9},AA845&amp;"0123456789"))+1)),"")</f>
        <v/>
      </c>
    </row>
    <row r="846" spans="28:28" x14ac:dyDescent="0.2">
      <c r="AB846" s="660" t="str">
        <f>IFERROR(VALUE(RIGHT(AA846,LEN(AA846)-MIN(FIND({0;1;2;3;4;5;6;7;8;9},AA846&amp;"0123456789"))+1)),"")</f>
        <v/>
      </c>
    </row>
    <row r="847" spans="28:28" x14ac:dyDescent="0.2">
      <c r="AB847" s="660" t="str">
        <f>IFERROR(VALUE(RIGHT(AA847,LEN(AA847)-MIN(FIND({0;1;2;3;4;5;6;7;8;9},AA847&amp;"0123456789"))+1)),"")</f>
        <v/>
      </c>
    </row>
    <row r="848" spans="28:28" x14ac:dyDescent="0.2">
      <c r="AB848" s="660" t="str">
        <f>IFERROR(VALUE(RIGHT(AA848,LEN(AA848)-MIN(FIND({0;1;2;3;4;5;6;7;8;9},AA848&amp;"0123456789"))+1)),"")</f>
        <v/>
      </c>
    </row>
    <row r="849" spans="28:28" x14ac:dyDescent="0.2">
      <c r="AB849" s="660" t="str">
        <f>IFERROR(VALUE(RIGHT(AA849,LEN(AA849)-MIN(FIND({0;1;2;3;4;5;6;7;8;9},AA849&amp;"0123456789"))+1)),"")</f>
        <v/>
      </c>
    </row>
    <row r="850" spans="28:28" x14ac:dyDescent="0.2">
      <c r="AB850" s="660" t="str">
        <f>IFERROR(VALUE(RIGHT(AA850,LEN(AA850)-MIN(FIND({0;1;2;3;4;5;6;7;8;9},AA850&amp;"0123456789"))+1)),"")</f>
        <v/>
      </c>
    </row>
    <row r="851" spans="28:28" x14ac:dyDescent="0.2">
      <c r="AB851" s="660" t="str">
        <f>IFERROR(VALUE(RIGHT(AA851,LEN(AA851)-MIN(FIND({0;1;2;3;4;5;6;7;8;9},AA851&amp;"0123456789"))+1)),"")</f>
        <v/>
      </c>
    </row>
    <row r="852" spans="28:28" x14ac:dyDescent="0.2">
      <c r="AB852" s="660" t="str">
        <f>IFERROR(VALUE(RIGHT(AA852,LEN(AA852)-MIN(FIND({0;1;2;3;4;5;6;7;8;9},AA852&amp;"0123456789"))+1)),"")</f>
        <v/>
      </c>
    </row>
    <row r="853" spans="28:28" x14ac:dyDescent="0.2">
      <c r="AB853" s="660" t="str">
        <f>IFERROR(VALUE(RIGHT(AA853,LEN(AA853)-MIN(FIND({0;1;2;3;4;5;6;7;8;9},AA853&amp;"0123456789"))+1)),"")</f>
        <v/>
      </c>
    </row>
    <row r="854" spans="28:28" x14ac:dyDescent="0.2">
      <c r="AB854" s="660" t="str">
        <f>IFERROR(VALUE(RIGHT(AA854,LEN(AA854)-MIN(FIND({0;1;2;3;4;5;6;7;8;9},AA854&amp;"0123456789"))+1)),"")</f>
        <v/>
      </c>
    </row>
    <row r="855" spans="28:28" x14ac:dyDescent="0.2">
      <c r="AB855" s="660" t="str">
        <f>IFERROR(VALUE(RIGHT(AA855,LEN(AA855)-MIN(FIND({0;1;2;3;4;5;6;7;8;9},AA855&amp;"0123456789"))+1)),"")</f>
        <v/>
      </c>
    </row>
    <row r="856" spans="28:28" x14ac:dyDescent="0.2">
      <c r="AB856" s="660" t="str">
        <f>IFERROR(VALUE(RIGHT(AA856,LEN(AA856)-MIN(FIND({0;1;2;3;4;5;6;7;8;9},AA856&amp;"0123456789"))+1)),"")</f>
        <v/>
      </c>
    </row>
    <row r="857" spans="28:28" x14ac:dyDescent="0.2">
      <c r="AB857" s="660" t="str">
        <f>IFERROR(VALUE(RIGHT(AA857,LEN(AA857)-MIN(FIND({0;1;2;3;4;5;6;7;8;9},AA857&amp;"0123456789"))+1)),"")</f>
        <v/>
      </c>
    </row>
    <row r="858" spans="28:28" x14ac:dyDescent="0.2">
      <c r="AB858" s="660" t="str">
        <f>IFERROR(VALUE(RIGHT(AA858,LEN(AA858)-MIN(FIND({0;1;2;3;4;5;6;7;8;9},AA858&amp;"0123456789"))+1)),"")</f>
        <v/>
      </c>
    </row>
    <row r="859" spans="28:28" x14ac:dyDescent="0.2">
      <c r="AB859" s="660" t="str">
        <f>IFERROR(VALUE(RIGHT(AA859,LEN(AA859)-MIN(FIND({0;1;2;3;4;5;6;7;8;9},AA859&amp;"0123456789"))+1)),"")</f>
        <v/>
      </c>
    </row>
    <row r="860" spans="28:28" x14ac:dyDescent="0.2">
      <c r="AB860" s="660" t="str">
        <f>IFERROR(VALUE(RIGHT(AA860,LEN(AA860)-MIN(FIND({0;1;2;3;4;5;6;7;8;9},AA860&amp;"0123456789"))+1)),"")</f>
        <v/>
      </c>
    </row>
    <row r="861" spans="28:28" x14ac:dyDescent="0.2">
      <c r="AB861" s="660" t="str">
        <f>IFERROR(VALUE(RIGHT(AA861,LEN(AA861)-MIN(FIND({0;1;2;3;4;5;6;7;8;9},AA861&amp;"0123456789"))+1)),"")</f>
        <v/>
      </c>
    </row>
    <row r="862" spans="28:28" x14ac:dyDescent="0.2">
      <c r="AB862" s="660" t="str">
        <f>IFERROR(VALUE(RIGHT(AA862,LEN(AA862)-MIN(FIND({0;1;2;3;4;5;6;7;8;9},AA862&amp;"0123456789"))+1)),"")</f>
        <v/>
      </c>
    </row>
    <row r="863" spans="28:28" x14ac:dyDescent="0.2">
      <c r="AB863" s="660" t="str">
        <f>IFERROR(VALUE(RIGHT(AA863,LEN(AA863)-MIN(FIND({0;1;2;3;4;5;6;7;8;9},AA863&amp;"0123456789"))+1)),"")</f>
        <v/>
      </c>
    </row>
    <row r="864" spans="28:28" x14ac:dyDescent="0.2">
      <c r="AB864" s="660" t="str">
        <f>IFERROR(VALUE(RIGHT(AA864,LEN(AA864)-MIN(FIND({0;1;2;3;4;5;6;7;8;9},AA864&amp;"0123456789"))+1)),"")</f>
        <v/>
      </c>
    </row>
    <row r="865" spans="28:28" x14ac:dyDescent="0.2">
      <c r="AB865" s="660" t="str">
        <f>IFERROR(VALUE(RIGHT(AA865,LEN(AA865)-MIN(FIND({0;1;2;3;4;5;6;7;8;9},AA865&amp;"0123456789"))+1)),"")</f>
        <v/>
      </c>
    </row>
    <row r="866" spans="28:28" x14ac:dyDescent="0.2">
      <c r="AB866" s="660" t="str">
        <f>IFERROR(VALUE(RIGHT(AA866,LEN(AA866)-MIN(FIND({0;1;2;3;4;5;6;7;8;9},AA866&amp;"0123456789"))+1)),"")</f>
        <v/>
      </c>
    </row>
    <row r="867" spans="28:28" x14ac:dyDescent="0.2">
      <c r="AB867" s="660" t="str">
        <f>IFERROR(VALUE(RIGHT(AA867,LEN(AA867)-MIN(FIND({0;1;2;3;4;5;6;7;8;9},AA867&amp;"0123456789"))+1)),"")</f>
        <v/>
      </c>
    </row>
    <row r="868" spans="28:28" x14ac:dyDescent="0.2">
      <c r="AB868" s="660" t="str">
        <f>IFERROR(VALUE(RIGHT(AA868,LEN(AA868)-MIN(FIND({0;1;2;3;4;5;6;7;8;9},AA868&amp;"0123456789"))+1)),"")</f>
        <v/>
      </c>
    </row>
    <row r="869" spans="28:28" x14ac:dyDescent="0.2">
      <c r="AB869" s="660" t="str">
        <f>IFERROR(VALUE(RIGHT(AA869,LEN(AA869)-MIN(FIND({0;1;2;3;4;5;6;7;8;9},AA869&amp;"0123456789"))+1)),"")</f>
        <v/>
      </c>
    </row>
    <row r="870" spans="28:28" x14ac:dyDescent="0.2">
      <c r="AB870" s="660" t="str">
        <f>IFERROR(VALUE(RIGHT(AA870,LEN(AA870)-MIN(FIND({0;1;2;3;4;5;6;7;8;9},AA870&amp;"0123456789"))+1)),"")</f>
        <v/>
      </c>
    </row>
    <row r="871" spans="28:28" x14ac:dyDescent="0.2">
      <c r="AB871" s="660" t="str">
        <f>IFERROR(VALUE(RIGHT(AA871,LEN(AA871)-MIN(FIND({0;1;2;3;4;5;6;7;8;9},AA871&amp;"0123456789"))+1)),"")</f>
        <v/>
      </c>
    </row>
    <row r="872" spans="28:28" x14ac:dyDescent="0.2">
      <c r="AB872" s="660" t="str">
        <f>IFERROR(VALUE(RIGHT(AA872,LEN(AA872)-MIN(FIND({0;1;2;3;4;5;6;7;8;9},AA872&amp;"0123456789"))+1)),"")</f>
        <v/>
      </c>
    </row>
    <row r="873" spans="28:28" x14ac:dyDescent="0.2">
      <c r="AB873" s="660" t="str">
        <f>IFERROR(VALUE(RIGHT(AA873,LEN(AA873)-MIN(FIND({0;1;2;3;4;5;6;7;8;9},AA873&amp;"0123456789"))+1)),"")</f>
        <v/>
      </c>
    </row>
    <row r="874" spans="28:28" x14ac:dyDescent="0.2">
      <c r="AB874" s="660" t="str">
        <f>IFERROR(VALUE(RIGHT(AA874,LEN(AA874)-MIN(FIND({0;1;2;3;4;5;6;7;8;9},AA874&amp;"0123456789"))+1)),"")</f>
        <v/>
      </c>
    </row>
    <row r="875" spans="28:28" x14ac:dyDescent="0.2">
      <c r="AB875" s="660" t="str">
        <f>IFERROR(VALUE(RIGHT(AA875,LEN(AA875)-MIN(FIND({0;1;2;3;4;5;6;7;8;9},AA875&amp;"0123456789"))+1)),"")</f>
        <v/>
      </c>
    </row>
    <row r="876" spans="28:28" x14ac:dyDescent="0.2">
      <c r="AB876" s="660" t="str">
        <f>IFERROR(VALUE(RIGHT(AA876,LEN(AA876)-MIN(FIND({0;1;2;3;4;5;6;7;8;9},AA876&amp;"0123456789"))+1)),"")</f>
        <v/>
      </c>
    </row>
    <row r="877" spans="28:28" x14ac:dyDescent="0.2">
      <c r="AB877" s="660" t="str">
        <f>IFERROR(VALUE(RIGHT(AA877,LEN(AA877)-MIN(FIND({0;1;2;3;4;5;6;7;8;9},AA877&amp;"0123456789"))+1)),"")</f>
        <v/>
      </c>
    </row>
    <row r="878" spans="28:28" x14ac:dyDescent="0.2">
      <c r="AB878" s="660" t="str">
        <f>IFERROR(VALUE(RIGHT(AA878,LEN(AA878)-MIN(FIND({0;1;2;3;4;5;6;7;8;9},AA878&amp;"0123456789"))+1)),"")</f>
        <v/>
      </c>
    </row>
    <row r="879" spans="28:28" x14ac:dyDescent="0.2">
      <c r="AB879" s="660" t="str">
        <f>IFERROR(VALUE(RIGHT(AA879,LEN(AA879)-MIN(FIND({0;1;2;3;4;5;6;7;8;9},AA879&amp;"0123456789"))+1)),"")</f>
        <v/>
      </c>
    </row>
    <row r="880" spans="28:28" x14ac:dyDescent="0.2">
      <c r="AB880" s="660" t="str">
        <f>IFERROR(VALUE(RIGHT(AA880,LEN(AA880)-MIN(FIND({0;1;2;3;4;5;6;7;8;9},AA880&amp;"0123456789"))+1)),"")</f>
        <v/>
      </c>
    </row>
    <row r="881" spans="28:28" x14ac:dyDescent="0.2">
      <c r="AB881" s="660" t="str">
        <f>IFERROR(VALUE(RIGHT(AA881,LEN(AA881)-MIN(FIND({0;1;2;3;4;5;6;7;8;9},AA881&amp;"0123456789"))+1)),"")</f>
        <v/>
      </c>
    </row>
    <row r="882" spans="28:28" x14ac:dyDescent="0.2">
      <c r="AB882" s="660" t="str">
        <f>IFERROR(VALUE(RIGHT(AA882,LEN(AA882)-MIN(FIND({0;1;2;3;4;5;6;7;8;9},AA882&amp;"0123456789"))+1)),"")</f>
        <v/>
      </c>
    </row>
    <row r="883" spans="28:28" x14ac:dyDescent="0.2">
      <c r="AB883" s="660" t="str">
        <f>IFERROR(VALUE(RIGHT(AA883,LEN(AA883)-MIN(FIND({0;1;2;3;4;5;6;7;8;9},AA883&amp;"0123456789"))+1)),"")</f>
        <v/>
      </c>
    </row>
    <row r="884" spans="28:28" x14ac:dyDescent="0.2">
      <c r="AB884" s="660" t="str">
        <f>IFERROR(VALUE(RIGHT(AA884,LEN(AA884)-MIN(FIND({0;1;2;3;4;5;6;7;8;9},AA884&amp;"0123456789"))+1)),"")</f>
        <v/>
      </c>
    </row>
    <row r="885" spans="28:28" x14ac:dyDescent="0.2">
      <c r="AB885" s="660" t="str">
        <f>IFERROR(VALUE(RIGHT(AA885,LEN(AA885)-MIN(FIND({0;1;2;3;4;5;6;7;8;9},AA885&amp;"0123456789"))+1)),"")</f>
        <v/>
      </c>
    </row>
    <row r="886" spans="28:28" x14ac:dyDescent="0.2">
      <c r="AB886" s="660" t="str">
        <f>IFERROR(VALUE(RIGHT(AA886,LEN(AA886)-MIN(FIND({0;1;2;3;4;5;6;7;8;9},AA886&amp;"0123456789"))+1)),"")</f>
        <v/>
      </c>
    </row>
    <row r="887" spans="28:28" x14ac:dyDescent="0.2">
      <c r="AB887" s="660" t="str">
        <f>IFERROR(VALUE(RIGHT(AA887,LEN(AA887)-MIN(FIND({0;1;2;3;4;5;6;7;8;9},AA887&amp;"0123456789"))+1)),"")</f>
        <v/>
      </c>
    </row>
    <row r="888" spans="28:28" x14ac:dyDescent="0.2">
      <c r="AB888" s="660" t="str">
        <f>IFERROR(VALUE(RIGHT(AA888,LEN(AA888)-MIN(FIND({0;1;2;3;4;5;6;7;8;9},AA888&amp;"0123456789"))+1)),"")</f>
        <v/>
      </c>
    </row>
    <row r="889" spans="28:28" x14ac:dyDescent="0.2">
      <c r="AB889" s="660" t="str">
        <f>IFERROR(VALUE(RIGHT(AA889,LEN(AA889)-MIN(FIND({0;1;2;3;4;5;6;7;8;9},AA889&amp;"0123456789"))+1)),"")</f>
        <v/>
      </c>
    </row>
    <row r="890" spans="28:28" x14ac:dyDescent="0.2">
      <c r="AB890" s="660" t="str">
        <f>IFERROR(VALUE(RIGHT(AA890,LEN(AA890)-MIN(FIND({0;1;2;3;4;5;6;7;8;9},AA890&amp;"0123456789"))+1)),"")</f>
        <v/>
      </c>
    </row>
    <row r="891" spans="28:28" x14ac:dyDescent="0.2">
      <c r="AB891" s="660" t="str">
        <f>IFERROR(VALUE(RIGHT(AA891,LEN(AA891)-MIN(FIND({0;1;2;3;4;5;6;7;8;9},AA891&amp;"0123456789"))+1)),"")</f>
        <v/>
      </c>
    </row>
    <row r="892" spans="28:28" x14ac:dyDescent="0.2">
      <c r="AB892" s="660" t="str">
        <f>IFERROR(VALUE(RIGHT(AA892,LEN(AA892)-MIN(FIND({0;1;2;3;4;5;6;7;8;9},AA892&amp;"0123456789"))+1)),"")</f>
        <v/>
      </c>
    </row>
    <row r="893" spans="28:28" x14ac:dyDescent="0.2">
      <c r="AB893" s="660" t="str">
        <f>IFERROR(VALUE(RIGHT(AA893,LEN(AA893)-MIN(FIND({0;1;2;3;4;5;6;7;8;9},AA893&amp;"0123456789"))+1)),"")</f>
        <v/>
      </c>
    </row>
    <row r="894" spans="28:28" x14ac:dyDescent="0.2">
      <c r="AB894" s="660" t="str">
        <f>IFERROR(VALUE(RIGHT(AA894,LEN(AA894)-MIN(FIND({0;1;2;3;4;5;6;7;8;9},AA894&amp;"0123456789"))+1)),"")</f>
        <v/>
      </c>
    </row>
    <row r="895" spans="28:28" x14ac:dyDescent="0.2">
      <c r="AB895" s="660" t="str">
        <f>IFERROR(VALUE(RIGHT(AA895,LEN(AA895)-MIN(FIND({0;1;2;3;4;5;6;7;8;9},AA895&amp;"0123456789"))+1)),"")</f>
        <v/>
      </c>
    </row>
    <row r="896" spans="28:28" x14ac:dyDescent="0.2">
      <c r="AB896" s="660" t="str">
        <f>IFERROR(VALUE(RIGHT(AA896,LEN(AA896)-MIN(FIND({0;1;2;3;4;5;6;7;8;9},AA896&amp;"0123456789"))+1)),"")</f>
        <v/>
      </c>
    </row>
    <row r="897" spans="28:28" x14ac:dyDescent="0.2">
      <c r="AB897" s="660" t="str">
        <f>IFERROR(VALUE(RIGHT(AA897,LEN(AA897)-MIN(FIND({0;1;2;3;4;5;6;7;8;9},AA897&amp;"0123456789"))+1)),"")</f>
        <v/>
      </c>
    </row>
    <row r="898" spans="28:28" x14ac:dyDescent="0.2">
      <c r="AB898" s="660" t="str">
        <f>IFERROR(VALUE(RIGHT(AA898,LEN(AA898)-MIN(FIND({0;1;2;3;4;5;6;7;8;9},AA898&amp;"0123456789"))+1)),"")</f>
        <v/>
      </c>
    </row>
    <row r="899" spans="28:28" x14ac:dyDescent="0.2">
      <c r="AB899" s="660" t="str">
        <f>IFERROR(VALUE(RIGHT(AA899,LEN(AA899)-MIN(FIND({0;1;2;3;4;5;6;7;8;9},AA899&amp;"0123456789"))+1)),"")</f>
        <v/>
      </c>
    </row>
    <row r="900" spans="28:28" x14ac:dyDescent="0.2">
      <c r="AB900" s="660" t="str">
        <f>IFERROR(VALUE(RIGHT(AA900,LEN(AA900)-MIN(FIND({0;1;2;3;4;5;6;7;8;9},AA900&amp;"0123456789"))+1)),"")</f>
        <v/>
      </c>
    </row>
    <row r="901" spans="28:28" x14ac:dyDescent="0.2">
      <c r="AB901" s="660" t="str">
        <f>IFERROR(VALUE(RIGHT(AA901,LEN(AA901)-MIN(FIND({0;1;2;3;4;5;6;7;8;9},AA901&amp;"0123456789"))+1)),"")</f>
        <v/>
      </c>
    </row>
    <row r="902" spans="28:28" x14ac:dyDescent="0.2">
      <c r="AB902" s="660" t="str">
        <f>IFERROR(VALUE(RIGHT(AA902,LEN(AA902)-MIN(FIND({0;1;2;3;4;5;6;7;8;9},AA902&amp;"0123456789"))+1)),"")</f>
        <v/>
      </c>
    </row>
    <row r="903" spans="28:28" x14ac:dyDescent="0.2">
      <c r="AB903" s="660" t="str">
        <f>IFERROR(VALUE(RIGHT(AA903,LEN(AA903)-MIN(FIND({0;1;2;3;4;5;6;7;8;9},AA903&amp;"0123456789"))+1)),"")</f>
        <v/>
      </c>
    </row>
    <row r="904" spans="28:28" x14ac:dyDescent="0.2">
      <c r="AB904" s="660" t="str">
        <f>IFERROR(VALUE(RIGHT(AA904,LEN(AA904)-MIN(FIND({0;1;2;3;4;5;6;7;8;9},AA904&amp;"0123456789"))+1)),"")</f>
        <v/>
      </c>
    </row>
    <row r="905" spans="28:28" x14ac:dyDescent="0.2">
      <c r="AB905" s="660" t="str">
        <f>IFERROR(VALUE(RIGHT(AA905,LEN(AA905)-MIN(FIND({0;1;2;3;4;5;6;7;8;9},AA905&amp;"0123456789"))+1)),"")</f>
        <v/>
      </c>
    </row>
    <row r="906" spans="28:28" x14ac:dyDescent="0.2">
      <c r="AB906" s="660" t="str">
        <f>IFERROR(VALUE(RIGHT(AA906,LEN(AA906)-MIN(FIND({0;1;2;3;4;5;6;7;8;9},AA906&amp;"0123456789"))+1)),"")</f>
        <v/>
      </c>
    </row>
    <row r="907" spans="28:28" x14ac:dyDescent="0.2">
      <c r="AB907" s="660" t="str">
        <f>IFERROR(VALUE(RIGHT(AA907,LEN(AA907)-MIN(FIND({0;1;2;3;4;5;6;7;8;9},AA907&amp;"0123456789"))+1)),"")</f>
        <v/>
      </c>
    </row>
    <row r="908" spans="28:28" x14ac:dyDescent="0.2">
      <c r="AB908" s="660" t="str">
        <f>IFERROR(VALUE(RIGHT(AA908,LEN(AA908)-MIN(FIND({0;1;2;3;4;5;6;7;8;9},AA908&amp;"0123456789"))+1)),"")</f>
        <v/>
      </c>
    </row>
    <row r="909" spans="28:28" x14ac:dyDescent="0.2">
      <c r="AB909" s="660" t="str">
        <f>IFERROR(VALUE(RIGHT(AA909,LEN(AA909)-MIN(FIND({0;1;2;3;4;5;6;7;8;9},AA909&amp;"0123456789"))+1)),"")</f>
        <v/>
      </c>
    </row>
    <row r="910" spans="28:28" x14ac:dyDescent="0.2">
      <c r="AB910" s="660" t="str">
        <f>IFERROR(VALUE(RIGHT(AA910,LEN(AA910)-MIN(FIND({0;1;2;3;4;5;6;7;8;9},AA910&amp;"0123456789"))+1)),"")</f>
        <v/>
      </c>
    </row>
    <row r="911" spans="28:28" x14ac:dyDescent="0.2">
      <c r="AB911" s="660" t="str">
        <f>IFERROR(VALUE(RIGHT(AA911,LEN(AA911)-MIN(FIND({0;1;2;3;4;5;6;7;8;9},AA911&amp;"0123456789"))+1)),"")</f>
        <v/>
      </c>
    </row>
    <row r="912" spans="28:28" x14ac:dyDescent="0.2">
      <c r="AB912" s="660" t="str">
        <f>IFERROR(VALUE(RIGHT(AA912,LEN(AA912)-MIN(FIND({0;1;2;3;4;5;6;7;8;9},AA912&amp;"0123456789"))+1)),"")</f>
        <v/>
      </c>
    </row>
    <row r="913" spans="28:28" x14ac:dyDescent="0.2">
      <c r="AB913" s="660" t="str">
        <f>IFERROR(VALUE(RIGHT(AA913,LEN(AA913)-MIN(FIND({0;1;2;3;4;5;6;7;8;9},AA913&amp;"0123456789"))+1)),"")</f>
        <v/>
      </c>
    </row>
    <row r="914" spans="28:28" x14ac:dyDescent="0.2">
      <c r="AB914" s="660" t="str">
        <f>IFERROR(VALUE(RIGHT(AA914,LEN(AA914)-MIN(FIND({0;1;2;3;4;5;6;7;8;9},AA914&amp;"0123456789"))+1)),"")</f>
        <v/>
      </c>
    </row>
    <row r="915" spans="28:28" x14ac:dyDescent="0.2">
      <c r="AB915" s="660" t="str">
        <f>IFERROR(VALUE(RIGHT(AA915,LEN(AA915)-MIN(FIND({0;1;2;3;4;5;6;7;8;9},AA915&amp;"0123456789"))+1)),"")</f>
        <v/>
      </c>
    </row>
    <row r="916" spans="28:28" x14ac:dyDescent="0.2">
      <c r="AB916" s="660" t="str">
        <f>IFERROR(VALUE(RIGHT(AA916,LEN(AA916)-MIN(FIND({0;1;2;3;4;5;6;7;8;9},AA916&amp;"0123456789"))+1)),"")</f>
        <v/>
      </c>
    </row>
    <row r="917" spans="28:28" x14ac:dyDescent="0.2">
      <c r="AB917" s="660" t="str">
        <f>IFERROR(VALUE(RIGHT(AA917,LEN(AA917)-MIN(FIND({0;1;2;3;4;5;6;7;8;9},AA917&amp;"0123456789"))+1)),"")</f>
        <v/>
      </c>
    </row>
    <row r="918" spans="28:28" x14ac:dyDescent="0.2">
      <c r="AB918" s="660" t="str">
        <f>IFERROR(VALUE(RIGHT(AA918,LEN(AA918)-MIN(FIND({0;1;2;3;4;5;6;7;8;9},AA918&amp;"0123456789"))+1)),"")</f>
        <v/>
      </c>
    </row>
    <row r="919" spans="28:28" x14ac:dyDescent="0.2">
      <c r="AB919" s="660" t="str">
        <f>IFERROR(VALUE(RIGHT(AA919,LEN(AA919)-MIN(FIND({0;1;2;3;4;5;6;7;8;9},AA919&amp;"0123456789"))+1)),"")</f>
        <v/>
      </c>
    </row>
    <row r="920" spans="28:28" x14ac:dyDescent="0.2">
      <c r="AB920" s="660" t="str">
        <f>IFERROR(VALUE(RIGHT(AA920,LEN(AA920)-MIN(FIND({0;1;2;3;4;5;6;7;8;9},AA920&amp;"0123456789"))+1)),"")</f>
        <v/>
      </c>
    </row>
    <row r="921" spans="28:28" x14ac:dyDescent="0.2">
      <c r="AB921" s="660" t="str">
        <f>IFERROR(VALUE(RIGHT(AA921,LEN(AA921)-MIN(FIND({0;1;2;3;4;5;6;7;8;9},AA921&amp;"0123456789"))+1)),"")</f>
        <v/>
      </c>
    </row>
    <row r="922" spans="28:28" x14ac:dyDescent="0.2">
      <c r="AB922" s="660" t="str">
        <f>IFERROR(VALUE(RIGHT(AA922,LEN(AA922)-MIN(FIND({0;1;2;3;4;5;6;7;8;9},AA922&amp;"0123456789"))+1)),"")</f>
        <v/>
      </c>
    </row>
    <row r="923" spans="28:28" x14ac:dyDescent="0.2">
      <c r="AB923" s="660" t="str">
        <f>IFERROR(VALUE(RIGHT(AA923,LEN(AA923)-MIN(FIND({0;1;2;3;4;5;6;7;8;9},AA923&amp;"0123456789"))+1)),"")</f>
        <v/>
      </c>
    </row>
    <row r="924" spans="28:28" x14ac:dyDescent="0.2">
      <c r="AB924" s="660" t="str">
        <f>IFERROR(VALUE(RIGHT(AA924,LEN(AA924)-MIN(FIND({0;1;2;3;4;5;6;7;8;9},AA924&amp;"0123456789"))+1)),"")</f>
        <v/>
      </c>
    </row>
    <row r="925" spans="28:28" x14ac:dyDescent="0.2">
      <c r="AB925" s="660" t="str">
        <f>IFERROR(VALUE(RIGHT(AA925,LEN(AA925)-MIN(FIND({0;1;2;3;4;5;6;7;8;9},AA925&amp;"0123456789"))+1)),"")</f>
        <v/>
      </c>
    </row>
    <row r="926" spans="28:28" x14ac:dyDescent="0.2">
      <c r="AB926" s="660" t="str">
        <f>IFERROR(VALUE(RIGHT(AA926,LEN(AA926)-MIN(FIND({0;1;2;3;4;5;6;7;8;9},AA926&amp;"0123456789"))+1)),"")</f>
        <v/>
      </c>
    </row>
    <row r="927" spans="28:28" x14ac:dyDescent="0.2">
      <c r="AB927" s="660" t="str">
        <f>IFERROR(VALUE(RIGHT(AA927,LEN(AA927)-MIN(FIND({0;1;2;3;4;5;6;7;8;9},AA927&amp;"0123456789"))+1)),"")</f>
        <v/>
      </c>
    </row>
    <row r="928" spans="28:28" x14ac:dyDescent="0.2">
      <c r="AB928" s="660" t="str">
        <f>IFERROR(VALUE(RIGHT(AA928,LEN(AA928)-MIN(FIND({0;1;2;3;4;5;6;7;8;9},AA928&amp;"0123456789"))+1)),"")</f>
        <v/>
      </c>
    </row>
    <row r="929" spans="28:28" x14ac:dyDescent="0.2">
      <c r="AB929" s="660" t="str">
        <f>IFERROR(VALUE(RIGHT(AA929,LEN(AA929)-MIN(FIND({0;1;2;3;4;5;6;7;8;9},AA929&amp;"0123456789"))+1)),"")</f>
        <v/>
      </c>
    </row>
    <row r="930" spans="28:28" x14ac:dyDescent="0.2">
      <c r="AB930" s="660" t="str">
        <f>IFERROR(VALUE(RIGHT(AA930,LEN(AA930)-MIN(FIND({0;1;2;3;4;5;6;7;8;9},AA930&amp;"0123456789"))+1)),"")</f>
        <v/>
      </c>
    </row>
    <row r="931" spans="28:28" x14ac:dyDescent="0.2">
      <c r="AB931" s="660" t="str">
        <f>IFERROR(VALUE(RIGHT(AA931,LEN(AA931)-MIN(FIND({0;1;2;3;4;5;6;7;8;9},AA931&amp;"0123456789"))+1)),"")</f>
        <v/>
      </c>
    </row>
    <row r="932" spans="28:28" x14ac:dyDescent="0.2">
      <c r="AB932" s="660" t="str">
        <f>IFERROR(VALUE(RIGHT(AA932,LEN(AA932)-MIN(FIND({0;1;2;3;4;5;6;7;8;9},AA932&amp;"0123456789"))+1)),"")</f>
        <v/>
      </c>
    </row>
    <row r="933" spans="28:28" x14ac:dyDescent="0.2">
      <c r="AB933" s="660" t="str">
        <f>IFERROR(VALUE(RIGHT(AA933,LEN(AA933)-MIN(FIND({0;1;2;3;4;5;6;7;8;9},AA933&amp;"0123456789"))+1)),"")</f>
        <v/>
      </c>
    </row>
    <row r="934" spans="28:28" x14ac:dyDescent="0.2">
      <c r="AB934" s="660" t="str">
        <f>IFERROR(VALUE(RIGHT(AA934,LEN(AA934)-MIN(FIND({0;1;2;3;4;5;6;7;8;9},AA934&amp;"0123456789"))+1)),"")</f>
        <v/>
      </c>
    </row>
    <row r="935" spans="28:28" x14ac:dyDescent="0.2">
      <c r="AB935" s="660" t="str">
        <f>IFERROR(VALUE(RIGHT(AA935,LEN(AA935)-MIN(FIND({0;1;2;3;4;5;6;7;8;9},AA935&amp;"0123456789"))+1)),"")</f>
        <v/>
      </c>
    </row>
    <row r="936" spans="28:28" x14ac:dyDescent="0.2">
      <c r="AB936" s="660" t="str">
        <f>IFERROR(VALUE(RIGHT(AA936,LEN(AA936)-MIN(FIND({0;1;2;3;4;5;6;7;8;9},AA936&amp;"0123456789"))+1)),"")</f>
        <v/>
      </c>
    </row>
    <row r="937" spans="28:28" x14ac:dyDescent="0.2">
      <c r="AB937" s="660" t="str">
        <f>IFERROR(VALUE(RIGHT(AA937,LEN(AA937)-MIN(FIND({0;1;2;3;4;5;6;7;8;9},AA937&amp;"0123456789"))+1)),"")</f>
        <v/>
      </c>
    </row>
    <row r="938" spans="28:28" x14ac:dyDescent="0.2">
      <c r="AB938" s="660" t="str">
        <f>IFERROR(VALUE(RIGHT(AA938,LEN(AA938)-MIN(FIND({0;1;2;3;4;5;6;7;8;9},AA938&amp;"0123456789"))+1)),"")</f>
        <v/>
      </c>
    </row>
    <row r="939" spans="28:28" x14ac:dyDescent="0.2">
      <c r="AB939" s="660" t="str">
        <f>IFERROR(VALUE(RIGHT(AA939,LEN(AA939)-MIN(FIND({0;1;2;3;4;5;6;7;8;9},AA939&amp;"0123456789"))+1)),"")</f>
        <v/>
      </c>
    </row>
    <row r="940" spans="28:28" x14ac:dyDescent="0.2">
      <c r="AB940" s="660" t="str">
        <f>IFERROR(VALUE(RIGHT(AA940,LEN(AA940)-MIN(FIND({0;1;2;3;4;5;6;7;8;9},AA940&amp;"0123456789"))+1)),"")</f>
        <v/>
      </c>
    </row>
    <row r="941" spans="28:28" x14ac:dyDescent="0.2">
      <c r="AB941" s="660" t="str">
        <f>IFERROR(VALUE(RIGHT(AA941,LEN(AA941)-MIN(FIND({0;1;2;3;4;5;6;7;8;9},AA941&amp;"0123456789"))+1)),"")</f>
        <v/>
      </c>
    </row>
    <row r="942" spans="28:28" x14ac:dyDescent="0.2">
      <c r="AB942" s="660" t="str">
        <f>IFERROR(VALUE(RIGHT(AA942,LEN(AA942)-MIN(FIND({0;1;2;3;4;5;6;7;8;9},AA942&amp;"0123456789"))+1)),"")</f>
        <v/>
      </c>
    </row>
    <row r="943" spans="28:28" x14ac:dyDescent="0.2">
      <c r="AB943" s="660" t="str">
        <f>IFERROR(VALUE(RIGHT(AA943,LEN(AA943)-MIN(FIND({0;1;2;3;4;5;6;7;8;9},AA943&amp;"0123456789"))+1)),"")</f>
        <v/>
      </c>
    </row>
    <row r="944" spans="28:28" x14ac:dyDescent="0.2">
      <c r="AB944" s="660" t="str">
        <f>IFERROR(VALUE(RIGHT(AA944,LEN(AA944)-MIN(FIND({0;1;2;3;4;5;6;7;8;9},AA944&amp;"0123456789"))+1)),"")</f>
        <v/>
      </c>
    </row>
    <row r="945" spans="28:28" x14ac:dyDescent="0.2">
      <c r="AB945" s="660" t="str">
        <f>IFERROR(VALUE(RIGHT(AA945,LEN(AA945)-MIN(FIND({0;1;2;3;4;5;6;7;8;9},AA945&amp;"0123456789"))+1)),"")</f>
        <v/>
      </c>
    </row>
    <row r="946" spans="28:28" x14ac:dyDescent="0.2">
      <c r="AB946" s="660" t="str">
        <f>IFERROR(VALUE(RIGHT(AA946,LEN(AA946)-MIN(FIND({0;1;2;3;4;5;6;7;8;9},AA946&amp;"0123456789"))+1)),"")</f>
        <v/>
      </c>
    </row>
    <row r="947" spans="28:28" x14ac:dyDescent="0.2">
      <c r="AB947" s="660" t="str">
        <f>IFERROR(VALUE(RIGHT(AA947,LEN(AA947)-MIN(FIND({0;1;2;3;4;5;6;7;8;9},AA947&amp;"0123456789"))+1)),"")</f>
        <v/>
      </c>
    </row>
    <row r="948" spans="28:28" x14ac:dyDescent="0.2">
      <c r="AB948" s="660" t="str">
        <f>IFERROR(VALUE(RIGHT(AA948,LEN(AA948)-MIN(FIND({0;1;2;3;4;5;6;7;8;9},AA948&amp;"0123456789"))+1)),"")</f>
        <v/>
      </c>
    </row>
    <row r="949" spans="28:28" x14ac:dyDescent="0.2">
      <c r="AB949" s="660" t="str">
        <f>IFERROR(VALUE(RIGHT(AA949,LEN(AA949)-MIN(FIND({0;1;2;3;4;5;6;7;8;9},AA949&amp;"0123456789"))+1)),"")</f>
        <v/>
      </c>
    </row>
    <row r="950" spans="28:28" x14ac:dyDescent="0.2">
      <c r="AB950" s="660" t="str">
        <f>IFERROR(VALUE(RIGHT(AA950,LEN(AA950)-MIN(FIND({0;1;2;3;4;5;6;7;8;9},AA950&amp;"0123456789"))+1)),"")</f>
        <v/>
      </c>
    </row>
    <row r="951" spans="28:28" x14ac:dyDescent="0.2">
      <c r="AB951" s="660" t="str">
        <f>IFERROR(VALUE(RIGHT(AA951,LEN(AA951)-MIN(FIND({0;1;2;3;4;5;6;7;8;9},AA951&amp;"0123456789"))+1)),"")</f>
        <v/>
      </c>
    </row>
    <row r="952" spans="28:28" x14ac:dyDescent="0.2">
      <c r="AB952" s="660" t="str">
        <f>IFERROR(VALUE(RIGHT(AA952,LEN(AA952)-MIN(FIND({0;1;2;3;4;5;6;7;8;9},AA952&amp;"0123456789"))+1)),"")</f>
        <v/>
      </c>
    </row>
    <row r="953" spans="28:28" x14ac:dyDescent="0.2">
      <c r="AB953" s="660" t="str">
        <f>IFERROR(VALUE(RIGHT(AA953,LEN(AA953)-MIN(FIND({0;1;2;3;4;5;6;7;8;9},AA953&amp;"0123456789"))+1)),"")</f>
        <v/>
      </c>
    </row>
    <row r="954" spans="28:28" x14ac:dyDescent="0.2">
      <c r="AB954" s="660" t="str">
        <f>IFERROR(VALUE(RIGHT(AA954,LEN(AA954)-MIN(FIND({0;1;2;3;4;5;6;7;8;9},AA954&amp;"0123456789"))+1)),"")</f>
        <v/>
      </c>
    </row>
    <row r="955" spans="28:28" x14ac:dyDescent="0.2">
      <c r="AB955" s="660" t="str">
        <f>IFERROR(VALUE(RIGHT(AA955,LEN(AA955)-MIN(FIND({0;1;2;3;4;5;6;7;8;9},AA955&amp;"0123456789"))+1)),"")</f>
        <v/>
      </c>
    </row>
    <row r="956" spans="28:28" x14ac:dyDescent="0.2">
      <c r="AB956" s="660" t="str">
        <f>IFERROR(VALUE(RIGHT(AA956,LEN(AA956)-MIN(FIND({0;1;2;3;4;5;6;7;8;9},AA956&amp;"0123456789"))+1)),"")</f>
        <v/>
      </c>
    </row>
    <row r="957" spans="28:28" x14ac:dyDescent="0.2">
      <c r="AB957" s="660" t="str">
        <f>IFERROR(VALUE(RIGHT(AA957,LEN(AA957)-MIN(FIND({0;1;2;3;4;5;6;7;8;9},AA957&amp;"0123456789"))+1)),"")</f>
        <v/>
      </c>
    </row>
    <row r="958" spans="28:28" x14ac:dyDescent="0.2">
      <c r="AB958" s="660" t="str">
        <f>IFERROR(VALUE(RIGHT(AA958,LEN(AA958)-MIN(FIND({0;1;2;3;4;5;6;7;8;9},AA958&amp;"0123456789"))+1)),"")</f>
        <v/>
      </c>
    </row>
    <row r="959" spans="28:28" x14ac:dyDescent="0.2">
      <c r="AB959" s="660" t="str">
        <f>IFERROR(VALUE(RIGHT(AA959,LEN(AA959)-MIN(FIND({0;1;2;3;4;5;6;7;8;9},AA959&amp;"0123456789"))+1)),"")</f>
        <v/>
      </c>
    </row>
    <row r="960" spans="28:28" x14ac:dyDescent="0.2">
      <c r="AB960" s="660" t="str">
        <f>IFERROR(VALUE(RIGHT(AA960,LEN(AA960)-MIN(FIND({0;1;2;3;4;5;6;7;8;9},AA960&amp;"0123456789"))+1)),"")</f>
        <v/>
      </c>
    </row>
    <row r="961" spans="28:28" x14ac:dyDescent="0.2">
      <c r="AB961" s="660" t="str">
        <f>IFERROR(VALUE(RIGHT(AA961,LEN(AA961)-MIN(FIND({0;1;2;3;4;5;6;7;8;9},AA961&amp;"0123456789"))+1)),"")</f>
        <v/>
      </c>
    </row>
    <row r="962" spans="28:28" x14ac:dyDescent="0.2">
      <c r="AB962" s="660" t="str">
        <f>IFERROR(VALUE(RIGHT(AA962,LEN(AA962)-MIN(FIND({0;1;2;3;4;5;6;7;8;9},AA962&amp;"0123456789"))+1)),"")</f>
        <v/>
      </c>
    </row>
    <row r="963" spans="28:28" x14ac:dyDescent="0.2">
      <c r="AB963" s="660" t="str">
        <f>IFERROR(VALUE(RIGHT(AA963,LEN(AA963)-MIN(FIND({0;1;2;3;4;5;6;7;8;9},AA963&amp;"0123456789"))+1)),"")</f>
        <v/>
      </c>
    </row>
    <row r="964" spans="28:28" x14ac:dyDescent="0.2">
      <c r="AB964" s="660" t="str">
        <f>IFERROR(VALUE(RIGHT(AA964,LEN(AA964)-MIN(FIND({0;1;2;3;4;5;6;7;8;9},AA964&amp;"0123456789"))+1)),"")</f>
        <v/>
      </c>
    </row>
    <row r="965" spans="28:28" x14ac:dyDescent="0.2">
      <c r="AB965" s="660" t="str">
        <f>IFERROR(VALUE(RIGHT(AA965,LEN(AA965)-MIN(FIND({0;1;2;3;4;5;6;7;8;9},AA965&amp;"0123456789"))+1)),"")</f>
        <v/>
      </c>
    </row>
    <row r="966" spans="28:28" x14ac:dyDescent="0.2">
      <c r="AB966" s="660" t="str">
        <f>IFERROR(VALUE(RIGHT(AA966,LEN(AA966)-MIN(FIND({0;1;2;3;4;5;6;7;8;9},AA966&amp;"0123456789"))+1)),"")</f>
        <v/>
      </c>
    </row>
    <row r="967" spans="28:28" x14ac:dyDescent="0.2">
      <c r="AB967" s="660" t="str">
        <f>IFERROR(VALUE(RIGHT(AA967,LEN(AA967)-MIN(FIND({0;1;2;3;4;5;6;7;8;9},AA967&amp;"0123456789"))+1)),"")</f>
        <v/>
      </c>
    </row>
    <row r="968" spans="28:28" x14ac:dyDescent="0.2">
      <c r="AB968" s="660" t="str">
        <f>IFERROR(VALUE(RIGHT(AA968,LEN(AA968)-MIN(FIND({0;1;2;3;4;5;6;7;8;9},AA968&amp;"0123456789"))+1)),"")</f>
        <v/>
      </c>
    </row>
    <row r="969" spans="28:28" x14ac:dyDescent="0.2">
      <c r="AB969" s="660" t="str">
        <f>IFERROR(VALUE(RIGHT(AA969,LEN(AA969)-MIN(FIND({0;1;2;3;4;5;6;7;8;9},AA969&amp;"0123456789"))+1)),"")</f>
        <v/>
      </c>
    </row>
    <row r="970" spans="28:28" x14ac:dyDescent="0.2">
      <c r="AB970" s="660" t="str">
        <f>IFERROR(VALUE(RIGHT(AA970,LEN(AA970)-MIN(FIND({0;1;2;3;4;5;6;7;8;9},AA970&amp;"0123456789"))+1)),"")</f>
        <v/>
      </c>
    </row>
    <row r="971" spans="28:28" x14ac:dyDescent="0.2">
      <c r="AB971" s="660" t="str">
        <f>IFERROR(VALUE(RIGHT(AA971,LEN(AA971)-MIN(FIND({0;1;2;3;4;5;6;7;8;9},AA971&amp;"0123456789"))+1)),"")</f>
        <v/>
      </c>
    </row>
    <row r="972" spans="28:28" x14ac:dyDescent="0.2">
      <c r="AB972" s="660" t="str">
        <f>IFERROR(VALUE(RIGHT(AA972,LEN(AA972)-MIN(FIND({0;1;2;3;4;5;6;7;8;9},AA972&amp;"0123456789"))+1)),"")</f>
        <v/>
      </c>
    </row>
    <row r="973" spans="28:28" x14ac:dyDescent="0.2">
      <c r="AB973" s="660" t="str">
        <f>IFERROR(VALUE(RIGHT(AA973,LEN(AA973)-MIN(FIND({0;1;2;3;4;5;6;7;8;9},AA973&amp;"0123456789"))+1)),"")</f>
        <v/>
      </c>
    </row>
    <row r="974" spans="28:28" x14ac:dyDescent="0.2">
      <c r="AB974" s="660" t="str">
        <f>IFERROR(VALUE(RIGHT(AA974,LEN(AA974)-MIN(FIND({0;1;2;3;4;5;6;7;8;9},AA974&amp;"0123456789"))+1)),"")</f>
        <v/>
      </c>
    </row>
    <row r="975" spans="28:28" x14ac:dyDescent="0.2">
      <c r="AB975" s="660" t="str">
        <f>IFERROR(VALUE(RIGHT(AA975,LEN(AA975)-MIN(FIND({0;1;2;3;4;5;6;7;8;9},AA975&amp;"0123456789"))+1)),"")</f>
        <v/>
      </c>
    </row>
    <row r="976" spans="28:28" x14ac:dyDescent="0.2">
      <c r="AB976" s="660" t="str">
        <f>IFERROR(VALUE(RIGHT(AA976,LEN(AA976)-MIN(FIND({0;1;2;3;4;5;6;7;8;9},AA976&amp;"0123456789"))+1)),"")</f>
        <v/>
      </c>
    </row>
    <row r="977" spans="28:28" x14ac:dyDescent="0.2">
      <c r="AB977" s="660" t="str">
        <f>IFERROR(VALUE(RIGHT(AA977,LEN(AA977)-MIN(FIND({0;1;2;3;4;5;6;7;8;9},AA977&amp;"0123456789"))+1)),"")</f>
        <v/>
      </c>
    </row>
    <row r="978" spans="28:28" x14ac:dyDescent="0.2">
      <c r="AB978" s="660" t="str">
        <f>IFERROR(VALUE(RIGHT(AA978,LEN(AA978)-MIN(FIND({0;1;2;3;4;5;6;7;8;9},AA978&amp;"0123456789"))+1)),"")</f>
        <v/>
      </c>
    </row>
    <row r="979" spans="28:28" x14ac:dyDescent="0.2">
      <c r="AB979" s="660" t="str">
        <f>IFERROR(VALUE(RIGHT(AA979,LEN(AA979)-MIN(FIND({0;1;2;3;4;5;6;7;8;9},AA979&amp;"0123456789"))+1)),"")</f>
        <v/>
      </c>
    </row>
    <row r="980" spans="28:28" x14ac:dyDescent="0.2">
      <c r="AB980" s="660" t="str">
        <f>IFERROR(VALUE(RIGHT(AA980,LEN(AA980)-MIN(FIND({0;1;2;3;4;5;6;7;8;9},AA980&amp;"0123456789"))+1)),"")</f>
        <v/>
      </c>
    </row>
    <row r="981" spans="28:28" x14ac:dyDescent="0.2">
      <c r="AB981" s="660" t="str">
        <f>IFERROR(VALUE(RIGHT(AA981,LEN(AA981)-MIN(FIND({0;1;2;3;4;5;6;7;8;9},AA981&amp;"0123456789"))+1)),"")</f>
        <v/>
      </c>
    </row>
    <row r="982" spans="28:28" x14ac:dyDescent="0.2">
      <c r="AB982" s="660" t="str">
        <f>IFERROR(VALUE(RIGHT(AA982,LEN(AA982)-MIN(FIND({0;1;2;3;4;5;6;7;8;9},AA982&amp;"0123456789"))+1)),"")</f>
        <v/>
      </c>
    </row>
    <row r="983" spans="28:28" x14ac:dyDescent="0.2">
      <c r="AB983" s="660" t="str">
        <f>IFERROR(VALUE(RIGHT(AA983,LEN(AA983)-MIN(FIND({0;1;2;3;4;5;6;7;8;9},AA983&amp;"0123456789"))+1)),"")</f>
        <v/>
      </c>
    </row>
    <row r="984" spans="28:28" x14ac:dyDescent="0.2">
      <c r="AB984" s="660" t="str">
        <f>IFERROR(VALUE(RIGHT(AA984,LEN(AA984)-MIN(FIND({0;1;2;3;4;5;6;7;8;9},AA984&amp;"0123456789"))+1)),"")</f>
        <v/>
      </c>
    </row>
    <row r="985" spans="28:28" x14ac:dyDescent="0.2">
      <c r="AB985" s="660" t="str">
        <f>IFERROR(VALUE(RIGHT(AA985,LEN(AA985)-MIN(FIND({0;1;2;3;4;5;6;7;8;9},AA985&amp;"0123456789"))+1)),"")</f>
        <v/>
      </c>
    </row>
    <row r="986" spans="28:28" x14ac:dyDescent="0.2">
      <c r="AB986" s="660" t="str">
        <f>IFERROR(VALUE(RIGHT(AA986,LEN(AA986)-MIN(FIND({0;1;2;3;4;5;6;7;8;9},AA986&amp;"0123456789"))+1)),"")</f>
        <v/>
      </c>
    </row>
    <row r="987" spans="28:28" x14ac:dyDescent="0.2">
      <c r="AB987" s="660" t="str">
        <f>IFERROR(VALUE(RIGHT(AA987,LEN(AA987)-MIN(FIND({0;1;2;3;4;5;6;7;8;9},AA987&amp;"0123456789"))+1)),"")</f>
        <v/>
      </c>
    </row>
    <row r="988" spans="28:28" x14ac:dyDescent="0.2">
      <c r="AB988" s="660" t="str">
        <f>IFERROR(VALUE(RIGHT(AA988,LEN(AA988)-MIN(FIND({0;1;2;3;4;5;6;7;8;9},AA988&amp;"0123456789"))+1)),"")</f>
        <v/>
      </c>
    </row>
    <row r="989" spans="28:28" x14ac:dyDescent="0.2">
      <c r="AB989" s="660" t="str">
        <f>IFERROR(VALUE(RIGHT(AA989,LEN(AA989)-MIN(FIND({0;1;2;3;4;5;6;7;8;9},AA989&amp;"0123456789"))+1)),"")</f>
        <v/>
      </c>
    </row>
    <row r="990" spans="28:28" x14ac:dyDescent="0.2">
      <c r="AB990" s="660" t="str">
        <f>IFERROR(VALUE(RIGHT(AA990,LEN(AA990)-MIN(FIND({0;1;2;3;4;5;6;7;8;9},AA990&amp;"0123456789"))+1)),"")</f>
        <v/>
      </c>
    </row>
    <row r="991" spans="28:28" x14ac:dyDescent="0.2">
      <c r="AB991" s="660" t="str">
        <f>IFERROR(VALUE(RIGHT(AA991,LEN(AA991)-MIN(FIND({0;1;2;3;4;5;6;7;8;9},AA991&amp;"0123456789"))+1)),"")</f>
        <v/>
      </c>
    </row>
    <row r="992" spans="28:28" x14ac:dyDescent="0.2">
      <c r="AB992" s="660" t="str">
        <f>IFERROR(VALUE(RIGHT(AA992,LEN(AA992)-MIN(FIND({0;1;2;3;4;5;6;7;8;9},AA992&amp;"0123456789"))+1)),"")</f>
        <v/>
      </c>
    </row>
    <row r="993" spans="28:28" x14ac:dyDescent="0.2">
      <c r="AB993" s="660" t="str">
        <f>IFERROR(VALUE(RIGHT(AA993,LEN(AA993)-MIN(FIND({0;1;2;3;4;5;6;7;8;9},AA993&amp;"0123456789"))+1)),"")</f>
        <v/>
      </c>
    </row>
    <row r="994" spans="28:28" x14ac:dyDescent="0.2">
      <c r="AB994" s="660" t="str">
        <f>IFERROR(VALUE(RIGHT(AA994,LEN(AA994)-MIN(FIND({0;1;2;3;4;5;6;7;8;9},AA994&amp;"0123456789"))+1)),"")</f>
        <v/>
      </c>
    </row>
    <row r="995" spans="28:28" x14ac:dyDescent="0.2">
      <c r="AB995" s="660" t="str">
        <f>IFERROR(VALUE(RIGHT(AA995,LEN(AA995)-MIN(FIND({0;1;2;3;4;5;6;7;8;9},AA995&amp;"0123456789"))+1)),"")</f>
        <v/>
      </c>
    </row>
    <row r="996" spans="28:28" x14ac:dyDescent="0.2">
      <c r="AB996" s="660" t="str">
        <f>IFERROR(VALUE(RIGHT(AA996,LEN(AA996)-MIN(FIND({0;1;2;3;4;5;6;7;8;9},AA996&amp;"0123456789"))+1)),"")</f>
        <v/>
      </c>
    </row>
    <row r="997" spans="28:28" x14ac:dyDescent="0.2">
      <c r="AB997" s="660" t="str">
        <f>IFERROR(VALUE(RIGHT(AA997,LEN(AA997)-MIN(FIND({0;1;2;3;4;5;6;7;8;9},AA997&amp;"0123456789"))+1)),"")</f>
        <v/>
      </c>
    </row>
    <row r="998" spans="28:28" x14ac:dyDescent="0.2">
      <c r="AB998" s="660" t="str">
        <f>IFERROR(VALUE(RIGHT(AA998,LEN(AA998)-MIN(FIND({0;1;2;3;4;5;6;7;8;9},AA998&amp;"0123456789"))+1)),"")</f>
        <v/>
      </c>
    </row>
    <row r="999" spans="28:28" x14ac:dyDescent="0.2">
      <c r="AB999" s="660" t="str">
        <f>IFERROR(VALUE(RIGHT(AA999,LEN(AA999)-MIN(FIND({0;1;2;3;4;5;6;7;8;9},AA999&amp;"0123456789"))+1)),"")</f>
        <v/>
      </c>
    </row>
    <row r="1000" spans="28:28" x14ac:dyDescent="0.2">
      <c r="AB1000" s="660" t="str">
        <f>IFERROR(VALUE(RIGHT(AA1000,LEN(AA1000)-MIN(FIND({0;1;2;3;4;5;6;7;8;9},AA1000&amp;"0123456789"))+1)),"")</f>
        <v/>
      </c>
    </row>
    <row r="1001" spans="28:28" x14ac:dyDescent="0.2">
      <c r="AB1001" s="660" t="str">
        <f>IFERROR(VALUE(RIGHT(AA1001,LEN(AA1001)-MIN(FIND({0;1;2;3;4;5;6;7;8;9},AA1001&amp;"0123456789"))+1)),"")</f>
        <v/>
      </c>
    </row>
    <row r="1002" spans="28:28" x14ac:dyDescent="0.2">
      <c r="AB1002" s="660" t="str">
        <f>IFERROR(VALUE(RIGHT(AA1002,LEN(AA1002)-MIN(FIND({0;1;2;3;4;5;6;7;8;9},AA1002&amp;"0123456789"))+1)),"")</f>
        <v/>
      </c>
    </row>
    <row r="1003" spans="28:28" x14ac:dyDescent="0.2">
      <c r="AB1003" s="660" t="str">
        <f>IFERROR(VALUE(RIGHT(AA1003,LEN(AA1003)-MIN(FIND({0;1;2;3;4;5;6;7;8;9},AA1003&amp;"0123456789"))+1)),"")</f>
        <v/>
      </c>
    </row>
    <row r="1004" spans="28:28" x14ac:dyDescent="0.2">
      <c r="AB1004" s="660" t="str">
        <f>IFERROR(VALUE(RIGHT(AA1004,LEN(AA1004)-MIN(FIND({0;1;2;3;4;5;6;7;8;9},AA1004&amp;"0123456789"))+1)),"")</f>
        <v/>
      </c>
    </row>
    <row r="1005" spans="28:28" x14ac:dyDescent="0.2">
      <c r="AB1005" s="660" t="str">
        <f>IFERROR(VALUE(RIGHT(AA1005,LEN(AA1005)-MIN(FIND({0;1;2;3;4;5;6;7;8;9},AA1005&amp;"0123456789"))+1)),"")</f>
        <v/>
      </c>
    </row>
    <row r="1006" spans="28:28" x14ac:dyDescent="0.2">
      <c r="AB1006" s="660" t="str">
        <f>IFERROR(VALUE(RIGHT(AA1006,LEN(AA1006)-MIN(FIND({0;1;2;3;4;5;6;7;8;9},AA1006&amp;"0123456789"))+1)),"")</f>
        <v/>
      </c>
    </row>
    <row r="1007" spans="28:28" x14ac:dyDescent="0.2">
      <c r="AB1007" s="660" t="str">
        <f>IFERROR(VALUE(RIGHT(AA1007,LEN(AA1007)-MIN(FIND({0;1;2;3;4;5;6;7;8;9},AA1007&amp;"0123456789"))+1)),"")</f>
        <v/>
      </c>
    </row>
    <row r="1008" spans="28:28" x14ac:dyDescent="0.2">
      <c r="AB1008" s="660" t="str">
        <f>IFERROR(VALUE(RIGHT(AA1008,LEN(AA1008)-MIN(FIND({0;1;2;3;4;5;6;7;8;9},AA1008&amp;"0123456789"))+1)),"")</f>
        <v/>
      </c>
    </row>
    <row r="1009" spans="28:28" x14ac:dyDescent="0.2">
      <c r="AB1009" s="660" t="str">
        <f>IFERROR(VALUE(RIGHT(AA1009,LEN(AA1009)-MIN(FIND({0;1;2;3;4;5;6;7;8;9},AA1009&amp;"0123456789"))+1)),"")</f>
        <v/>
      </c>
    </row>
    <row r="1010" spans="28:28" x14ac:dyDescent="0.2">
      <c r="AB1010" s="660" t="str">
        <f>IFERROR(VALUE(RIGHT(AA1010,LEN(AA1010)-MIN(FIND({0;1;2;3;4;5;6;7;8;9},AA1010&amp;"0123456789"))+1)),"")</f>
        <v/>
      </c>
    </row>
    <row r="1011" spans="28:28" x14ac:dyDescent="0.2">
      <c r="AB1011" s="660" t="str">
        <f>IFERROR(VALUE(RIGHT(AA1011,LEN(AA1011)-MIN(FIND({0;1;2;3;4;5;6;7;8;9},AA1011&amp;"0123456789"))+1)),"")</f>
        <v/>
      </c>
    </row>
    <row r="1012" spans="28:28" x14ac:dyDescent="0.2">
      <c r="AB1012" s="660" t="str">
        <f>IFERROR(VALUE(RIGHT(AA1012,LEN(AA1012)-MIN(FIND({0;1;2;3;4;5;6;7;8;9},AA1012&amp;"0123456789"))+1)),"")</f>
        <v/>
      </c>
    </row>
    <row r="1013" spans="28:28" x14ac:dyDescent="0.2">
      <c r="AB1013" s="660" t="str">
        <f>IFERROR(VALUE(RIGHT(AA1013,LEN(AA1013)-MIN(FIND({0;1;2;3;4;5;6;7;8;9},AA1013&amp;"0123456789"))+1)),"")</f>
        <v/>
      </c>
    </row>
    <row r="1014" spans="28:28" x14ac:dyDescent="0.2">
      <c r="AB1014" s="660" t="str">
        <f>IFERROR(VALUE(RIGHT(AA1014,LEN(AA1014)-MIN(FIND({0;1;2;3;4;5;6;7;8;9},AA1014&amp;"0123456789"))+1)),"")</f>
        <v/>
      </c>
    </row>
    <row r="1015" spans="28:28" x14ac:dyDescent="0.2">
      <c r="AB1015" s="660" t="str">
        <f>IFERROR(VALUE(RIGHT(AA1015,LEN(AA1015)-MIN(FIND({0;1;2;3;4;5;6;7;8;9},AA1015&amp;"0123456789"))+1)),"")</f>
        <v/>
      </c>
    </row>
    <row r="1016" spans="28:28" x14ac:dyDescent="0.2">
      <c r="AB1016" s="660" t="str">
        <f>IFERROR(VALUE(RIGHT(AA1016,LEN(AA1016)-MIN(FIND({0;1;2;3;4;5;6;7;8;9},AA1016&amp;"0123456789"))+1)),"")</f>
        <v/>
      </c>
    </row>
    <row r="1017" spans="28:28" x14ac:dyDescent="0.2">
      <c r="AB1017" s="660" t="str">
        <f>IFERROR(VALUE(RIGHT(AA1017,LEN(AA1017)-MIN(FIND({0;1;2;3;4;5;6;7;8;9},AA1017&amp;"0123456789"))+1)),"")</f>
        <v/>
      </c>
    </row>
    <row r="1018" spans="28:28" x14ac:dyDescent="0.2">
      <c r="AB1018" s="660" t="str">
        <f>IFERROR(VALUE(RIGHT(AA1018,LEN(AA1018)-MIN(FIND({0;1;2;3;4;5;6;7;8;9},AA1018&amp;"0123456789"))+1)),"")</f>
        <v/>
      </c>
    </row>
    <row r="1019" spans="28:28" x14ac:dyDescent="0.2">
      <c r="AB1019" s="660" t="str">
        <f>IFERROR(VALUE(RIGHT(AA1019,LEN(AA1019)-MIN(FIND({0;1;2;3;4;5;6;7;8;9},AA1019&amp;"0123456789"))+1)),"")</f>
        <v/>
      </c>
    </row>
    <row r="1020" spans="28:28" x14ac:dyDescent="0.2">
      <c r="AB1020" s="660" t="str">
        <f>IFERROR(VALUE(RIGHT(AA1020,LEN(AA1020)-MIN(FIND({0;1;2;3;4;5;6;7;8;9},AA1020&amp;"0123456789"))+1)),"")</f>
        <v/>
      </c>
    </row>
    <row r="1021" spans="28:28" x14ac:dyDescent="0.2">
      <c r="AB1021" s="660" t="str">
        <f>IFERROR(VALUE(RIGHT(AA1021,LEN(AA1021)-MIN(FIND({0;1;2;3;4;5;6;7;8;9},AA1021&amp;"0123456789"))+1)),"")</f>
        <v/>
      </c>
    </row>
    <row r="1022" spans="28:28" x14ac:dyDescent="0.2">
      <c r="AB1022" s="660" t="str">
        <f>IFERROR(VALUE(RIGHT(AA1022,LEN(AA1022)-MIN(FIND({0;1;2;3;4;5;6;7;8;9},AA1022&amp;"0123456789"))+1)),"")</f>
        <v/>
      </c>
    </row>
    <row r="1023" spans="28:28" x14ac:dyDescent="0.2">
      <c r="AB1023" s="660" t="str">
        <f>IFERROR(VALUE(RIGHT(AA1023,LEN(AA1023)-MIN(FIND({0;1;2;3;4;5;6;7;8;9},AA1023&amp;"0123456789"))+1)),"")</f>
        <v/>
      </c>
    </row>
    <row r="1024" spans="28:28" x14ac:dyDescent="0.2">
      <c r="AB1024" s="660" t="str">
        <f>IFERROR(VALUE(RIGHT(AA1024,LEN(AA1024)-MIN(FIND({0;1;2;3;4;5;6;7;8;9},AA1024&amp;"0123456789"))+1)),"")</f>
        <v/>
      </c>
    </row>
    <row r="1025" spans="28:28" x14ac:dyDescent="0.2">
      <c r="AB1025" s="660" t="str">
        <f>IFERROR(VALUE(RIGHT(AA1025,LEN(AA1025)-MIN(FIND({0;1;2;3;4;5;6;7;8;9},AA1025&amp;"0123456789"))+1)),"")</f>
        <v/>
      </c>
    </row>
    <row r="1026" spans="28:28" x14ac:dyDescent="0.2">
      <c r="AB1026" s="660" t="str">
        <f>IFERROR(VALUE(RIGHT(AA1026,LEN(AA1026)-MIN(FIND({0;1;2;3;4;5;6;7;8;9},AA1026&amp;"0123456789"))+1)),"")</f>
        <v/>
      </c>
    </row>
    <row r="1027" spans="28:28" x14ac:dyDescent="0.2">
      <c r="AB1027" s="660" t="str">
        <f>IFERROR(VALUE(RIGHT(AA1027,LEN(AA1027)-MIN(FIND({0;1;2;3;4;5;6;7;8;9},AA1027&amp;"0123456789"))+1)),"")</f>
        <v/>
      </c>
    </row>
    <row r="1028" spans="28:28" x14ac:dyDescent="0.2">
      <c r="AB1028" s="660" t="str">
        <f>IFERROR(VALUE(RIGHT(AA1028,LEN(AA1028)-MIN(FIND({0;1;2;3;4;5;6;7;8;9},AA1028&amp;"0123456789"))+1)),"")</f>
        <v/>
      </c>
    </row>
    <row r="1029" spans="28:28" x14ac:dyDescent="0.2">
      <c r="AB1029" s="660" t="str">
        <f>IFERROR(VALUE(RIGHT(AA1029,LEN(AA1029)-MIN(FIND({0;1;2;3;4;5;6;7;8;9},AA1029&amp;"0123456789"))+1)),"")</f>
        <v/>
      </c>
    </row>
    <row r="1030" spans="28:28" x14ac:dyDescent="0.2">
      <c r="AB1030" s="660" t="str">
        <f>IFERROR(VALUE(RIGHT(AA1030,LEN(AA1030)-MIN(FIND({0;1;2;3;4;5;6;7;8;9},AA1030&amp;"0123456789"))+1)),"")</f>
        <v/>
      </c>
    </row>
    <row r="1031" spans="28:28" x14ac:dyDescent="0.2">
      <c r="AB1031" s="660" t="str">
        <f>IFERROR(VALUE(RIGHT(AA1031,LEN(AA1031)-MIN(FIND({0;1;2;3;4;5;6;7;8;9},AA1031&amp;"0123456789"))+1)),"")</f>
        <v/>
      </c>
    </row>
    <row r="1032" spans="28:28" x14ac:dyDescent="0.2">
      <c r="AB1032" s="660" t="str">
        <f>IFERROR(VALUE(RIGHT(AA1032,LEN(AA1032)-MIN(FIND({0;1;2;3;4;5;6;7;8;9},AA1032&amp;"0123456789"))+1)),"")</f>
        <v/>
      </c>
    </row>
    <row r="1033" spans="28:28" x14ac:dyDescent="0.2">
      <c r="AB1033" s="660" t="str">
        <f>IFERROR(VALUE(RIGHT(AA1033,LEN(AA1033)-MIN(FIND({0;1;2;3;4;5;6;7;8;9},AA1033&amp;"0123456789"))+1)),"")</f>
        <v/>
      </c>
    </row>
    <row r="1034" spans="28:28" x14ac:dyDescent="0.2">
      <c r="AB1034" s="660" t="str">
        <f>IFERROR(VALUE(RIGHT(AA1034,LEN(AA1034)-MIN(FIND({0;1;2;3;4;5;6;7;8;9},AA1034&amp;"0123456789"))+1)),"")</f>
        <v/>
      </c>
    </row>
    <row r="1035" spans="28:28" x14ac:dyDescent="0.2">
      <c r="AB1035" s="660" t="str">
        <f>IFERROR(VALUE(RIGHT(AA1035,LEN(AA1035)-MIN(FIND({0;1;2;3;4;5;6;7;8;9},AA1035&amp;"0123456789"))+1)),"")</f>
        <v/>
      </c>
    </row>
    <row r="1036" spans="28:28" x14ac:dyDescent="0.2">
      <c r="AB1036" s="660" t="str">
        <f>IFERROR(VALUE(RIGHT(AA1036,LEN(AA1036)-MIN(FIND({0;1;2;3;4;5;6;7;8;9},AA1036&amp;"0123456789"))+1)),"")</f>
        <v/>
      </c>
    </row>
    <row r="1037" spans="28:28" x14ac:dyDescent="0.2">
      <c r="AB1037" s="660" t="str">
        <f>IFERROR(VALUE(RIGHT(AA1037,LEN(AA1037)-MIN(FIND({0;1;2;3;4;5;6;7;8;9},AA1037&amp;"0123456789"))+1)),"")</f>
        <v/>
      </c>
    </row>
    <row r="1038" spans="28:28" x14ac:dyDescent="0.2">
      <c r="AB1038" s="660" t="str">
        <f>IFERROR(VALUE(RIGHT(AA1038,LEN(AA1038)-MIN(FIND({0;1;2;3;4;5;6;7;8;9},AA1038&amp;"0123456789"))+1)),"")</f>
        <v/>
      </c>
    </row>
    <row r="1039" spans="28:28" x14ac:dyDescent="0.2">
      <c r="AB1039" s="660" t="str">
        <f>IFERROR(VALUE(RIGHT(AA1039,LEN(AA1039)-MIN(FIND({0;1;2;3;4;5;6;7;8;9},AA1039&amp;"0123456789"))+1)),"")</f>
        <v/>
      </c>
    </row>
    <row r="1040" spans="28:28" x14ac:dyDescent="0.2">
      <c r="AB1040" s="660" t="str">
        <f>IFERROR(VALUE(RIGHT(AA1040,LEN(AA1040)-MIN(FIND({0;1;2;3;4;5;6;7;8;9},AA1040&amp;"0123456789"))+1)),"")</f>
        <v/>
      </c>
    </row>
    <row r="1041" spans="28:28" x14ac:dyDescent="0.2">
      <c r="AB1041" s="660" t="str">
        <f>IFERROR(VALUE(RIGHT(AA1041,LEN(AA1041)-MIN(FIND({0;1;2;3;4;5;6;7;8;9},AA1041&amp;"0123456789"))+1)),"")</f>
        <v/>
      </c>
    </row>
    <row r="1042" spans="28:28" x14ac:dyDescent="0.2">
      <c r="AB1042" s="660" t="str">
        <f>IFERROR(VALUE(RIGHT(AA1042,LEN(AA1042)-MIN(FIND({0;1;2;3;4;5;6;7;8;9},AA1042&amp;"0123456789"))+1)),"")</f>
        <v/>
      </c>
    </row>
    <row r="1043" spans="28:28" x14ac:dyDescent="0.2">
      <c r="AB1043" s="660" t="str">
        <f>IFERROR(VALUE(RIGHT(AA1043,LEN(AA1043)-MIN(FIND({0;1;2;3;4;5;6;7;8;9},AA1043&amp;"0123456789"))+1)),"")</f>
        <v/>
      </c>
    </row>
    <row r="1044" spans="28:28" x14ac:dyDescent="0.2">
      <c r="AB1044" s="660" t="str">
        <f>IFERROR(VALUE(RIGHT(AA1044,LEN(AA1044)-MIN(FIND({0;1;2;3;4;5;6;7;8;9},AA1044&amp;"0123456789"))+1)),"")</f>
        <v/>
      </c>
    </row>
    <row r="1045" spans="28:28" x14ac:dyDescent="0.2">
      <c r="AB1045" s="660" t="str">
        <f>IFERROR(VALUE(RIGHT(AA1045,LEN(AA1045)-MIN(FIND({0;1;2;3;4;5;6;7;8;9},AA1045&amp;"0123456789"))+1)),"")</f>
        <v/>
      </c>
    </row>
    <row r="1046" spans="28:28" x14ac:dyDescent="0.2">
      <c r="AB1046" s="660" t="str">
        <f>IFERROR(VALUE(RIGHT(AA1046,LEN(AA1046)-MIN(FIND({0;1;2;3;4;5;6;7;8;9},AA1046&amp;"0123456789"))+1)),"")</f>
        <v/>
      </c>
    </row>
    <row r="1047" spans="28:28" x14ac:dyDescent="0.2">
      <c r="AB1047" s="660" t="str">
        <f>IFERROR(VALUE(RIGHT(AA1047,LEN(AA1047)-MIN(FIND({0;1;2;3;4;5;6;7;8;9},AA1047&amp;"0123456789"))+1)),"")</f>
        <v/>
      </c>
    </row>
    <row r="1048" spans="28:28" x14ac:dyDescent="0.2">
      <c r="AB1048" s="660" t="str">
        <f>IFERROR(VALUE(RIGHT(AA1048,LEN(AA1048)-MIN(FIND({0;1;2;3;4;5;6;7;8;9},AA1048&amp;"0123456789"))+1)),"")</f>
        <v/>
      </c>
    </row>
    <row r="1049" spans="28:28" x14ac:dyDescent="0.2">
      <c r="AB1049" s="660" t="str">
        <f>IFERROR(VALUE(RIGHT(AA1049,LEN(AA1049)-MIN(FIND({0;1;2;3;4;5;6;7;8;9},AA1049&amp;"0123456789"))+1)),"")</f>
        <v/>
      </c>
    </row>
    <row r="1050" spans="28:28" x14ac:dyDescent="0.2">
      <c r="AB1050" s="660" t="str">
        <f>IFERROR(VALUE(RIGHT(AA1050,LEN(AA1050)-MIN(FIND({0;1;2;3;4;5;6;7;8;9},AA1050&amp;"0123456789"))+1)),"")</f>
        <v/>
      </c>
    </row>
    <row r="1051" spans="28:28" x14ac:dyDescent="0.2">
      <c r="AB1051" s="660" t="str">
        <f>IFERROR(VALUE(RIGHT(AA1051,LEN(AA1051)-MIN(FIND({0;1;2;3;4;5;6;7;8;9},AA1051&amp;"0123456789"))+1)),"")</f>
        <v/>
      </c>
    </row>
    <row r="1052" spans="28:28" x14ac:dyDescent="0.2">
      <c r="AB1052" s="660" t="str">
        <f>IFERROR(VALUE(RIGHT(AA1052,LEN(AA1052)-MIN(FIND({0;1;2;3;4;5;6;7;8;9},AA1052&amp;"0123456789"))+1)),"")</f>
        <v/>
      </c>
    </row>
    <row r="1053" spans="28:28" x14ac:dyDescent="0.2">
      <c r="AB1053" s="660" t="str">
        <f>IFERROR(VALUE(RIGHT(AA1053,LEN(AA1053)-MIN(FIND({0;1;2;3;4;5;6;7;8;9},AA1053&amp;"0123456789"))+1)),"")</f>
        <v/>
      </c>
    </row>
    <row r="1054" spans="28:28" x14ac:dyDescent="0.2">
      <c r="AB1054" s="660" t="str">
        <f>IFERROR(VALUE(RIGHT(AA1054,LEN(AA1054)-MIN(FIND({0;1;2;3;4;5;6;7;8;9},AA1054&amp;"0123456789"))+1)),"")</f>
        <v/>
      </c>
    </row>
    <row r="1055" spans="28:28" x14ac:dyDescent="0.2">
      <c r="AB1055" s="660" t="str">
        <f>IFERROR(VALUE(RIGHT(AA1055,LEN(AA1055)-MIN(FIND({0;1;2;3;4;5;6;7;8;9},AA1055&amp;"0123456789"))+1)),"")</f>
        <v/>
      </c>
    </row>
    <row r="1056" spans="28:28" x14ac:dyDescent="0.2">
      <c r="AB1056" s="660" t="str">
        <f>IFERROR(VALUE(RIGHT(AA1056,LEN(AA1056)-MIN(FIND({0;1;2;3;4;5;6;7;8;9},AA1056&amp;"0123456789"))+1)),"")</f>
        <v/>
      </c>
    </row>
    <row r="1057" spans="28:28" x14ac:dyDescent="0.2">
      <c r="AB1057" s="660" t="str">
        <f>IFERROR(VALUE(RIGHT(AA1057,LEN(AA1057)-MIN(FIND({0;1;2;3;4;5;6;7;8;9},AA1057&amp;"0123456789"))+1)),"")</f>
        <v/>
      </c>
    </row>
    <row r="1058" spans="28:28" x14ac:dyDescent="0.2">
      <c r="AB1058" s="660" t="str">
        <f>IFERROR(VALUE(RIGHT(AA1058,LEN(AA1058)-MIN(FIND({0;1;2;3;4;5;6;7;8;9},AA1058&amp;"0123456789"))+1)),"")</f>
        <v/>
      </c>
    </row>
    <row r="1059" spans="28:28" x14ac:dyDescent="0.2">
      <c r="AB1059" s="660" t="str">
        <f>IFERROR(VALUE(RIGHT(AA1059,LEN(AA1059)-MIN(FIND({0;1;2;3;4;5;6;7;8;9},AA1059&amp;"0123456789"))+1)),"")</f>
        <v/>
      </c>
    </row>
    <row r="1060" spans="28:28" x14ac:dyDescent="0.2">
      <c r="AB1060" s="660" t="str">
        <f>IFERROR(VALUE(RIGHT(AA1060,LEN(AA1060)-MIN(FIND({0;1;2;3;4;5;6;7;8;9},AA1060&amp;"0123456789"))+1)),"")</f>
        <v/>
      </c>
    </row>
    <row r="1061" spans="28:28" x14ac:dyDescent="0.2">
      <c r="AB1061" s="660" t="str">
        <f>IFERROR(VALUE(RIGHT(AA1061,LEN(AA1061)-MIN(FIND({0;1;2;3;4;5;6;7;8;9},AA1061&amp;"0123456789"))+1)),"")</f>
        <v/>
      </c>
    </row>
    <row r="1062" spans="28:28" x14ac:dyDescent="0.2">
      <c r="AB1062" s="660" t="str">
        <f>IFERROR(VALUE(RIGHT(AA1062,LEN(AA1062)-MIN(FIND({0;1;2;3;4;5;6;7;8;9},AA1062&amp;"0123456789"))+1)),"")</f>
        <v/>
      </c>
    </row>
    <row r="1063" spans="28:28" x14ac:dyDescent="0.2">
      <c r="AB1063" s="660" t="str">
        <f>IFERROR(VALUE(RIGHT(AA1063,LEN(AA1063)-MIN(FIND({0;1;2;3;4;5;6;7;8;9},AA1063&amp;"0123456789"))+1)),"")</f>
        <v/>
      </c>
    </row>
    <row r="1064" spans="28:28" x14ac:dyDescent="0.2">
      <c r="AB1064" s="660" t="str">
        <f>IFERROR(VALUE(RIGHT(AA1064,LEN(AA1064)-MIN(FIND({0;1;2;3;4;5;6;7;8;9},AA1064&amp;"0123456789"))+1)),"")</f>
        <v/>
      </c>
    </row>
    <row r="1065" spans="28:28" x14ac:dyDescent="0.2">
      <c r="AB1065" s="660" t="str">
        <f>IFERROR(VALUE(RIGHT(AA1065,LEN(AA1065)-MIN(FIND({0;1;2;3;4;5;6;7;8;9},AA1065&amp;"0123456789"))+1)),"")</f>
        <v/>
      </c>
    </row>
    <row r="1066" spans="28:28" x14ac:dyDescent="0.2">
      <c r="AB1066" s="660" t="str">
        <f>IFERROR(VALUE(RIGHT(AA1066,LEN(AA1066)-MIN(FIND({0;1;2;3;4;5;6;7;8;9},AA1066&amp;"0123456789"))+1)),"")</f>
        <v/>
      </c>
    </row>
    <row r="1067" spans="28:28" x14ac:dyDescent="0.2">
      <c r="AB1067" s="660" t="str">
        <f>IFERROR(VALUE(RIGHT(AA1067,LEN(AA1067)-MIN(FIND({0;1;2;3;4;5;6;7;8;9},AA1067&amp;"0123456789"))+1)),"")</f>
        <v/>
      </c>
    </row>
    <row r="1068" spans="28:28" x14ac:dyDescent="0.2">
      <c r="AB1068" s="660" t="str">
        <f>IFERROR(VALUE(RIGHT(AA1068,LEN(AA1068)-MIN(FIND({0;1;2;3;4;5;6;7;8;9},AA1068&amp;"0123456789"))+1)),"")</f>
        <v/>
      </c>
    </row>
    <row r="1069" spans="28:28" x14ac:dyDescent="0.2">
      <c r="AB1069" s="660" t="str">
        <f>IFERROR(VALUE(RIGHT(AA1069,LEN(AA1069)-MIN(FIND({0;1;2;3;4;5;6;7;8;9},AA1069&amp;"0123456789"))+1)),"")</f>
        <v/>
      </c>
    </row>
    <row r="1070" spans="28:28" x14ac:dyDescent="0.2">
      <c r="AB1070" s="660" t="str">
        <f>IFERROR(VALUE(RIGHT(AA1070,LEN(AA1070)-MIN(FIND({0;1;2;3;4;5;6;7;8;9},AA1070&amp;"0123456789"))+1)),"")</f>
        <v/>
      </c>
    </row>
    <row r="1071" spans="28:28" x14ac:dyDescent="0.2">
      <c r="AB1071" s="660" t="str">
        <f>IFERROR(VALUE(RIGHT(AA1071,LEN(AA1071)-MIN(FIND({0;1;2;3;4;5;6;7;8;9},AA1071&amp;"0123456789"))+1)),"")</f>
        <v/>
      </c>
    </row>
    <row r="1072" spans="28:28" x14ac:dyDescent="0.2">
      <c r="AB1072" s="660" t="str">
        <f>IFERROR(VALUE(RIGHT(AA1072,LEN(AA1072)-MIN(FIND({0;1;2;3;4;5;6;7;8;9},AA1072&amp;"0123456789"))+1)),"")</f>
        <v/>
      </c>
    </row>
    <row r="1073" spans="28:28" x14ac:dyDescent="0.2">
      <c r="AB1073" s="660" t="str">
        <f>IFERROR(VALUE(RIGHT(AA1073,LEN(AA1073)-MIN(FIND({0;1;2;3;4;5;6;7;8;9},AA1073&amp;"0123456789"))+1)),"")</f>
        <v/>
      </c>
    </row>
    <row r="1074" spans="28:28" x14ac:dyDescent="0.2">
      <c r="AB1074" s="660" t="str">
        <f>IFERROR(VALUE(RIGHT(AA1074,LEN(AA1074)-MIN(FIND({0;1;2;3;4;5;6;7;8;9},AA1074&amp;"0123456789"))+1)),"")</f>
        <v/>
      </c>
    </row>
    <row r="1075" spans="28:28" x14ac:dyDescent="0.2">
      <c r="AB1075" s="660" t="str">
        <f>IFERROR(VALUE(RIGHT(AA1075,LEN(AA1075)-MIN(FIND({0;1;2;3;4;5;6;7;8;9},AA1075&amp;"0123456789"))+1)),"")</f>
        <v/>
      </c>
    </row>
    <row r="1076" spans="28:28" x14ac:dyDescent="0.2">
      <c r="AB1076" s="660" t="str">
        <f>IFERROR(VALUE(RIGHT(AA1076,LEN(AA1076)-MIN(FIND({0;1;2;3;4;5;6;7;8;9},AA1076&amp;"0123456789"))+1)),"")</f>
        <v/>
      </c>
    </row>
    <row r="1077" spans="28:28" x14ac:dyDescent="0.2">
      <c r="AB1077" s="660" t="str">
        <f>IFERROR(VALUE(RIGHT(AA1077,LEN(AA1077)-MIN(FIND({0;1;2;3;4;5;6;7;8;9},AA1077&amp;"0123456789"))+1)),"")</f>
        <v/>
      </c>
    </row>
    <row r="1078" spans="28:28" x14ac:dyDescent="0.2">
      <c r="AB1078" s="660" t="str">
        <f>IFERROR(VALUE(RIGHT(AA1078,LEN(AA1078)-MIN(FIND({0;1;2;3;4;5;6;7;8;9},AA1078&amp;"0123456789"))+1)),"")</f>
        <v/>
      </c>
    </row>
    <row r="1079" spans="28:28" x14ac:dyDescent="0.2">
      <c r="AB1079" s="660" t="str">
        <f>IFERROR(VALUE(RIGHT(AA1079,LEN(AA1079)-MIN(FIND({0;1;2;3;4;5;6;7;8;9},AA1079&amp;"0123456789"))+1)),"")</f>
        <v/>
      </c>
    </row>
    <row r="1080" spans="28:28" x14ac:dyDescent="0.2">
      <c r="AB1080" s="660" t="str">
        <f>IFERROR(VALUE(RIGHT(AA1080,LEN(AA1080)-MIN(FIND({0;1;2;3;4;5;6;7;8;9},AA1080&amp;"0123456789"))+1)),"")</f>
        <v/>
      </c>
    </row>
    <row r="1081" spans="28:28" x14ac:dyDescent="0.2">
      <c r="AB1081" s="660" t="str">
        <f>IFERROR(VALUE(RIGHT(AA1081,LEN(AA1081)-MIN(FIND({0;1;2;3;4;5;6;7;8;9},AA1081&amp;"0123456789"))+1)),"")</f>
        <v/>
      </c>
    </row>
    <row r="1082" spans="28:28" x14ac:dyDescent="0.2">
      <c r="AB1082" s="660" t="str">
        <f>IFERROR(VALUE(RIGHT(AA1082,LEN(AA1082)-MIN(FIND({0;1;2;3;4;5;6;7;8;9},AA1082&amp;"0123456789"))+1)),"")</f>
        <v/>
      </c>
    </row>
    <row r="1083" spans="28:28" x14ac:dyDescent="0.2">
      <c r="AB1083" s="660" t="str">
        <f>IFERROR(VALUE(RIGHT(AA1083,LEN(AA1083)-MIN(FIND({0;1;2;3;4;5;6;7;8;9},AA1083&amp;"0123456789"))+1)),"")</f>
        <v/>
      </c>
    </row>
    <row r="1084" spans="28:28" x14ac:dyDescent="0.2">
      <c r="AB1084" s="660" t="str">
        <f>IFERROR(VALUE(RIGHT(AA1084,LEN(AA1084)-MIN(FIND({0;1;2;3;4;5;6;7;8;9},AA1084&amp;"0123456789"))+1)),"")</f>
        <v/>
      </c>
    </row>
    <row r="1085" spans="28:28" x14ac:dyDescent="0.2">
      <c r="AB1085" s="660" t="str">
        <f>IFERROR(VALUE(RIGHT(AA1085,LEN(AA1085)-MIN(FIND({0;1;2;3;4;5;6;7;8;9},AA1085&amp;"0123456789"))+1)),"")</f>
        <v/>
      </c>
    </row>
    <row r="1086" spans="28:28" x14ac:dyDescent="0.2">
      <c r="AB1086" s="660" t="str">
        <f>IFERROR(VALUE(RIGHT(AA1086,LEN(AA1086)-MIN(FIND({0;1;2;3;4;5;6;7;8;9},AA1086&amp;"0123456789"))+1)),"")</f>
        <v/>
      </c>
    </row>
    <row r="1087" spans="28:28" x14ac:dyDescent="0.2">
      <c r="AB1087" s="660" t="str">
        <f>IFERROR(VALUE(RIGHT(AA1087,LEN(AA1087)-MIN(FIND({0;1;2;3;4;5;6;7;8;9},AA1087&amp;"0123456789"))+1)),"")</f>
        <v/>
      </c>
    </row>
    <row r="1088" spans="28:28" x14ac:dyDescent="0.2">
      <c r="AB1088" s="660" t="str">
        <f>IFERROR(VALUE(RIGHT(AA1088,LEN(AA1088)-MIN(FIND({0;1;2;3;4;5;6;7;8;9},AA1088&amp;"0123456789"))+1)),"")</f>
        <v/>
      </c>
    </row>
    <row r="1089" spans="28:28" x14ac:dyDescent="0.2">
      <c r="AB1089" s="660" t="str">
        <f>IFERROR(VALUE(RIGHT(AA1089,LEN(AA1089)-MIN(FIND({0;1;2;3;4;5;6;7;8;9},AA1089&amp;"0123456789"))+1)),"")</f>
        <v/>
      </c>
    </row>
    <row r="1090" spans="28:28" x14ac:dyDescent="0.2">
      <c r="AB1090" s="660" t="str">
        <f>IFERROR(VALUE(RIGHT(AA1090,LEN(AA1090)-MIN(FIND({0;1;2;3;4;5;6;7;8;9},AA1090&amp;"0123456789"))+1)),"")</f>
        <v/>
      </c>
    </row>
    <row r="1091" spans="28:28" x14ac:dyDescent="0.2">
      <c r="AB1091" s="660" t="str">
        <f>IFERROR(VALUE(RIGHT(AA1091,LEN(AA1091)-MIN(FIND({0;1;2;3;4;5;6;7;8;9},AA1091&amp;"0123456789"))+1)),"")</f>
        <v/>
      </c>
    </row>
    <row r="1092" spans="28:28" x14ac:dyDescent="0.2">
      <c r="AB1092" s="660" t="str">
        <f>IFERROR(VALUE(RIGHT(AA1092,LEN(AA1092)-MIN(FIND({0;1;2;3;4;5;6;7;8;9},AA1092&amp;"0123456789"))+1)),"")</f>
        <v/>
      </c>
    </row>
    <row r="1093" spans="28:28" x14ac:dyDescent="0.2">
      <c r="AB1093" s="660" t="str">
        <f>IFERROR(VALUE(RIGHT(AA1093,LEN(AA1093)-MIN(FIND({0;1;2;3;4;5;6;7;8;9},AA1093&amp;"0123456789"))+1)),"")</f>
        <v/>
      </c>
    </row>
    <row r="1094" spans="28:28" x14ac:dyDescent="0.2">
      <c r="AB1094" s="660" t="str">
        <f>IFERROR(VALUE(RIGHT(AA1094,LEN(AA1094)-MIN(FIND({0;1;2;3;4;5;6;7;8;9},AA1094&amp;"0123456789"))+1)),"")</f>
        <v/>
      </c>
    </row>
    <row r="1095" spans="28:28" x14ac:dyDescent="0.2">
      <c r="AB1095" s="660" t="str">
        <f>IFERROR(VALUE(RIGHT(AA1095,LEN(AA1095)-MIN(FIND({0;1;2;3;4;5;6;7;8;9},AA1095&amp;"0123456789"))+1)),"")</f>
        <v/>
      </c>
    </row>
    <row r="1096" spans="28:28" x14ac:dyDescent="0.2">
      <c r="AB1096" s="660" t="str">
        <f>IFERROR(VALUE(RIGHT(AA1096,LEN(AA1096)-MIN(FIND({0;1;2;3;4;5;6;7;8;9},AA1096&amp;"0123456789"))+1)),"")</f>
        <v/>
      </c>
    </row>
    <row r="1097" spans="28:28" x14ac:dyDescent="0.2">
      <c r="AB1097" s="660" t="str">
        <f>IFERROR(VALUE(RIGHT(AA1097,LEN(AA1097)-MIN(FIND({0;1;2;3;4;5;6;7;8;9},AA1097&amp;"0123456789"))+1)),"")</f>
        <v/>
      </c>
    </row>
    <row r="1098" spans="28:28" x14ac:dyDescent="0.2">
      <c r="AB1098" s="660" t="str">
        <f>IFERROR(VALUE(RIGHT(AA1098,LEN(AA1098)-MIN(FIND({0;1;2;3;4;5;6;7;8;9},AA1098&amp;"0123456789"))+1)),"")</f>
        <v/>
      </c>
    </row>
    <row r="1099" spans="28:28" x14ac:dyDescent="0.2">
      <c r="AB1099" s="660" t="str">
        <f>IFERROR(VALUE(RIGHT(AA1099,LEN(AA1099)-MIN(FIND({0;1;2;3;4;5;6;7;8;9},AA1099&amp;"0123456789"))+1)),"")</f>
        <v/>
      </c>
    </row>
    <row r="1100" spans="28:28" x14ac:dyDescent="0.2">
      <c r="AB1100" s="660" t="str">
        <f>IFERROR(VALUE(RIGHT(AA1100,LEN(AA1100)-MIN(FIND({0;1;2;3;4;5;6;7;8;9},AA1100&amp;"0123456789"))+1)),"")</f>
        <v/>
      </c>
    </row>
    <row r="1101" spans="28:28" x14ac:dyDescent="0.2">
      <c r="AB1101" s="660" t="str">
        <f>IFERROR(VALUE(RIGHT(AA1101,LEN(AA1101)-MIN(FIND({0;1;2;3;4;5;6;7;8;9},AA1101&amp;"0123456789"))+1)),"")</f>
        <v/>
      </c>
    </row>
    <row r="1102" spans="28:28" x14ac:dyDescent="0.2">
      <c r="AB1102" s="660" t="str">
        <f>IFERROR(VALUE(RIGHT(AA1102,LEN(AA1102)-MIN(FIND({0;1;2;3;4;5;6;7;8;9},AA1102&amp;"0123456789"))+1)),"")</f>
        <v/>
      </c>
    </row>
    <row r="1103" spans="28:28" x14ac:dyDescent="0.2">
      <c r="AB1103" s="660" t="str">
        <f>IFERROR(VALUE(RIGHT(AA1103,LEN(AA1103)-MIN(FIND({0;1;2;3;4;5;6;7;8;9},AA1103&amp;"0123456789"))+1)),"")</f>
        <v/>
      </c>
    </row>
    <row r="1104" spans="28:28" x14ac:dyDescent="0.2">
      <c r="AB1104" s="660" t="str">
        <f>IFERROR(VALUE(RIGHT(AA1104,LEN(AA1104)-MIN(FIND({0;1;2;3;4;5;6;7;8;9},AA1104&amp;"0123456789"))+1)),"")</f>
        <v/>
      </c>
    </row>
    <row r="1105" spans="28:28" x14ac:dyDescent="0.2">
      <c r="AB1105" s="660" t="str">
        <f>IFERROR(VALUE(RIGHT(AA1105,LEN(AA1105)-MIN(FIND({0;1;2;3;4;5;6;7;8;9},AA1105&amp;"0123456789"))+1)),"")</f>
        <v/>
      </c>
    </row>
    <row r="1106" spans="28:28" x14ac:dyDescent="0.2">
      <c r="AB1106" s="660" t="str">
        <f>IFERROR(VALUE(RIGHT(AA1106,LEN(AA1106)-MIN(FIND({0;1;2;3;4;5;6;7;8;9},AA1106&amp;"0123456789"))+1)),"")</f>
        <v/>
      </c>
    </row>
    <row r="1107" spans="28:28" x14ac:dyDescent="0.2">
      <c r="AB1107" s="660" t="str">
        <f>IFERROR(VALUE(RIGHT(AA1107,LEN(AA1107)-MIN(FIND({0;1;2;3;4;5;6;7;8;9},AA1107&amp;"0123456789"))+1)),"")</f>
        <v/>
      </c>
    </row>
    <row r="1108" spans="28:28" x14ac:dyDescent="0.2">
      <c r="AB1108" s="660" t="str">
        <f>IFERROR(VALUE(RIGHT(AA1108,LEN(AA1108)-MIN(FIND({0;1;2;3;4;5;6;7;8;9},AA1108&amp;"0123456789"))+1)),"")</f>
        <v/>
      </c>
    </row>
    <row r="1109" spans="28:28" x14ac:dyDescent="0.2">
      <c r="AB1109" s="660" t="str">
        <f>IFERROR(VALUE(RIGHT(AA1109,LEN(AA1109)-MIN(FIND({0;1;2;3;4;5;6;7;8;9},AA1109&amp;"0123456789"))+1)),"")</f>
        <v/>
      </c>
    </row>
    <row r="1110" spans="28:28" x14ac:dyDescent="0.2">
      <c r="AB1110" s="660" t="str">
        <f>IFERROR(VALUE(RIGHT(AA1110,LEN(AA1110)-MIN(FIND({0;1;2;3;4;5;6;7;8;9},AA1110&amp;"0123456789"))+1)),"")</f>
        <v/>
      </c>
    </row>
    <row r="1111" spans="28:28" x14ac:dyDescent="0.2">
      <c r="AB1111" s="660" t="str">
        <f>IFERROR(VALUE(RIGHT(AA1111,LEN(AA1111)-MIN(FIND({0;1;2;3;4;5;6;7;8;9},AA1111&amp;"0123456789"))+1)),"")</f>
        <v/>
      </c>
    </row>
    <row r="1112" spans="28:28" x14ac:dyDescent="0.2">
      <c r="AB1112" s="660" t="str">
        <f>IFERROR(VALUE(RIGHT(AA1112,LEN(AA1112)-MIN(FIND({0;1;2;3;4;5;6;7;8;9},AA1112&amp;"0123456789"))+1)),"")</f>
        <v/>
      </c>
    </row>
    <row r="1113" spans="28:28" x14ac:dyDescent="0.2">
      <c r="AB1113" s="660" t="str">
        <f>IFERROR(VALUE(RIGHT(AA1113,LEN(AA1113)-MIN(FIND({0;1;2;3;4;5;6;7;8;9},AA1113&amp;"0123456789"))+1)),"")</f>
        <v/>
      </c>
    </row>
    <row r="1114" spans="28:28" x14ac:dyDescent="0.2">
      <c r="AB1114" s="660" t="str">
        <f>IFERROR(VALUE(RIGHT(AA1114,LEN(AA1114)-MIN(FIND({0;1;2;3;4;5;6;7;8;9},AA1114&amp;"0123456789"))+1)),"")</f>
        <v/>
      </c>
    </row>
    <row r="1115" spans="28:28" x14ac:dyDescent="0.2">
      <c r="AB1115" s="660" t="str">
        <f>IFERROR(VALUE(RIGHT(AA1115,LEN(AA1115)-MIN(FIND({0;1;2;3;4;5;6;7;8;9},AA1115&amp;"0123456789"))+1)),"")</f>
        <v/>
      </c>
    </row>
    <row r="1116" spans="28:28" x14ac:dyDescent="0.2">
      <c r="AB1116" s="660" t="str">
        <f>IFERROR(VALUE(RIGHT(AA1116,LEN(AA1116)-MIN(FIND({0;1;2;3;4;5;6;7;8;9},AA1116&amp;"0123456789"))+1)),"")</f>
        <v/>
      </c>
    </row>
    <row r="1117" spans="28:28" x14ac:dyDescent="0.2">
      <c r="AB1117" s="660" t="str">
        <f>IFERROR(VALUE(RIGHT(AA1117,LEN(AA1117)-MIN(FIND({0;1;2;3;4;5;6;7;8;9},AA1117&amp;"0123456789"))+1)),"")</f>
        <v/>
      </c>
    </row>
    <row r="1118" spans="28:28" x14ac:dyDescent="0.2">
      <c r="AB1118" s="660" t="str">
        <f>IFERROR(VALUE(RIGHT(AA1118,LEN(AA1118)-MIN(FIND({0;1;2;3;4;5;6;7;8;9},AA1118&amp;"0123456789"))+1)),"")</f>
        <v/>
      </c>
    </row>
    <row r="1119" spans="28:28" x14ac:dyDescent="0.2">
      <c r="AB1119" s="660" t="str">
        <f>IFERROR(VALUE(RIGHT(AA1119,LEN(AA1119)-MIN(FIND({0;1;2;3;4;5;6;7;8;9},AA1119&amp;"0123456789"))+1)),"")</f>
        <v/>
      </c>
    </row>
    <row r="1120" spans="28:28" x14ac:dyDescent="0.2">
      <c r="AB1120" s="660" t="str">
        <f>IFERROR(VALUE(RIGHT(AA1120,LEN(AA1120)-MIN(FIND({0;1;2;3;4;5;6;7;8;9},AA1120&amp;"0123456789"))+1)),"")</f>
        <v/>
      </c>
    </row>
    <row r="1121" spans="28:28" x14ac:dyDescent="0.2">
      <c r="AB1121" s="660" t="str">
        <f>IFERROR(VALUE(RIGHT(AA1121,LEN(AA1121)-MIN(FIND({0;1;2;3;4;5;6;7;8;9},AA1121&amp;"0123456789"))+1)),"")</f>
        <v/>
      </c>
    </row>
    <row r="1122" spans="28:28" x14ac:dyDescent="0.2">
      <c r="AB1122" s="660" t="str">
        <f>IFERROR(VALUE(RIGHT(AA1122,LEN(AA1122)-MIN(FIND({0;1;2;3;4;5;6;7;8;9},AA1122&amp;"0123456789"))+1)),"")</f>
        <v/>
      </c>
    </row>
    <row r="1123" spans="28:28" x14ac:dyDescent="0.2">
      <c r="AB1123" s="660" t="str">
        <f>IFERROR(VALUE(RIGHT(AA1123,LEN(AA1123)-MIN(FIND({0;1;2;3;4;5;6;7;8;9},AA1123&amp;"0123456789"))+1)),"")</f>
        <v/>
      </c>
    </row>
    <row r="1124" spans="28:28" x14ac:dyDescent="0.2">
      <c r="AB1124" s="660" t="str">
        <f>IFERROR(VALUE(RIGHT(AA1124,LEN(AA1124)-MIN(FIND({0;1;2;3;4;5;6;7;8;9},AA1124&amp;"0123456789"))+1)),"")</f>
        <v/>
      </c>
    </row>
    <row r="1125" spans="28:28" x14ac:dyDescent="0.2">
      <c r="AB1125" s="660" t="str">
        <f>IFERROR(VALUE(RIGHT(AA1125,LEN(AA1125)-MIN(FIND({0;1;2;3;4;5;6;7;8;9},AA1125&amp;"0123456789"))+1)),"")</f>
        <v/>
      </c>
    </row>
    <row r="1126" spans="28:28" x14ac:dyDescent="0.2">
      <c r="AB1126" s="660" t="str">
        <f>IFERROR(VALUE(RIGHT(AA1126,LEN(AA1126)-MIN(FIND({0;1;2;3;4;5;6;7;8;9},AA1126&amp;"0123456789"))+1)),"")</f>
        <v/>
      </c>
    </row>
    <row r="1127" spans="28:28" x14ac:dyDescent="0.2">
      <c r="AB1127" s="660" t="str">
        <f>IFERROR(VALUE(RIGHT(AA1127,LEN(AA1127)-MIN(FIND({0;1;2;3;4;5;6;7;8;9},AA1127&amp;"0123456789"))+1)),"")</f>
        <v/>
      </c>
    </row>
    <row r="1128" spans="28:28" x14ac:dyDescent="0.2">
      <c r="AB1128" s="660" t="str">
        <f>IFERROR(VALUE(RIGHT(AA1128,LEN(AA1128)-MIN(FIND({0;1;2;3;4;5;6;7;8;9},AA1128&amp;"0123456789"))+1)),"")</f>
        <v/>
      </c>
    </row>
    <row r="1129" spans="28:28" x14ac:dyDescent="0.2">
      <c r="AB1129" s="660" t="str">
        <f>IFERROR(VALUE(RIGHT(AA1129,LEN(AA1129)-MIN(FIND({0;1;2;3;4;5;6;7;8;9},AA1129&amp;"0123456789"))+1)),"")</f>
        <v/>
      </c>
    </row>
    <row r="1130" spans="28:28" x14ac:dyDescent="0.2">
      <c r="AB1130" s="660" t="str">
        <f>IFERROR(VALUE(RIGHT(AA1130,LEN(AA1130)-MIN(FIND({0;1;2;3;4;5;6;7;8;9},AA1130&amp;"0123456789"))+1)),"")</f>
        <v/>
      </c>
    </row>
    <row r="1131" spans="28:28" x14ac:dyDescent="0.2">
      <c r="AB1131" s="660" t="str">
        <f>IFERROR(VALUE(RIGHT(AA1131,LEN(AA1131)-MIN(FIND({0;1;2;3;4;5;6;7;8;9},AA1131&amp;"0123456789"))+1)),"")</f>
        <v/>
      </c>
    </row>
    <row r="1132" spans="28:28" x14ac:dyDescent="0.2">
      <c r="AB1132" s="660" t="str">
        <f>IFERROR(VALUE(RIGHT(AA1132,LEN(AA1132)-MIN(FIND({0;1;2;3;4;5;6;7;8;9},AA1132&amp;"0123456789"))+1)),"")</f>
        <v/>
      </c>
    </row>
    <row r="1133" spans="28:28" x14ac:dyDescent="0.2">
      <c r="AB1133" s="660" t="str">
        <f>IFERROR(VALUE(RIGHT(AA1133,LEN(AA1133)-MIN(FIND({0;1;2;3;4;5;6;7;8;9},AA1133&amp;"0123456789"))+1)),"")</f>
        <v/>
      </c>
    </row>
    <row r="1134" spans="28:28" x14ac:dyDescent="0.2">
      <c r="AB1134" s="660" t="str">
        <f>IFERROR(VALUE(RIGHT(AA1134,LEN(AA1134)-MIN(FIND({0;1;2;3;4;5;6;7;8;9},AA1134&amp;"0123456789"))+1)),"")</f>
        <v/>
      </c>
    </row>
    <row r="1135" spans="28:28" x14ac:dyDescent="0.2">
      <c r="AB1135" s="660" t="str">
        <f>IFERROR(VALUE(RIGHT(AA1135,LEN(AA1135)-MIN(FIND({0;1;2;3;4;5;6;7;8;9},AA1135&amp;"0123456789"))+1)),"")</f>
        <v/>
      </c>
    </row>
    <row r="1136" spans="28:28" x14ac:dyDescent="0.2">
      <c r="AB1136" s="660" t="str">
        <f>IFERROR(VALUE(RIGHT(AA1136,LEN(AA1136)-MIN(FIND({0;1;2;3;4;5;6;7;8;9},AA1136&amp;"0123456789"))+1)),"")</f>
        <v/>
      </c>
    </row>
    <row r="1137" spans="28:28" x14ac:dyDescent="0.2">
      <c r="AB1137" s="660" t="str">
        <f>IFERROR(VALUE(RIGHT(AA1137,LEN(AA1137)-MIN(FIND({0;1;2;3;4;5;6;7;8;9},AA1137&amp;"0123456789"))+1)),"")</f>
        <v/>
      </c>
    </row>
    <row r="1138" spans="28:28" x14ac:dyDescent="0.2">
      <c r="AB1138" s="660" t="str">
        <f>IFERROR(VALUE(RIGHT(AA1138,LEN(AA1138)-MIN(FIND({0;1;2;3;4;5;6;7;8;9},AA1138&amp;"0123456789"))+1)),"")</f>
        <v/>
      </c>
    </row>
    <row r="1139" spans="28:28" x14ac:dyDescent="0.2">
      <c r="AB1139" s="660" t="str">
        <f>IFERROR(VALUE(RIGHT(AA1139,LEN(AA1139)-MIN(FIND({0;1;2;3;4;5;6;7;8;9},AA1139&amp;"0123456789"))+1)),"")</f>
        <v/>
      </c>
    </row>
    <row r="1140" spans="28:28" x14ac:dyDescent="0.2">
      <c r="AB1140" s="660" t="str">
        <f>IFERROR(VALUE(RIGHT(AA1140,LEN(AA1140)-MIN(FIND({0;1;2;3;4;5;6;7;8;9},AA1140&amp;"0123456789"))+1)),"")</f>
        <v/>
      </c>
    </row>
    <row r="1141" spans="28:28" x14ac:dyDescent="0.2">
      <c r="AB1141" s="660" t="str">
        <f>IFERROR(VALUE(RIGHT(AA1141,LEN(AA1141)-MIN(FIND({0;1;2;3;4;5;6;7;8;9},AA1141&amp;"0123456789"))+1)),"")</f>
        <v/>
      </c>
    </row>
    <row r="1142" spans="28:28" x14ac:dyDescent="0.2">
      <c r="AB1142" s="660" t="str">
        <f>IFERROR(VALUE(RIGHT(AA1142,LEN(AA1142)-MIN(FIND({0;1;2;3;4;5;6;7;8;9},AA1142&amp;"0123456789"))+1)),"")</f>
        <v/>
      </c>
    </row>
    <row r="1143" spans="28:28" x14ac:dyDescent="0.2">
      <c r="AB1143" s="660" t="str">
        <f>IFERROR(VALUE(RIGHT(AA1143,LEN(AA1143)-MIN(FIND({0;1;2;3;4;5;6;7;8;9},AA1143&amp;"0123456789"))+1)),"")</f>
        <v/>
      </c>
    </row>
    <row r="1144" spans="28:28" x14ac:dyDescent="0.2">
      <c r="AB1144" s="660" t="str">
        <f>IFERROR(VALUE(RIGHT(AA1144,LEN(AA1144)-MIN(FIND({0;1;2;3;4;5;6;7;8;9},AA1144&amp;"0123456789"))+1)),"")</f>
        <v/>
      </c>
    </row>
    <row r="1145" spans="28:28" x14ac:dyDescent="0.2">
      <c r="AB1145" s="660" t="str">
        <f>IFERROR(VALUE(RIGHT(AA1145,LEN(AA1145)-MIN(FIND({0;1;2;3;4;5;6;7;8;9},AA1145&amp;"0123456789"))+1)),"")</f>
        <v/>
      </c>
    </row>
    <row r="1146" spans="28:28" x14ac:dyDescent="0.2">
      <c r="AB1146" s="660" t="str">
        <f>IFERROR(VALUE(RIGHT(AA1146,LEN(AA1146)-MIN(FIND({0;1;2;3;4;5;6;7;8;9},AA1146&amp;"0123456789"))+1)),"")</f>
        <v/>
      </c>
    </row>
    <row r="1147" spans="28:28" x14ac:dyDescent="0.2">
      <c r="AB1147" s="660" t="str">
        <f>IFERROR(VALUE(RIGHT(AA1147,LEN(AA1147)-MIN(FIND({0;1;2;3;4;5;6;7;8;9},AA1147&amp;"0123456789"))+1)),"")</f>
        <v/>
      </c>
    </row>
    <row r="1148" spans="28:28" x14ac:dyDescent="0.2">
      <c r="AB1148" s="660" t="str">
        <f>IFERROR(VALUE(RIGHT(AA1148,LEN(AA1148)-MIN(FIND({0;1;2;3;4;5;6;7;8;9},AA1148&amp;"0123456789"))+1)),"")</f>
        <v/>
      </c>
    </row>
    <row r="1149" spans="28:28" x14ac:dyDescent="0.2">
      <c r="AB1149" s="660" t="str">
        <f>IFERROR(VALUE(RIGHT(AA1149,LEN(AA1149)-MIN(FIND({0;1;2;3;4;5;6;7;8;9},AA1149&amp;"0123456789"))+1)),"")</f>
        <v/>
      </c>
    </row>
    <row r="1150" spans="28:28" x14ac:dyDescent="0.2">
      <c r="AB1150" s="660" t="str">
        <f>IFERROR(VALUE(RIGHT(AA1150,LEN(AA1150)-MIN(FIND({0;1;2;3;4;5;6;7;8;9},AA1150&amp;"0123456789"))+1)),"")</f>
        <v/>
      </c>
    </row>
    <row r="1151" spans="28:28" x14ac:dyDescent="0.2">
      <c r="AB1151" s="660" t="str">
        <f>IFERROR(VALUE(RIGHT(AA1151,LEN(AA1151)-MIN(FIND({0;1;2;3;4;5;6;7;8;9},AA1151&amp;"0123456789"))+1)),"")</f>
        <v/>
      </c>
    </row>
    <row r="1152" spans="28:28" x14ac:dyDescent="0.2">
      <c r="AB1152" s="660" t="str">
        <f>IFERROR(VALUE(RIGHT(AA1152,LEN(AA1152)-MIN(FIND({0;1;2;3;4;5;6;7;8;9},AA1152&amp;"0123456789"))+1)),"")</f>
        <v/>
      </c>
    </row>
    <row r="1153" spans="28:28" x14ac:dyDescent="0.2">
      <c r="AB1153" s="660" t="str">
        <f>IFERROR(VALUE(RIGHT(AA1153,LEN(AA1153)-MIN(FIND({0;1;2;3;4;5;6;7;8;9},AA1153&amp;"0123456789"))+1)),"")</f>
        <v/>
      </c>
    </row>
    <row r="1154" spans="28:28" x14ac:dyDescent="0.2">
      <c r="AB1154" s="660" t="str">
        <f>IFERROR(VALUE(RIGHT(AA1154,LEN(AA1154)-MIN(FIND({0;1;2;3;4;5;6;7;8;9},AA1154&amp;"0123456789"))+1)),"")</f>
        <v/>
      </c>
    </row>
    <row r="1155" spans="28:28" x14ac:dyDescent="0.2">
      <c r="AB1155" s="660" t="str">
        <f>IFERROR(VALUE(RIGHT(AA1155,LEN(AA1155)-MIN(FIND({0;1;2;3;4;5;6;7;8;9},AA1155&amp;"0123456789"))+1)),"")</f>
        <v/>
      </c>
    </row>
    <row r="1156" spans="28:28" x14ac:dyDescent="0.2">
      <c r="AB1156" s="660" t="str">
        <f>IFERROR(VALUE(RIGHT(AA1156,LEN(AA1156)-MIN(FIND({0;1;2;3;4;5;6;7;8;9},AA1156&amp;"0123456789"))+1)),"")</f>
        <v/>
      </c>
    </row>
    <row r="1157" spans="28:28" x14ac:dyDescent="0.2">
      <c r="AB1157" s="660" t="str">
        <f>IFERROR(VALUE(RIGHT(AA1157,LEN(AA1157)-MIN(FIND({0;1;2;3;4;5;6;7;8;9},AA1157&amp;"0123456789"))+1)),"")</f>
        <v/>
      </c>
    </row>
    <row r="1158" spans="28:28" x14ac:dyDescent="0.2">
      <c r="AB1158" s="660" t="str">
        <f>IFERROR(VALUE(RIGHT(AA1158,LEN(AA1158)-MIN(FIND({0;1;2;3;4;5;6;7;8;9},AA1158&amp;"0123456789"))+1)),"")</f>
        <v/>
      </c>
    </row>
    <row r="1159" spans="28:28" x14ac:dyDescent="0.2">
      <c r="AB1159" s="660" t="str">
        <f>IFERROR(VALUE(RIGHT(AA1159,LEN(AA1159)-MIN(FIND({0;1;2;3;4;5;6;7;8;9},AA1159&amp;"0123456789"))+1)),"")</f>
        <v/>
      </c>
    </row>
    <row r="1160" spans="28:28" x14ac:dyDescent="0.2">
      <c r="AB1160" s="660" t="str">
        <f>IFERROR(VALUE(RIGHT(AA1160,LEN(AA1160)-MIN(FIND({0;1;2;3;4;5;6;7;8;9},AA1160&amp;"0123456789"))+1)),"")</f>
        <v/>
      </c>
    </row>
    <row r="1161" spans="28:28" x14ac:dyDescent="0.2">
      <c r="AB1161" s="660" t="str">
        <f>IFERROR(VALUE(RIGHT(AA1161,LEN(AA1161)-MIN(FIND({0;1;2;3;4;5;6;7;8;9},AA1161&amp;"0123456789"))+1)),"")</f>
        <v/>
      </c>
    </row>
    <row r="1162" spans="28:28" x14ac:dyDescent="0.2">
      <c r="AB1162" s="660" t="str">
        <f>IFERROR(VALUE(RIGHT(AA1162,LEN(AA1162)-MIN(FIND({0;1;2;3;4;5;6;7;8;9},AA1162&amp;"0123456789"))+1)),"")</f>
        <v/>
      </c>
    </row>
    <row r="1163" spans="28:28" x14ac:dyDescent="0.2">
      <c r="AB1163" s="660" t="str">
        <f>IFERROR(VALUE(RIGHT(AA1163,LEN(AA1163)-MIN(FIND({0;1;2;3;4;5;6;7;8;9},AA1163&amp;"0123456789"))+1)),"")</f>
        <v/>
      </c>
    </row>
    <row r="1164" spans="28:28" x14ac:dyDescent="0.2">
      <c r="AB1164" s="660" t="str">
        <f>IFERROR(VALUE(RIGHT(AA1164,LEN(AA1164)-MIN(FIND({0;1;2;3;4;5;6;7;8;9},AA1164&amp;"0123456789"))+1)),"")</f>
        <v/>
      </c>
    </row>
    <row r="1165" spans="28:28" x14ac:dyDescent="0.2">
      <c r="AB1165" s="660" t="str">
        <f>IFERROR(VALUE(RIGHT(AA1165,LEN(AA1165)-MIN(FIND({0;1;2;3;4;5;6;7;8;9},AA1165&amp;"0123456789"))+1)),"")</f>
        <v/>
      </c>
    </row>
    <row r="1166" spans="28:28" x14ac:dyDescent="0.2">
      <c r="AB1166" s="660" t="str">
        <f>IFERROR(VALUE(RIGHT(AA1166,LEN(AA1166)-MIN(FIND({0;1;2;3;4;5;6;7;8;9},AA1166&amp;"0123456789"))+1)),"")</f>
        <v/>
      </c>
    </row>
    <row r="1167" spans="28:28" x14ac:dyDescent="0.2">
      <c r="AB1167" s="660" t="str">
        <f>IFERROR(VALUE(RIGHT(AA1167,LEN(AA1167)-MIN(FIND({0;1;2;3;4;5;6;7;8;9},AA1167&amp;"0123456789"))+1)),"")</f>
        <v/>
      </c>
    </row>
    <row r="1168" spans="28:28" x14ac:dyDescent="0.2">
      <c r="AB1168" s="660" t="str">
        <f>IFERROR(VALUE(RIGHT(AA1168,LEN(AA1168)-MIN(FIND({0;1;2;3;4;5;6;7;8;9},AA1168&amp;"0123456789"))+1)),"")</f>
        <v/>
      </c>
    </row>
    <row r="1169" spans="28:28" x14ac:dyDescent="0.2">
      <c r="AB1169" s="660" t="str">
        <f>IFERROR(VALUE(RIGHT(AA1169,LEN(AA1169)-MIN(FIND({0;1;2;3;4;5;6;7;8;9},AA1169&amp;"0123456789"))+1)),"")</f>
        <v/>
      </c>
    </row>
    <row r="1170" spans="28:28" x14ac:dyDescent="0.2">
      <c r="AB1170" s="660" t="str">
        <f>IFERROR(VALUE(RIGHT(AA1170,LEN(AA1170)-MIN(FIND({0;1;2;3;4;5;6;7;8;9},AA1170&amp;"0123456789"))+1)),"")</f>
        <v/>
      </c>
    </row>
    <row r="1171" spans="28:28" x14ac:dyDescent="0.2">
      <c r="AB1171" s="660" t="str">
        <f>IFERROR(VALUE(RIGHT(AA1171,LEN(AA1171)-MIN(FIND({0;1;2;3;4;5;6;7;8;9},AA1171&amp;"0123456789"))+1)),"")</f>
        <v/>
      </c>
    </row>
    <row r="1172" spans="28:28" x14ac:dyDescent="0.2">
      <c r="AB1172" s="660" t="str">
        <f>IFERROR(VALUE(RIGHT(AA1172,LEN(AA1172)-MIN(FIND({0;1;2;3;4;5;6;7;8;9},AA1172&amp;"0123456789"))+1)),"")</f>
        <v/>
      </c>
    </row>
    <row r="1173" spans="28:28" x14ac:dyDescent="0.2">
      <c r="AB1173" s="660" t="str">
        <f>IFERROR(VALUE(RIGHT(AA1173,LEN(AA1173)-MIN(FIND({0;1;2;3;4;5;6;7;8;9},AA1173&amp;"0123456789"))+1)),"")</f>
        <v/>
      </c>
    </row>
    <row r="1174" spans="28:28" x14ac:dyDescent="0.2">
      <c r="AB1174" s="660" t="str">
        <f>IFERROR(VALUE(RIGHT(AA1174,LEN(AA1174)-MIN(FIND({0;1;2;3;4;5;6;7;8;9},AA1174&amp;"0123456789"))+1)),"")</f>
        <v/>
      </c>
    </row>
    <row r="1175" spans="28:28" x14ac:dyDescent="0.2">
      <c r="AB1175" s="660" t="str">
        <f>IFERROR(VALUE(RIGHT(AA1175,LEN(AA1175)-MIN(FIND({0;1;2;3;4;5;6;7;8;9},AA1175&amp;"0123456789"))+1)),"")</f>
        <v/>
      </c>
    </row>
    <row r="1176" spans="28:28" x14ac:dyDescent="0.2">
      <c r="AB1176" s="660" t="str">
        <f>IFERROR(VALUE(RIGHT(AA1176,LEN(AA1176)-MIN(FIND({0;1;2;3;4;5;6;7;8;9},AA1176&amp;"0123456789"))+1)),"")</f>
        <v/>
      </c>
    </row>
    <row r="1177" spans="28:28" x14ac:dyDescent="0.2">
      <c r="AB1177" s="660" t="str">
        <f>IFERROR(VALUE(RIGHT(AA1177,LEN(AA1177)-MIN(FIND({0;1;2;3;4;5;6;7;8;9},AA1177&amp;"0123456789"))+1)),"")</f>
        <v/>
      </c>
    </row>
    <row r="1178" spans="28:28" x14ac:dyDescent="0.2">
      <c r="AB1178" s="660" t="str">
        <f>IFERROR(VALUE(RIGHT(AA1178,LEN(AA1178)-MIN(FIND({0;1;2;3;4;5;6;7;8;9},AA1178&amp;"0123456789"))+1)),"")</f>
        <v/>
      </c>
    </row>
    <row r="1179" spans="28:28" x14ac:dyDescent="0.2">
      <c r="AB1179" s="660" t="str">
        <f>IFERROR(VALUE(RIGHT(AA1179,LEN(AA1179)-MIN(FIND({0;1;2;3;4;5;6;7;8;9},AA1179&amp;"0123456789"))+1)),"")</f>
        <v/>
      </c>
    </row>
    <row r="1180" spans="28:28" x14ac:dyDescent="0.2">
      <c r="AB1180" s="660" t="str">
        <f>IFERROR(VALUE(RIGHT(AA1180,LEN(AA1180)-MIN(FIND({0;1;2;3;4;5;6;7;8;9},AA1180&amp;"0123456789"))+1)),"")</f>
        <v/>
      </c>
    </row>
    <row r="1181" spans="28:28" x14ac:dyDescent="0.2">
      <c r="AB1181" s="660" t="str">
        <f>IFERROR(VALUE(RIGHT(AA1181,LEN(AA1181)-MIN(FIND({0;1;2;3;4;5;6;7;8;9},AA1181&amp;"0123456789"))+1)),"")</f>
        <v/>
      </c>
    </row>
    <row r="1182" spans="28:28" x14ac:dyDescent="0.2">
      <c r="AB1182" s="660" t="str">
        <f>IFERROR(VALUE(RIGHT(AA1182,LEN(AA1182)-MIN(FIND({0;1;2;3;4;5;6;7;8;9},AA1182&amp;"0123456789"))+1)),"")</f>
        <v/>
      </c>
    </row>
    <row r="1183" spans="28:28" x14ac:dyDescent="0.2">
      <c r="AB1183" s="660" t="str">
        <f>IFERROR(VALUE(RIGHT(AA1183,LEN(AA1183)-MIN(FIND({0;1;2;3;4;5;6;7;8;9},AA1183&amp;"0123456789"))+1)),"")</f>
        <v/>
      </c>
    </row>
    <row r="1184" spans="28:28" x14ac:dyDescent="0.2">
      <c r="AB1184" s="660" t="str">
        <f>IFERROR(VALUE(RIGHT(AA1184,LEN(AA1184)-MIN(FIND({0;1;2;3;4;5;6;7;8;9},AA1184&amp;"0123456789"))+1)),"")</f>
        <v/>
      </c>
    </row>
    <row r="1185" spans="28:28" x14ac:dyDescent="0.2">
      <c r="AB1185" s="660" t="str">
        <f>IFERROR(VALUE(RIGHT(AA1185,LEN(AA1185)-MIN(FIND({0;1;2;3;4;5;6;7;8;9},AA1185&amp;"0123456789"))+1)),"")</f>
        <v/>
      </c>
    </row>
    <row r="1186" spans="28:28" x14ac:dyDescent="0.2">
      <c r="AB1186" s="660" t="str">
        <f>IFERROR(VALUE(RIGHT(AA1186,LEN(AA1186)-MIN(FIND({0;1;2;3;4;5;6;7;8;9},AA1186&amp;"0123456789"))+1)),"")</f>
        <v/>
      </c>
    </row>
    <row r="1187" spans="28:28" x14ac:dyDescent="0.2">
      <c r="AB1187" s="660" t="str">
        <f>IFERROR(VALUE(RIGHT(AA1187,LEN(AA1187)-MIN(FIND({0;1;2;3;4;5;6;7;8;9},AA1187&amp;"0123456789"))+1)),"")</f>
        <v/>
      </c>
    </row>
    <row r="1188" spans="28:28" x14ac:dyDescent="0.2">
      <c r="AB1188" s="660" t="str">
        <f>IFERROR(VALUE(RIGHT(AA1188,LEN(AA1188)-MIN(FIND({0;1;2;3;4;5;6;7;8;9},AA1188&amp;"0123456789"))+1)),"")</f>
        <v/>
      </c>
    </row>
    <row r="1189" spans="28:28" x14ac:dyDescent="0.2">
      <c r="AB1189" s="660" t="str">
        <f>IFERROR(VALUE(RIGHT(AA1189,LEN(AA1189)-MIN(FIND({0;1;2;3;4;5;6;7;8;9},AA1189&amp;"0123456789"))+1)),"")</f>
        <v/>
      </c>
    </row>
    <row r="1190" spans="28:28" x14ac:dyDescent="0.2">
      <c r="AB1190" s="660" t="str">
        <f>IFERROR(VALUE(RIGHT(AA1190,LEN(AA1190)-MIN(FIND({0;1;2;3;4;5;6;7;8;9},AA1190&amp;"0123456789"))+1)),"")</f>
        <v/>
      </c>
    </row>
    <row r="1191" spans="28:28" x14ac:dyDescent="0.2">
      <c r="AB1191" s="660" t="str">
        <f>IFERROR(VALUE(RIGHT(AA1191,LEN(AA1191)-MIN(FIND({0;1;2;3;4;5;6;7;8;9},AA1191&amp;"0123456789"))+1)),"")</f>
        <v/>
      </c>
    </row>
    <row r="1192" spans="28:28" x14ac:dyDescent="0.2">
      <c r="AB1192" s="660" t="str">
        <f>IFERROR(VALUE(RIGHT(AA1192,LEN(AA1192)-MIN(FIND({0;1;2;3;4;5;6;7;8;9},AA1192&amp;"0123456789"))+1)),"")</f>
        <v/>
      </c>
    </row>
    <row r="1193" spans="28:28" x14ac:dyDescent="0.2">
      <c r="AB1193" s="660" t="str">
        <f>IFERROR(VALUE(RIGHT(AA1193,LEN(AA1193)-MIN(FIND({0;1;2;3;4;5;6;7;8;9},AA1193&amp;"0123456789"))+1)),"")</f>
        <v/>
      </c>
    </row>
    <row r="1194" spans="28:28" x14ac:dyDescent="0.2">
      <c r="AB1194" s="660" t="str">
        <f>IFERROR(VALUE(RIGHT(AA1194,LEN(AA1194)-MIN(FIND({0;1;2;3;4;5;6;7;8;9},AA1194&amp;"0123456789"))+1)),"")</f>
        <v/>
      </c>
    </row>
    <row r="1195" spans="28:28" x14ac:dyDescent="0.2">
      <c r="AB1195" s="660" t="str">
        <f>IFERROR(VALUE(RIGHT(AA1195,LEN(AA1195)-MIN(FIND({0;1;2;3;4;5;6;7;8;9},AA1195&amp;"0123456789"))+1)),"")</f>
        <v/>
      </c>
    </row>
    <row r="1196" spans="28:28" x14ac:dyDescent="0.2">
      <c r="AB1196" s="660" t="str">
        <f>IFERROR(VALUE(RIGHT(AA1196,LEN(AA1196)-MIN(FIND({0;1;2;3;4;5;6;7;8;9},AA1196&amp;"0123456789"))+1)),"")</f>
        <v/>
      </c>
    </row>
    <row r="1197" spans="28:28" x14ac:dyDescent="0.2">
      <c r="AB1197" s="660" t="str">
        <f>IFERROR(VALUE(RIGHT(AA1197,LEN(AA1197)-MIN(FIND({0;1;2;3;4;5;6;7;8;9},AA1197&amp;"0123456789"))+1)),"")</f>
        <v/>
      </c>
    </row>
    <row r="1198" spans="28:28" x14ac:dyDescent="0.2">
      <c r="AB1198" s="660" t="str">
        <f>IFERROR(VALUE(RIGHT(AA1198,LEN(AA1198)-MIN(FIND({0;1;2;3;4;5;6;7;8;9},AA1198&amp;"0123456789"))+1)),"")</f>
        <v/>
      </c>
    </row>
    <row r="1199" spans="28:28" x14ac:dyDescent="0.2">
      <c r="AB1199" s="660" t="str">
        <f>IFERROR(VALUE(RIGHT(AA1199,LEN(AA1199)-MIN(FIND({0;1;2;3;4;5;6;7;8;9},AA1199&amp;"0123456789"))+1)),"")</f>
        <v/>
      </c>
    </row>
    <row r="1200" spans="28:28" x14ac:dyDescent="0.2">
      <c r="AB1200" s="660" t="str">
        <f>IFERROR(VALUE(RIGHT(AA1200,LEN(AA1200)-MIN(FIND({0;1;2;3;4;5;6;7;8;9},AA1200&amp;"0123456789"))+1)),"")</f>
        <v/>
      </c>
    </row>
    <row r="1201" spans="28:28" x14ac:dyDescent="0.2">
      <c r="AB1201" s="660" t="str">
        <f>IFERROR(VALUE(RIGHT(AA1201,LEN(AA1201)-MIN(FIND({0;1;2;3;4;5;6;7;8;9},AA1201&amp;"0123456789"))+1)),"")</f>
        <v/>
      </c>
    </row>
    <row r="1202" spans="28:28" x14ac:dyDescent="0.2">
      <c r="AB1202" s="660" t="str">
        <f>IFERROR(VALUE(RIGHT(AA1202,LEN(AA1202)-MIN(FIND({0;1;2;3;4;5;6;7;8;9},AA1202&amp;"0123456789"))+1)),"")</f>
        <v/>
      </c>
    </row>
    <row r="1203" spans="28:28" x14ac:dyDescent="0.2">
      <c r="AB1203" s="660" t="str">
        <f>IFERROR(VALUE(RIGHT(AA1203,LEN(AA1203)-MIN(FIND({0;1;2;3;4;5;6;7;8;9},AA1203&amp;"0123456789"))+1)),"")</f>
        <v/>
      </c>
    </row>
    <row r="1204" spans="28:28" x14ac:dyDescent="0.2">
      <c r="AB1204" s="660" t="str">
        <f>IFERROR(VALUE(RIGHT(AA1204,LEN(AA1204)-MIN(FIND({0;1;2;3;4;5;6;7;8;9},AA1204&amp;"0123456789"))+1)),"")</f>
        <v/>
      </c>
    </row>
    <row r="1205" spans="28:28" x14ac:dyDescent="0.2">
      <c r="AB1205" s="660" t="str">
        <f>IFERROR(VALUE(RIGHT(AA1205,LEN(AA1205)-MIN(FIND({0;1;2;3;4;5;6;7;8;9},AA1205&amp;"0123456789"))+1)),"")</f>
        <v/>
      </c>
    </row>
    <row r="1206" spans="28:28" x14ac:dyDescent="0.2">
      <c r="AB1206" s="660" t="str">
        <f>IFERROR(VALUE(RIGHT(AA1206,LEN(AA1206)-MIN(FIND({0;1;2;3;4;5;6;7;8;9},AA1206&amp;"0123456789"))+1)),"")</f>
        <v/>
      </c>
    </row>
    <row r="1207" spans="28:28" x14ac:dyDescent="0.2">
      <c r="AB1207" s="660" t="str">
        <f>IFERROR(VALUE(RIGHT(AA1207,LEN(AA1207)-MIN(FIND({0;1;2;3;4;5;6;7;8;9},AA1207&amp;"0123456789"))+1)),"")</f>
        <v/>
      </c>
    </row>
    <row r="1208" spans="28:28" x14ac:dyDescent="0.2">
      <c r="AB1208" s="660" t="str">
        <f>IFERROR(VALUE(RIGHT(AA1208,LEN(AA1208)-MIN(FIND({0;1;2;3;4;5;6;7;8;9},AA1208&amp;"0123456789"))+1)),"")</f>
        <v/>
      </c>
    </row>
    <row r="1209" spans="28:28" x14ac:dyDescent="0.2">
      <c r="AB1209" s="660" t="str">
        <f>IFERROR(VALUE(RIGHT(AA1209,LEN(AA1209)-MIN(FIND({0;1;2;3;4;5;6;7;8;9},AA1209&amp;"0123456789"))+1)),"")</f>
        <v/>
      </c>
    </row>
    <row r="1210" spans="28:28" x14ac:dyDescent="0.2">
      <c r="AB1210" s="660" t="str">
        <f>IFERROR(VALUE(RIGHT(AA1210,LEN(AA1210)-MIN(FIND({0;1;2;3;4;5;6;7;8;9},AA1210&amp;"0123456789"))+1)),"")</f>
        <v/>
      </c>
    </row>
    <row r="1211" spans="28:28" x14ac:dyDescent="0.2">
      <c r="AB1211" s="660" t="str">
        <f>IFERROR(VALUE(RIGHT(AA1211,LEN(AA1211)-MIN(FIND({0;1;2;3;4;5;6;7;8;9},AA1211&amp;"0123456789"))+1)),"")</f>
        <v/>
      </c>
    </row>
    <row r="1212" spans="28:28" x14ac:dyDescent="0.2">
      <c r="AB1212" s="660" t="str">
        <f>IFERROR(VALUE(RIGHT(AA1212,LEN(AA1212)-MIN(FIND({0;1;2;3;4;5;6;7;8;9},AA1212&amp;"0123456789"))+1)),"")</f>
        <v/>
      </c>
    </row>
    <row r="1213" spans="28:28" x14ac:dyDescent="0.2">
      <c r="AB1213" s="660" t="str">
        <f>IFERROR(VALUE(RIGHT(AA1213,LEN(AA1213)-MIN(FIND({0;1;2;3;4;5;6;7;8;9},AA1213&amp;"0123456789"))+1)),"")</f>
        <v/>
      </c>
    </row>
    <row r="1214" spans="28:28" x14ac:dyDescent="0.2">
      <c r="AB1214" s="660" t="str">
        <f>IFERROR(VALUE(RIGHT(AA1214,LEN(AA1214)-MIN(FIND({0;1;2;3;4;5;6;7;8;9},AA1214&amp;"0123456789"))+1)),"")</f>
        <v/>
      </c>
    </row>
    <row r="1215" spans="28:28" x14ac:dyDescent="0.2">
      <c r="AB1215" s="660" t="str">
        <f>IFERROR(VALUE(RIGHT(AA1215,LEN(AA1215)-MIN(FIND({0;1;2;3;4;5;6;7;8;9},AA1215&amp;"0123456789"))+1)),"")</f>
        <v/>
      </c>
    </row>
    <row r="1216" spans="28:28" x14ac:dyDescent="0.2">
      <c r="AB1216" s="660" t="str">
        <f>IFERROR(VALUE(RIGHT(AA1216,LEN(AA1216)-MIN(FIND({0;1;2;3;4;5;6;7;8;9},AA1216&amp;"0123456789"))+1)),"")</f>
        <v/>
      </c>
    </row>
    <row r="1217" spans="28:28" x14ac:dyDescent="0.2">
      <c r="AB1217" s="660" t="str">
        <f>IFERROR(VALUE(RIGHT(AA1217,LEN(AA1217)-MIN(FIND({0;1;2;3;4;5;6;7;8;9},AA1217&amp;"0123456789"))+1)),"")</f>
        <v/>
      </c>
    </row>
    <row r="1218" spans="28:28" x14ac:dyDescent="0.2">
      <c r="AB1218" s="660" t="str">
        <f>IFERROR(VALUE(RIGHT(AA1218,LEN(AA1218)-MIN(FIND({0;1;2;3;4;5;6;7;8;9},AA1218&amp;"0123456789"))+1)),"")</f>
        <v/>
      </c>
    </row>
    <row r="1219" spans="28:28" x14ac:dyDescent="0.2">
      <c r="AB1219" s="660" t="str">
        <f>IFERROR(VALUE(RIGHT(AA1219,LEN(AA1219)-MIN(FIND({0;1;2;3;4;5;6;7;8;9},AA1219&amp;"0123456789"))+1)),"")</f>
        <v/>
      </c>
    </row>
    <row r="1220" spans="28:28" x14ac:dyDescent="0.2">
      <c r="AB1220" s="660" t="str">
        <f>IFERROR(VALUE(RIGHT(AA1220,LEN(AA1220)-MIN(FIND({0;1;2;3;4;5;6;7;8;9},AA1220&amp;"0123456789"))+1)),"")</f>
        <v/>
      </c>
    </row>
    <row r="1221" spans="28:28" x14ac:dyDescent="0.2">
      <c r="AB1221" s="660" t="str">
        <f>IFERROR(VALUE(RIGHT(AA1221,LEN(AA1221)-MIN(FIND({0;1;2;3;4;5;6;7;8;9},AA1221&amp;"0123456789"))+1)),"")</f>
        <v/>
      </c>
    </row>
    <row r="1222" spans="28:28" x14ac:dyDescent="0.2">
      <c r="AB1222" s="660" t="str">
        <f>IFERROR(VALUE(RIGHT(AA1222,LEN(AA1222)-MIN(FIND({0;1;2;3;4;5;6;7;8;9},AA1222&amp;"0123456789"))+1)),"")</f>
        <v/>
      </c>
    </row>
    <row r="1223" spans="28:28" x14ac:dyDescent="0.2">
      <c r="AB1223" s="660" t="str">
        <f>IFERROR(VALUE(RIGHT(AA1223,LEN(AA1223)-MIN(FIND({0;1;2;3;4;5;6;7;8;9},AA1223&amp;"0123456789"))+1)),"")</f>
        <v/>
      </c>
    </row>
    <row r="1224" spans="28:28" x14ac:dyDescent="0.2">
      <c r="AB1224" s="660" t="str">
        <f>IFERROR(VALUE(RIGHT(AA1224,LEN(AA1224)-MIN(FIND({0;1;2;3;4;5;6;7;8;9},AA1224&amp;"0123456789"))+1)),"")</f>
        <v/>
      </c>
    </row>
    <row r="1225" spans="28:28" x14ac:dyDescent="0.2">
      <c r="AB1225" s="660" t="str">
        <f>IFERROR(VALUE(RIGHT(AA1225,LEN(AA1225)-MIN(FIND({0;1;2;3;4;5;6;7;8;9},AA1225&amp;"0123456789"))+1)),"")</f>
        <v/>
      </c>
    </row>
    <row r="1226" spans="28:28" x14ac:dyDescent="0.2">
      <c r="AB1226" s="660" t="str">
        <f>IFERROR(VALUE(RIGHT(AA1226,LEN(AA1226)-MIN(FIND({0;1;2;3;4;5;6;7;8;9},AA1226&amp;"0123456789"))+1)),"")</f>
        <v/>
      </c>
    </row>
    <row r="1227" spans="28:28" x14ac:dyDescent="0.2">
      <c r="AB1227" s="660" t="str">
        <f>IFERROR(VALUE(RIGHT(AA1227,LEN(AA1227)-MIN(FIND({0;1;2;3;4;5;6;7;8;9},AA1227&amp;"0123456789"))+1)),"")</f>
        <v/>
      </c>
    </row>
    <row r="1228" spans="28:28" x14ac:dyDescent="0.2">
      <c r="AB1228" s="660" t="str">
        <f>IFERROR(VALUE(RIGHT(AA1228,LEN(AA1228)-MIN(FIND({0;1;2;3;4;5;6;7;8;9},AA1228&amp;"0123456789"))+1)),"")</f>
        <v/>
      </c>
    </row>
    <row r="1229" spans="28:28" x14ac:dyDescent="0.2">
      <c r="AB1229" s="660" t="str">
        <f>IFERROR(VALUE(RIGHT(AA1229,LEN(AA1229)-MIN(FIND({0;1;2;3;4;5;6;7;8;9},AA1229&amp;"0123456789"))+1)),"")</f>
        <v/>
      </c>
    </row>
    <row r="1230" spans="28:28" x14ac:dyDescent="0.2">
      <c r="AB1230" s="660" t="str">
        <f>IFERROR(VALUE(RIGHT(AA1230,LEN(AA1230)-MIN(FIND({0;1;2;3;4;5;6;7;8;9},AA1230&amp;"0123456789"))+1)),"")</f>
        <v/>
      </c>
    </row>
    <row r="1231" spans="28:28" x14ac:dyDescent="0.2">
      <c r="AB1231" s="660" t="str">
        <f>IFERROR(VALUE(RIGHT(AA1231,LEN(AA1231)-MIN(FIND({0;1;2;3;4;5;6;7;8;9},AA1231&amp;"0123456789"))+1)),"")</f>
        <v/>
      </c>
    </row>
    <row r="1232" spans="28:28" x14ac:dyDescent="0.2">
      <c r="AB1232" s="660" t="str">
        <f>IFERROR(VALUE(RIGHT(AA1232,LEN(AA1232)-MIN(FIND({0;1;2;3;4;5;6;7;8;9},AA1232&amp;"0123456789"))+1)),"")</f>
        <v/>
      </c>
    </row>
    <row r="1233" spans="28:28" x14ac:dyDescent="0.2">
      <c r="AB1233" s="660" t="str">
        <f>IFERROR(VALUE(RIGHT(AA1233,LEN(AA1233)-MIN(FIND({0;1;2;3;4;5;6;7;8;9},AA1233&amp;"0123456789"))+1)),"")</f>
        <v/>
      </c>
    </row>
    <row r="1234" spans="28:28" x14ac:dyDescent="0.2">
      <c r="AB1234" s="660" t="str">
        <f>IFERROR(VALUE(RIGHT(AA1234,LEN(AA1234)-MIN(FIND({0;1;2;3;4;5;6;7;8;9},AA1234&amp;"0123456789"))+1)),"")</f>
        <v/>
      </c>
    </row>
    <row r="1235" spans="28:28" x14ac:dyDescent="0.2">
      <c r="AB1235" s="660" t="str">
        <f>IFERROR(VALUE(RIGHT(AA1235,LEN(AA1235)-MIN(FIND({0;1;2;3;4;5;6;7;8;9},AA1235&amp;"0123456789"))+1)),"")</f>
        <v/>
      </c>
    </row>
    <row r="1236" spans="28:28" x14ac:dyDescent="0.2">
      <c r="AB1236" s="660" t="str">
        <f>IFERROR(VALUE(RIGHT(AA1236,LEN(AA1236)-MIN(FIND({0;1;2;3;4;5;6;7;8;9},AA1236&amp;"0123456789"))+1)),"")</f>
        <v/>
      </c>
    </row>
    <row r="1237" spans="28:28" x14ac:dyDescent="0.2">
      <c r="AB1237" s="660" t="str">
        <f>IFERROR(VALUE(RIGHT(AA1237,LEN(AA1237)-MIN(FIND({0;1;2;3;4;5;6;7;8;9},AA1237&amp;"0123456789"))+1)),"")</f>
        <v/>
      </c>
    </row>
    <row r="1238" spans="28:28" x14ac:dyDescent="0.2">
      <c r="AB1238" s="660" t="str">
        <f>IFERROR(VALUE(RIGHT(AA1238,LEN(AA1238)-MIN(FIND({0;1;2;3;4;5;6;7;8;9},AA1238&amp;"0123456789"))+1)),"")</f>
        <v/>
      </c>
    </row>
    <row r="1239" spans="28:28" x14ac:dyDescent="0.2">
      <c r="AB1239" s="660" t="str">
        <f>IFERROR(VALUE(RIGHT(AA1239,LEN(AA1239)-MIN(FIND({0;1;2;3;4;5;6;7;8;9},AA1239&amp;"0123456789"))+1)),"")</f>
        <v/>
      </c>
    </row>
    <row r="1240" spans="28:28" x14ac:dyDescent="0.2">
      <c r="AB1240" s="660" t="str">
        <f>IFERROR(VALUE(RIGHT(AA1240,LEN(AA1240)-MIN(FIND({0;1;2;3;4;5;6;7;8;9},AA1240&amp;"0123456789"))+1)),"")</f>
        <v/>
      </c>
    </row>
    <row r="1241" spans="28:28" x14ac:dyDescent="0.2">
      <c r="AB1241" s="660" t="str">
        <f>IFERROR(VALUE(RIGHT(AA1241,LEN(AA1241)-MIN(FIND({0;1;2;3;4;5;6;7;8;9},AA1241&amp;"0123456789"))+1)),"")</f>
        <v/>
      </c>
    </row>
    <row r="1242" spans="28:28" x14ac:dyDescent="0.2">
      <c r="AB1242" s="660" t="str">
        <f>IFERROR(VALUE(RIGHT(AA1242,LEN(AA1242)-MIN(FIND({0;1;2;3;4;5;6;7;8;9},AA1242&amp;"0123456789"))+1)),"")</f>
        <v/>
      </c>
    </row>
    <row r="1243" spans="28:28" x14ac:dyDescent="0.2">
      <c r="AB1243" s="660" t="str">
        <f>IFERROR(VALUE(RIGHT(AA1243,LEN(AA1243)-MIN(FIND({0;1;2;3;4;5;6;7;8;9},AA1243&amp;"0123456789"))+1)),"")</f>
        <v/>
      </c>
    </row>
    <row r="1244" spans="28:28" x14ac:dyDescent="0.2">
      <c r="AB1244" s="660" t="str">
        <f>IFERROR(VALUE(RIGHT(AA1244,LEN(AA1244)-MIN(FIND({0;1;2;3;4;5;6;7;8;9},AA1244&amp;"0123456789"))+1)),"")</f>
        <v/>
      </c>
    </row>
    <row r="1245" spans="28:28" x14ac:dyDescent="0.2">
      <c r="AB1245" s="660" t="str">
        <f>IFERROR(VALUE(RIGHT(AA1245,LEN(AA1245)-MIN(FIND({0;1;2;3;4;5;6;7;8;9},AA1245&amp;"0123456789"))+1)),"")</f>
        <v/>
      </c>
    </row>
    <row r="1246" spans="28:28" x14ac:dyDescent="0.2">
      <c r="AB1246" s="660" t="str">
        <f>IFERROR(VALUE(RIGHT(AA1246,LEN(AA1246)-MIN(FIND({0;1;2;3;4;5;6;7;8;9},AA1246&amp;"0123456789"))+1)),"")</f>
        <v/>
      </c>
    </row>
    <row r="1247" spans="28:28" x14ac:dyDescent="0.2">
      <c r="AB1247" s="660" t="str">
        <f>IFERROR(VALUE(RIGHT(AA1247,LEN(AA1247)-MIN(FIND({0;1;2;3;4;5;6;7;8;9},AA1247&amp;"0123456789"))+1)),"")</f>
        <v/>
      </c>
    </row>
    <row r="1248" spans="28:28" x14ac:dyDescent="0.2">
      <c r="AB1248" s="660" t="str">
        <f>IFERROR(VALUE(RIGHT(AA1248,LEN(AA1248)-MIN(FIND({0;1;2;3;4;5;6;7;8;9},AA1248&amp;"0123456789"))+1)),"")</f>
        <v/>
      </c>
    </row>
    <row r="1249" spans="28:28" x14ac:dyDescent="0.2">
      <c r="AB1249" s="660" t="str">
        <f>IFERROR(VALUE(RIGHT(AA1249,LEN(AA1249)-MIN(FIND({0;1;2;3;4;5;6;7;8;9},AA1249&amp;"0123456789"))+1)),"")</f>
        <v/>
      </c>
    </row>
    <row r="1250" spans="28:28" x14ac:dyDescent="0.2">
      <c r="AB1250" s="660" t="str">
        <f>IFERROR(VALUE(RIGHT(AA1250,LEN(AA1250)-MIN(FIND({0;1;2;3;4;5;6;7;8;9},AA1250&amp;"0123456789"))+1)),"")</f>
        <v/>
      </c>
    </row>
    <row r="1251" spans="28:28" x14ac:dyDescent="0.2">
      <c r="AB1251" s="660" t="str">
        <f>IFERROR(VALUE(RIGHT(AA1251,LEN(AA1251)-MIN(FIND({0;1;2;3;4;5;6;7;8;9},AA1251&amp;"0123456789"))+1)),"")</f>
        <v/>
      </c>
    </row>
    <row r="1252" spans="28:28" x14ac:dyDescent="0.2">
      <c r="AB1252" s="660" t="str">
        <f>IFERROR(VALUE(RIGHT(AA1252,LEN(AA1252)-MIN(FIND({0;1;2;3;4;5;6;7;8;9},AA1252&amp;"0123456789"))+1)),"")</f>
        <v/>
      </c>
    </row>
    <row r="1253" spans="28:28" x14ac:dyDescent="0.2">
      <c r="AB1253" s="660" t="str">
        <f>IFERROR(VALUE(RIGHT(AA1253,LEN(AA1253)-MIN(FIND({0;1;2;3;4;5;6;7;8;9},AA1253&amp;"0123456789"))+1)),"")</f>
        <v/>
      </c>
    </row>
    <row r="1254" spans="28:28" x14ac:dyDescent="0.2">
      <c r="AB1254" s="660" t="str">
        <f>IFERROR(VALUE(RIGHT(AA1254,LEN(AA1254)-MIN(FIND({0;1;2;3;4;5;6;7;8;9},AA1254&amp;"0123456789"))+1)),"")</f>
        <v/>
      </c>
    </row>
    <row r="1255" spans="28:28" x14ac:dyDescent="0.2">
      <c r="AB1255" s="660" t="str">
        <f>IFERROR(VALUE(RIGHT(AA1255,LEN(AA1255)-MIN(FIND({0;1;2;3;4;5;6;7;8;9},AA1255&amp;"0123456789"))+1)),"")</f>
        <v/>
      </c>
    </row>
    <row r="1256" spans="28:28" x14ac:dyDescent="0.2">
      <c r="AB1256" s="660" t="str">
        <f>IFERROR(VALUE(RIGHT(AA1256,LEN(AA1256)-MIN(FIND({0;1;2;3;4;5;6;7;8;9},AA1256&amp;"0123456789"))+1)),"")</f>
        <v/>
      </c>
    </row>
    <row r="1257" spans="28:28" x14ac:dyDescent="0.2">
      <c r="AB1257" s="660" t="str">
        <f>IFERROR(VALUE(RIGHT(AA1257,LEN(AA1257)-MIN(FIND({0;1;2;3;4;5;6;7;8;9},AA1257&amp;"0123456789"))+1)),"")</f>
        <v/>
      </c>
    </row>
    <row r="1258" spans="28:28" x14ac:dyDescent="0.2">
      <c r="AB1258" s="660" t="str">
        <f>IFERROR(VALUE(RIGHT(AA1258,LEN(AA1258)-MIN(FIND({0;1;2;3;4;5;6;7;8;9},AA1258&amp;"0123456789"))+1)),"")</f>
        <v/>
      </c>
    </row>
    <row r="1259" spans="28:28" x14ac:dyDescent="0.2">
      <c r="AB1259" s="660" t="str">
        <f>IFERROR(VALUE(RIGHT(AA1259,LEN(AA1259)-MIN(FIND({0;1;2;3;4;5;6;7;8;9},AA1259&amp;"0123456789"))+1)),"")</f>
        <v/>
      </c>
    </row>
    <row r="1260" spans="28:28" x14ac:dyDescent="0.2">
      <c r="AB1260" s="660" t="str">
        <f>IFERROR(VALUE(RIGHT(AA1260,LEN(AA1260)-MIN(FIND({0;1;2;3;4;5;6;7;8;9},AA1260&amp;"0123456789"))+1)),"")</f>
        <v/>
      </c>
    </row>
    <row r="1261" spans="28:28" x14ac:dyDescent="0.2">
      <c r="AB1261" s="660" t="str">
        <f>IFERROR(VALUE(RIGHT(AA1261,LEN(AA1261)-MIN(FIND({0;1;2;3;4;5;6;7;8;9},AA1261&amp;"0123456789"))+1)),"")</f>
        <v/>
      </c>
    </row>
    <row r="1262" spans="28:28" x14ac:dyDescent="0.2">
      <c r="AB1262" s="660" t="str">
        <f>IFERROR(VALUE(RIGHT(AA1262,LEN(AA1262)-MIN(FIND({0;1;2;3;4;5;6;7;8;9},AA1262&amp;"0123456789"))+1)),"")</f>
        <v/>
      </c>
    </row>
    <row r="1263" spans="28:28" x14ac:dyDescent="0.2">
      <c r="AB1263" s="660" t="str">
        <f>IFERROR(VALUE(RIGHT(AA1263,LEN(AA1263)-MIN(FIND({0;1;2;3;4;5;6;7;8;9},AA1263&amp;"0123456789"))+1)),"")</f>
        <v/>
      </c>
    </row>
    <row r="1264" spans="28:28" x14ac:dyDescent="0.2">
      <c r="AB1264" s="660" t="str">
        <f>IFERROR(VALUE(RIGHT(AA1264,LEN(AA1264)-MIN(FIND({0;1;2;3;4;5;6;7;8;9},AA1264&amp;"0123456789"))+1)),"")</f>
        <v/>
      </c>
    </row>
    <row r="1265" spans="28:28" x14ac:dyDescent="0.2">
      <c r="AB1265" s="660" t="str">
        <f>IFERROR(VALUE(RIGHT(AA1265,LEN(AA1265)-MIN(FIND({0;1;2;3;4;5;6;7;8;9},AA1265&amp;"0123456789"))+1)),"")</f>
        <v/>
      </c>
    </row>
    <row r="1266" spans="28:28" x14ac:dyDescent="0.2">
      <c r="AB1266" s="660" t="str">
        <f>IFERROR(VALUE(RIGHT(AA1266,LEN(AA1266)-MIN(FIND({0;1;2;3;4;5;6;7;8;9},AA1266&amp;"0123456789"))+1)),"")</f>
        <v/>
      </c>
    </row>
    <row r="1267" spans="28:28" x14ac:dyDescent="0.2">
      <c r="AB1267" s="660" t="str">
        <f>IFERROR(VALUE(RIGHT(AA1267,LEN(AA1267)-MIN(FIND({0;1;2;3;4;5;6;7;8;9},AA1267&amp;"0123456789"))+1)),"")</f>
        <v/>
      </c>
    </row>
    <row r="1268" spans="28:28" x14ac:dyDescent="0.2">
      <c r="AB1268" s="660" t="str">
        <f>IFERROR(VALUE(RIGHT(AA1268,LEN(AA1268)-MIN(FIND({0;1;2;3;4;5;6;7;8;9},AA1268&amp;"0123456789"))+1)),"")</f>
        <v/>
      </c>
    </row>
    <row r="1269" spans="28:28" x14ac:dyDescent="0.2">
      <c r="AB1269" s="660" t="str">
        <f>IFERROR(VALUE(RIGHT(AA1269,LEN(AA1269)-MIN(FIND({0;1;2;3;4;5;6;7;8;9},AA1269&amp;"0123456789"))+1)),"")</f>
        <v/>
      </c>
    </row>
    <row r="1270" spans="28:28" x14ac:dyDescent="0.2">
      <c r="AB1270" s="660" t="str">
        <f>IFERROR(VALUE(RIGHT(AA1270,LEN(AA1270)-MIN(FIND({0;1;2;3;4;5;6;7;8;9},AA1270&amp;"0123456789"))+1)),"")</f>
        <v/>
      </c>
    </row>
    <row r="1271" spans="28:28" x14ac:dyDescent="0.2">
      <c r="AB1271" s="660" t="str">
        <f>IFERROR(VALUE(RIGHT(AA1271,LEN(AA1271)-MIN(FIND({0;1;2;3;4;5;6;7;8;9},AA1271&amp;"0123456789"))+1)),"")</f>
        <v/>
      </c>
    </row>
    <row r="1272" spans="28:28" x14ac:dyDescent="0.2">
      <c r="AB1272" s="660" t="str">
        <f>IFERROR(VALUE(RIGHT(AA1272,LEN(AA1272)-MIN(FIND({0;1;2;3;4;5;6;7;8;9},AA1272&amp;"0123456789"))+1)),"")</f>
        <v/>
      </c>
    </row>
    <row r="1273" spans="28:28" x14ac:dyDescent="0.2">
      <c r="AB1273" s="660" t="str">
        <f>IFERROR(VALUE(RIGHT(AA1273,LEN(AA1273)-MIN(FIND({0;1;2;3;4;5;6;7;8;9},AA1273&amp;"0123456789"))+1)),"")</f>
        <v/>
      </c>
    </row>
    <row r="1274" spans="28:28" x14ac:dyDescent="0.2">
      <c r="AB1274" s="660" t="str">
        <f>IFERROR(VALUE(RIGHT(AA1274,LEN(AA1274)-MIN(FIND({0;1;2;3;4;5;6;7;8;9},AA1274&amp;"0123456789"))+1)),"")</f>
        <v/>
      </c>
    </row>
    <row r="1275" spans="28:28" x14ac:dyDescent="0.2">
      <c r="AB1275" s="660" t="str">
        <f>IFERROR(VALUE(RIGHT(AA1275,LEN(AA1275)-MIN(FIND({0;1;2;3;4;5;6;7;8;9},AA1275&amp;"0123456789"))+1)),"")</f>
        <v/>
      </c>
    </row>
    <row r="1276" spans="28:28" x14ac:dyDescent="0.2">
      <c r="AB1276" s="660" t="str">
        <f>IFERROR(VALUE(RIGHT(AA1276,LEN(AA1276)-MIN(FIND({0;1;2;3;4;5;6;7;8;9},AA1276&amp;"0123456789"))+1)),"")</f>
        <v/>
      </c>
    </row>
    <row r="1277" spans="28:28" x14ac:dyDescent="0.2">
      <c r="AB1277" s="660" t="str">
        <f>IFERROR(VALUE(RIGHT(AA1277,LEN(AA1277)-MIN(FIND({0;1;2;3;4;5;6;7;8;9},AA1277&amp;"0123456789"))+1)),"")</f>
        <v/>
      </c>
    </row>
    <row r="1278" spans="28:28" x14ac:dyDescent="0.2">
      <c r="AB1278" s="660" t="str">
        <f>IFERROR(VALUE(RIGHT(AA1278,LEN(AA1278)-MIN(FIND({0;1;2;3;4;5;6;7;8;9},AA1278&amp;"0123456789"))+1)),"")</f>
        <v/>
      </c>
    </row>
    <row r="1279" spans="28:28" x14ac:dyDescent="0.2">
      <c r="AB1279" s="660" t="str">
        <f>IFERROR(VALUE(RIGHT(AA1279,LEN(AA1279)-MIN(FIND({0;1;2;3;4;5;6;7;8;9},AA1279&amp;"0123456789"))+1)),"")</f>
        <v/>
      </c>
    </row>
    <row r="1280" spans="28:28" x14ac:dyDescent="0.2">
      <c r="AB1280" s="660" t="str">
        <f>IFERROR(VALUE(RIGHT(AA1280,LEN(AA1280)-MIN(FIND({0;1;2;3;4;5;6;7;8;9},AA1280&amp;"0123456789"))+1)),"")</f>
        <v/>
      </c>
    </row>
    <row r="1281" spans="28:28" x14ac:dyDescent="0.2">
      <c r="AB1281" s="660" t="str">
        <f>IFERROR(VALUE(RIGHT(AA1281,LEN(AA1281)-MIN(FIND({0;1;2;3;4;5;6;7;8;9},AA1281&amp;"0123456789"))+1)),"")</f>
        <v/>
      </c>
    </row>
    <row r="1282" spans="28:28" x14ac:dyDescent="0.2">
      <c r="AB1282" s="660" t="str">
        <f>IFERROR(VALUE(RIGHT(AA1282,LEN(AA1282)-MIN(FIND({0;1;2;3;4;5;6;7;8;9},AA1282&amp;"0123456789"))+1)),"")</f>
        <v/>
      </c>
    </row>
    <row r="1283" spans="28:28" x14ac:dyDescent="0.2">
      <c r="AB1283" s="660" t="str">
        <f>IFERROR(VALUE(RIGHT(AA1283,LEN(AA1283)-MIN(FIND({0;1;2;3;4;5;6;7;8;9},AA1283&amp;"0123456789"))+1)),"")</f>
        <v/>
      </c>
    </row>
    <row r="1284" spans="28:28" x14ac:dyDescent="0.2">
      <c r="AB1284" s="660" t="str">
        <f>IFERROR(VALUE(RIGHT(AA1284,LEN(AA1284)-MIN(FIND({0;1;2;3;4;5;6;7;8;9},AA1284&amp;"0123456789"))+1)),"")</f>
        <v/>
      </c>
    </row>
    <row r="1285" spans="28:28" x14ac:dyDescent="0.2">
      <c r="AB1285" s="660" t="str">
        <f>IFERROR(VALUE(RIGHT(AA1285,LEN(AA1285)-MIN(FIND({0;1;2;3;4;5;6;7;8;9},AA1285&amp;"0123456789"))+1)),"")</f>
        <v/>
      </c>
    </row>
    <row r="1286" spans="28:28" x14ac:dyDescent="0.2">
      <c r="AB1286" s="660" t="str">
        <f>IFERROR(VALUE(RIGHT(AA1286,LEN(AA1286)-MIN(FIND({0;1;2;3;4;5;6;7;8;9},AA1286&amp;"0123456789"))+1)),"")</f>
        <v/>
      </c>
    </row>
    <row r="1287" spans="28:28" x14ac:dyDescent="0.2">
      <c r="AB1287" s="660" t="str">
        <f>IFERROR(VALUE(RIGHT(AA1287,LEN(AA1287)-MIN(FIND({0;1;2;3;4;5;6;7;8;9},AA1287&amp;"0123456789"))+1)),"")</f>
        <v/>
      </c>
    </row>
    <row r="1288" spans="28:28" x14ac:dyDescent="0.2">
      <c r="AB1288" s="660" t="str">
        <f>IFERROR(VALUE(RIGHT(AA1288,LEN(AA1288)-MIN(FIND({0;1;2;3;4;5;6;7;8;9},AA1288&amp;"0123456789"))+1)),"")</f>
        <v/>
      </c>
    </row>
    <row r="1289" spans="28:28" x14ac:dyDescent="0.2">
      <c r="AB1289" s="660" t="str">
        <f>IFERROR(VALUE(RIGHT(AA1289,LEN(AA1289)-MIN(FIND({0;1;2;3;4;5;6;7;8;9},AA1289&amp;"0123456789"))+1)),"")</f>
        <v/>
      </c>
    </row>
    <row r="1290" spans="28:28" x14ac:dyDescent="0.2">
      <c r="AB1290" s="660" t="str">
        <f>IFERROR(VALUE(RIGHT(AA1290,LEN(AA1290)-MIN(FIND({0;1;2;3;4;5;6;7;8;9},AA1290&amp;"0123456789"))+1)),"")</f>
        <v/>
      </c>
    </row>
    <row r="1291" spans="28:28" x14ac:dyDescent="0.2">
      <c r="AB1291" s="660" t="str">
        <f>IFERROR(VALUE(RIGHT(AA1291,LEN(AA1291)-MIN(FIND({0;1;2;3;4;5;6;7;8;9},AA1291&amp;"0123456789"))+1)),"")</f>
        <v/>
      </c>
    </row>
    <row r="1292" spans="28:28" x14ac:dyDescent="0.2">
      <c r="AB1292" s="660" t="str">
        <f>IFERROR(VALUE(RIGHT(AA1292,LEN(AA1292)-MIN(FIND({0;1;2;3;4;5;6;7;8;9},AA1292&amp;"0123456789"))+1)),"")</f>
        <v/>
      </c>
    </row>
    <row r="1293" spans="28:28" x14ac:dyDescent="0.2">
      <c r="AB1293" s="660" t="str">
        <f>IFERROR(VALUE(RIGHT(AA1293,LEN(AA1293)-MIN(FIND({0;1;2;3;4;5;6;7;8;9},AA1293&amp;"0123456789"))+1)),"")</f>
        <v/>
      </c>
    </row>
    <row r="1294" spans="28:28" x14ac:dyDescent="0.2">
      <c r="AB1294" s="660" t="str">
        <f>IFERROR(VALUE(RIGHT(AA1294,LEN(AA1294)-MIN(FIND({0;1;2;3;4;5;6;7;8;9},AA1294&amp;"0123456789"))+1)),"")</f>
        <v/>
      </c>
    </row>
    <row r="1295" spans="28:28" x14ac:dyDescent="0.2">
      <c r="AB1295" s="660" t="str">
        <f>IFERROR(VALUE(RIGHT(AA1295,LEN(AA1295)-MIN(FIND({0;1;2;3;4;5;6;7;8;9},AA1295&amp;"0123456789"))+1)),"")</f>
        <v/>
      </c>
    </row>
    <row r="1296" spans="28:28" x14ac:dyDescent="0.2">
      <c r="AB1296" s="660" t="str">
        <f>IFERROR(VALUE(RIGHT(AA1296,LEN(AA1296)-MIN(FIND({0;1;2;3;4;5;6;7;8;9},AA1296&amp;"0123456789"))+1)),"")</f>
        <v/>
      </c>
    </row>
    <row r="1297" spans="28:28" x14ac:dyDescent="0.2">
      <c r="AB1297" s="660" t="str">
        <f>IFERROR(VALUE(RIGHT(AA1297,LEN(AA1297)-MIN(FIND({0;1;2;3;4;5;6;7;8;9},AA1297&amp;"0123456789"))+1)),"")</f>
        <v/>
      </c>
    </row>
    <row r="1298" spans="28:28" x14ac:dyDescent="0.2">
      <c r="AB1298" s="660" t="str">
        <f>IFERROR(VALUE(RIGHT(AA1298,LEN(AA1298)-MIN(FIND({0;1;2;3;4;5;6;7;8;9},AA1298&amp;"0123456789"))+1)),"")</f>
        <v/>
      </c>
    </row>
    <row r="1299" spans="28:28" x14ac:dyDescent="0.2">
      <c r="AB1299" s="660" t="str">
        <f>IFERROR(VALUE(RIGHT(AA1299,LEN(AA1299)-MIN(FIND({0;1;2;3;4;5;6;7;8;9},AA1299&amp;"0123456789"))+1)),"")</f>
        <v/>
      </c>
    </row>
    <row r="1300" spans="28:28" x14ac:dyDescent="0.2">
      <c r="AB1300" s="660" t="str">
        <f>IFERROR(VALUE(RIGHT(AA1300,LEN(AA1300)-MIN(FIND({0;1;2;3;4;5;6;7;8;9},AA1300&amp;"0123456789"))+1)),"")</f>
        <v/>
      </c>
    </row>
    <row r="1301" spans="28:28" x14ac:dyDescent="0.2">
      <c r="AB1301" s="660" t="str">
        <f>IFERROR(VALUE(RIGHT(AA1301,LEN(AA1301)-MIN(FIND({0;1;2;3;4;5;6;7;8;9},AA1301&amp;"0123456789"))+1)),"")</f>
        <v/>
      </c>
    </row>
    <row r="1302" spans="28:28" x14ac:dyDescent="0.2">
      <c r="AB1302" s="660" t="str">
        <f>IFERROR(VALUE(RIGHT(AA1302,LEN(AA1302)-MIN(FIND({0;1;2;3;4;5;6;7;8;9},AA1302&amp;"0123456789"))+1)),"")</f>
        <v/>
      </c>
    </row>
    <row r="1303" spans="28:28" x14ac:dyDescent="0.2">
      <c r="AB1303" s="660" t="str">
        <f>IFERROR(VALUE(RIGHT(AA1303,LEN(AA1303)-MIN(FIND({0;1;2;3;4;5;6;7;8;9},AA1303&amp;"0123456789"))+1)),"")</f>
        <v/>
      </c>
    </row>
    <row r="1304" spans="28:28" x14ac:dyDescent="0.2">
      <c r="AB1304" s="660" t="str">
        <f>IFERROR(VALUE(RIGHT(AA1304,LEN(AA1304)-MIN(FIND({0;1;2;3;4;5;6;7;8;9},AA1304&amp;"0123456789"))+1)),"")</f>
        <v/>
      </c>
    </row>
    <row r="1305" spans="28:28" x14ac:dyDescent="0.2">
      <c r="AB1305" s="660" t="str">
        <f>IFERROR(VALUE(RIGHT(AA1305,LEN(AA1305)-MIN(FIND({0;1;2;3;4;5;6;7;8;9},AA1305&amp;"0123456789"))+1)),"")</f>
        <v/>
      </c>
    </row>
    <row r="1306" spans="28:28" x14ac:dyDescent="0.2">
      <c r="AB1306" s="660" t="str">
        <f>IFERROR(VALUE(RIGHT(AA1306,LEN(AA1306)-MIN(FIND({0;1;2;3;4;5;6;7;8;9},AA1306&amp;"0123456789"))+1)),"")</f>
        <v/>
      </c>
    </row>
    <row r="1307" spans="28:28" x14ac:dyDescent="0.2">
      <c r="AB1307" s="660" t="str">
        <f>IFERROR(VALUE(RIGHT(AA1307,LEN(AA1307)-MIN(FIND({0;1;2;3;4;5;6;7;8;9},AA1307&amp;"0123456789"))+1)),"")</f>
        <v/>
      </c>
    </row>
    <row r="1308" spans="28:28" x14ac:dyDescent="0.2">
      <c r="AB1308" s="660" t="str">
        <f>IFERROR(VALUE(RIGHT(AA1308,LEN(AA1308)-MIN(FIND({0;1;2;3;4;5;6;7;8;9},AA1308&amp;"0123456789"))+1)),"")</f>
        <v/>
      </c>
    </row>
    <row r="1309" spans="28:28" x14ac:dyDescent="0.2">
      <c r="AB1309" s="660" t="str">
        <f>IFERROR(VALUE(RIGHT(AA1309,LEN(AA1309)-MIN(FIND({0;1;2;3;4;5;6;7;8;9},AA1309&amp;"0123456789"))+1)),"")</f>
        <v/>
      </c>
    </row>
    <row r="1310" spans="28:28" x14ac:dyDescent="0.2">
      <c r="AB1310" s="660" t="str">
        <f>IFERROR(VALUE(RIGHT(AA1310,LEN(AA1310)-MIN(FIND({0;1;2;3;4;5;6;7;8;9},AA1310&amp;"0123456789"))+1)),"")</f>
        <v/>
      </c>
    </row>
    <row r="1311" spans="28:28" x14ac:dyDescent="0.2">
      <c r="AB1311" s="660" t="str">
        <f>IFERROR(VALUE(RIGHT(AA1311,LEN(AA1311)-MIN(FIND({0;1;2;3;4;5;6;7;8;9},AA1311&amp;"0123456789"))+1)),"")</f>
        <v/>
      </c>
    </row>
    <row r="1312" spans="28:28" x14ac:dyDescent="0.2">
      <c r="AB1312" s="660" t="str">
        <f>IFERROR(VALUE(RIGHT(AA1312,LEN(AA1312)-MIN(FIND({0;1;2;3;4;5;6;7;8;9},AA1312&amp;"0123456789"))+1)),"")</f>
        <v/>
      </c>
    </row>
    <row r="1313" spans="28:28" x14ac:dyDescent="0.2">
      <c r="AB1313" s="660" t="str">
        <f>IFERROR(VALUE(RIGHT(AA1313,LEN(AA1313)-MIN(FIND({0;1;2;3;4;5;6;7;8;9},AA1313&amp;"0123456789"))+1)),"")</f>
        <v/>
      </c>
    </row>
    <row r="1314" spans="28:28" x14ac:dyDescent="0.2">
      <c r="AB1314" s="660" t="str">
        <f>IFERROR(VALUE(RIGHT(AA1314,LEN(AA1314)-MIN(FIND({0;1;2;3;4;5;6;7;8;9},AA1314&amp;"0123456789"))+1)),"")</f>
        <v/>
      </c>
    </row>
    <row r="1315" spans="28:28" x14ac:dyDescent="0.2">
      <c r="AB1315" s="660" t="str">
        <f>IFERROR(VALUE(RIGHT(AA1315,LEN(AA1315)-MIN(FIND({0;1;2;3;4;5;6;7;8;9},AA1315&amp;"0123456789"))+1)),"")</f>
        <v/>
      </c>
    </row>
    <row r="1316" spans="28:28" x14ac:dyDescent="0.2">
      <c r="AB1316" s="660" t="str">
        <f>IFERROR(VALUE(RIGHT(AA1316,LEN(AA1316)-MIN(FIND({0;1;2;3;4;5;6;7;8;9},AA1316&amp;"0123456789"))+1)),"")</f>
        <v/>
      </c>
    </row>
    <row r="1317" spans="28:28" x14ac:dyDescent="0.2">
      <c r="AB1317" s="660" t="str">
        <f>IFERROR(VALUE(RIGHT(AA1317,LEN(AA1317)-MIN(FIND({0;1;2;3;4;5;6;7;8;9},AA1317&amp;"0123456789"))+1)),"")</f>
        <v/>
      </c>
    </row>
    <row r="1318" spans="28:28" x14ac:dyDescent="0.2">
      <c r="AB1318" s="660" t="str">
        <f>IFERROR(VALUE(RIGHT(AA1318,LEN(AA1318)-MIN(FIND({0;1;2;3;4;5;6;7;8;9},AA1318&amp;"0123456789"))+1)),"")</f>
        <v/>
      </c>
    </row>
    <row r="1319" spans="28:28" x14ac:dyDescent="0.2">
      <c r="AB1319" s="660" t="str">
        <f>IFERROR(VALUE(RIGHT(AA1319,LEN(AA1319)-MIN(FIND({0;1;2;3;4;5;6;7;8;9},AA1319&amp;"0123456789"))+1)),"")</f>
        <v/>
      </c>
    </row>
    <row r="1320" spans="28:28" x14ac:dyDescent="0.2">
      <c r="AB1320" s="660" t="str">
        <f>IFERROR(VALUE(RIGHT(AA1320,LEN(AA1320)-MIN(FIND({0;1;2;3;4;5;6;7;8;9},AA1320&amp;"0123456789"))+1)),"")</f>
        <v/>
      </c>
    </row>
    <row r="1321" spans="28:28" x14ac:dyDescent="0.2">
      <c r="AB1321" s="660" t="str">
        <f>IFERROR(VALUE(RIGHT(AA1321,LEN(AA1321)-MIN(FIND({0;1;2;3;4;5;6;7;8;9},AA1321&amp;"0123456789"))+1)),"")</f>
        <v/>
      </c>
    </row>
    <row r="1322" spans="28:28" x14ac:dyDescent="0.2">
      <c r="AB1322" s="660" t="str">
        <f>IFERROR(VALUE(RIGHT(AA1322,LEN(AA1322)-MIN(FIND({0;1;2;3;4;5;6;7;8;9},AA1322&amp;"0123456789"))+1)),"")</f>
        <v/>
      </c>
    </row>
    <row r="1323" spans="28:28" x14ac:dyDescent="0.2">
      <c r="AB1323" s="660" t="str">
        <f>IFERROR(VALUE(RIGHT(AA1323,LEN(AA1323)-MIN(FIND({0;1;2;3;4;5;6;7;8;9},AA1323&amp;"0123456789"))+1)),"")</f>
        <v/>
      </c>
    </row>
    <row r="1324" spans="28:28" x14ac:dyDescent="0.2">
      <c r="AB1324" s="660" t="str">
        <f>IFERROR(VALUE(RIGHT(AA1324,LEN(AA1324)-MIN(FIND({0;1;2;3;4;5;6;7;8;9},AA1324&amp;"0123456789"))+1)),"")</f>
        <v/>
      </c>
    </row>
    <row r="1325" spans="28:28" x14ac:dyDescent="0.2">
      <c r="AB1325" s="660" t="str">
        <f>IFERROR(VALUE(RIGHT(AA1325,LEN(AA1325)-MIN(FIND({0;1;2;3;4;5;6;7;8;9},AA1325&amp;"0123456789"))+1)),"")</f>
        <v/>
      </c>
    </row>
    <row r="1326" spans="28:28" x14ac:dyDescent="0.2">
      <c r="AB1326" s="660" t="str">
        <f>IFERROR(VALUE(RIGHT(AA1326,LEN(AA1326)-MIN(FIND({0;1;2;3;4;5;6;7;8;9},AA1326&amp;"0123456789"))+1)),"")</f>
        <v/>
      </c>
    </row>
    <row r="1327" spans="28:28" x14ac:dyDescent="0.2">
      <c r="AB1327" s="660" t="str">
        <f>IFERROR(VALUE(RIGHT(AA1327,LEN(AA1327)-MIN(FIND({0;1;2;3;4;5;6;7;8;9},AA1327&amp;"0123456789"))+1)),"")</f>
        <v/>
      </c>
    </row>
    <row r="1328" spans="28:28" x14ac:dyDescent="0.2">
      <c r="AB1328" s="660" t="str">
        <f>IFERROR(VALUE(RIGHT(AA1328,LEN(AA1328)-MIN(FIND({0;1;2;3;4;5;6;7;8;9},AA1328&amp;"0123456789"))+1)),"")</f>
        <v/>
      </c>
    </row>
    <row r="1329" spans="28:28" x14ac:dyDescent="0.2">
      <c r="AB1329" s="660" t="str">
        <f>IFERROR(VALUE(RIGHT(AA1329,LEN(AA1329)-MIN(FIND({0;1;2;3;4;5;6;7;8;9},AA1329&amp;"0123456789"))+1)),"")</f>
        <v/>
      </c>
    </row>
    <row r="1330" spans="28:28" x14ac:dyDescent="0.2">
      <c r="AB1330" s="660" t="str">
        <f>IFERROR(VALUE(RIGHT(AA1330,LEN(AA1330)-MIN(FIND({0;1;2;3;4;5;6;7;8;9},AA1330&amp;"0123456789"))+1)),"")</f>
        <v/>
      </c>
    </row>
    <row r="1331" spans="28:28" x14ac:dyDescent="0.2">
      <c r="AB1331" s="660" t="str">
        <f>IFERROR(VALUE(RIGHT(AA1331,LEN(AA1331)-MIN(FIND({0;1;2;3;4;5;6;7;8;9},AA1331&amp;"0123456789"))+1)),"")</f>
        <v/>
      </c>
    </row>
    <row r="1332" spans="28:28" x14ac:dyDescent="0.2">
      <c r="AB1332" s="660" t="str">
        <f>IFERROR(VALUE(RIGHT(AA1332,LEN(AA1332)-MIN(FIND({0;1;2;3;4;5;6;7;8;9},AA1332&amp;"0123456789"))+1)),"")</f>
        <v/>
      </c>
    </row>
    <row r="1333" spans="28:28" x14ac:dyDescent="0.2">
      <c r="AB1333" s="660" t="str">
        <f>IFERROR(VALUE(RIGHT(AA1333,LEN(AA1333)-MIN(FIND({0;1;2;3;4;5;6;7;8;9},AA1333&amp;"0123456789"))+1)),"")</f>
        <v/>
      </c>
    </row>
    <row r="1334" spans="28:28" x14ac:dyDescent="0.2">
      <c r="AB1334" s="660" t="str">
        <f>IFERROR(VALUE(RIGHT(AA1334,LEN(AA1334)-MIN(FIND({0;1;2;3;4;5;6;7;8;9},AA1334&amp;"0123456789"))+1)),"")</f>
        <v/>
      </c>
    </row>
    <row r="1335" spans="28:28" x14ac:dyDescent="0.2">
      <c r="AB1335" s="660" t="str">
        <f>IFERROR(VALUE(RIGHT(AA1335,LEN(AA1335)-MIN(FIND({0;1;2;3;4;5;6;7;8;9},AA1335&amp;"0123456789"))+1)),"")</f>
        <v/>
      </c>
    </row>
    <row r="1336" spans="28:28" x14ac:dyDescent="0.2">
      <c r="AB1336" s="660" t="str">
        <f>IFERROR(VALUE(RIGHT(AA1336,LEN(AA1336)-MIN(FIND({0;1;2;3;4;5;6;7;8;9},AA1336&amp;"0123456789"))+1)),"")</f>
        <v/>
      </c>
    </row>
    <row r="1337" spans="28:28" x14ac:dyDescent="0.2">
      <c r="AB1337" s="660" t="str">
        <f>IFERROR(VALUE(RIGHT(AA1337,LEN(AA1337)-MIN(FIND({0;1;2;3;4;5;6;7;8;9},AA1337&amp;"0123456789"))+1)),"")</f>
        <v/>
      </c>
    </row>
    <row r="1338" spans="28:28" x14ac:dyDescent="0.2">
      <c r="AB1338" s="660" t="str">
        <f>IFERROR(VALUE(RIGHT(AA1338,LEN(AA1338)-MIN(FIND({0;1;2;3;4;5;6;7;8;9},AA1338&amp;"0123456789"))+1)),"")</f>
        <v/>
      </c>
    </row>
    <row r="1339" spans="28:28" x14ac:dyDescent="0.2">
      <c r="AB1339" s="660" t="str">
        <f>IFERROR(VALUE(RIGHT(AA1339,LEN(AA1339)-MIN(FIND({0;1;2;3;4;5;6;7;8;9},AA1339&amp;"0123456789"))+1)),"")</f>
        <v/>
      </c>
    </row>
    <row r="1340" spans="28:28" x14ac:dyDescent="0.2">
      <c r="AB1340" s="660" t="str">
        <f>IFERROR(VALUE(RIGHT(AA1340,LEN(AA1340)-MIN(FIND({0;1;2;3;4;5;6;7;8;9},AA1340&amp;"0123456789"))+1)),"")</f>
        <v/>
      </c>
    </row>
    <row r="1341" spans="28:28" x14ac:dyDescent="0.2">
      <c r="AB1341" s="660" t="str">
        <f>IFERROR(VALUE(RIGHT(AA1341,LEN(AA1341)-MIN(FIND({0;1;2;3;4;5;6;7;8;9},AA1341&amp;"0123456789"))+1)),"")</f>
        <v/>
      </c>
    </row>
    <row r="1342" spans="28:28" x14ac:dyDescent="0.2">
      <c r="AB1342" s="660" t="str">
        <f>IFERROR(VALUE(RIGHT(AA1342,LEN(AA1342)-MIN(FIND({0;1;2;3;4;5;6;7;8;9},AA1342&amp;"0123456789"))+1)),"")</f>
        <v/>
      </c>
    </row>
    <row r="1343" spans="28:28" x14ac:dyDescent="0.2">
      <c r="AB1343" s="660" t="str">
        <f>IFERROR(VALUE(RIGHT(AA1343,LEN(AA1343)-MIN(FIND({0;1;2;3;4;5;6;7;8;9},AA1343&amp;"0123456789"))+1)),"")</f>
        <v/>
      </c>
    </row>
    <row r="1344" spans="28:28" x14ac:dyDescent="0.2">
      <c r="AB1344" s="660" t="str">
        <f>IFERROR(VALUE(RIGHT(AA1344,LEN(AA1344)-MIN(FIND({0;1;2;3;4;5;6;7;8;9},AA1344&amp;"0123456789"))+1)),"")</f>
        <v/>
      </c>
    </row>
    <row r="1345" spans="28:28" x14ac:dyDescent="0.2">
      <c r="AB1345" s="660" t="str">
        <f>IFERROR(VALUE(RIGHT(AA1345,LEN(AA1345)-MIN(FIND({0;1;2;3;4;5;6;7;8;9},AA1345&amp;"0123456789"))+1)),"")</f>
        <v/>
      </c>
    </row>
    <row r="1346" spans="28:28" x14ac:dyDescent="0.2">
      <c r="AB1346" s="660" t="str">
        <f>IFERROR(VALUE(RIGHT(AA1346,LEN(AA1346)-MIN(FIND({0;1;2;3;4;5;6;7;8;9},AA1346&amp;"0123456789"))+1)),"")</f>
        <v/>
      </c>
    </row>
    <row r="1347" spans="28:28" x14ac:dyDescent="0.2">
      <c r="AB1347" s="660" t="str">
        <f>IFERROR(VALUE(RIGHT(AA1347,LEN(AA1347)-MIN(FIND({0;1;2;3;4;5;6;7;8;9},AA1347&amp;"0123456789"))+1)),"")</f>
        <v/>
      </c>
    </row>
    <row r="1348" spans="28:28" x14ac:dyDescent="0.2">
      <c r="AB1348" s="660" t="str">
        <f>IFERROR(VALUE(RIGHT(AA1348,LEN(AA1348)-MIN(FIND({0;1;2;3;4;5;6;7;8;9},AA1348&amp;"0123456789"))+1)),"")</f>
        <v/>
      </c>
    </row>
    <row r="1349" spans="28:28" x14ac:dyDescent="0.2">
      <c r="AB1349" s="660" t="str">
        <f>IFERROR(VALUE(RIGHT(AA1349,LEN(AA1349)-MIN(FIND({0;1;2;3;4;5;6;7;8;9},AA1349&amp;"0123456789"))+1)),"")</f>
        <v/>
      </c>
    </row>
    <row r="1350" spans="28:28" x14ac:dyDescent="0.2">
      <c r="AB1350" s="660" t="str">
        <f>IFERROR(VALUE(RIGHT(AA1350,LEN(AA1350)-MIN(FIND({0;1;2;3;4;5;6;7;8;9},AA1350&amp;"0123456789"))+1)),"")</f>
        <v/>
      </c>
    </row>
    <row r="1351" spans="28:28" x14ac:dyDescent="0.2">
      <c r="AB1351" s="660" t="str">
        <f>IFERROR(VALUE(RIGHT(AA1351,LEN(AA1351)-MIN(FIND({0;1;2;3;4;5;6;7;8;9},AA1351&amp;"0123456789"))+1)),"")</f>
        <v/>
      </c>
    </row>
    <row r="1352" spans="28:28" x14ac:dyDescent="0.2">
      <c r="AB1352" s="660" t="str">
        <f>IFERROR(VALUE(RIGHT(AA1352,LEN(AA1352)-MIN(FIND({0;1;2;3;4;5;6;7;8;9},AA1352&amp;"0123456789"))+1)),"")</f>
        <v/>
      </c>
    </row>
    <row r="1353" spans="28:28" x14ac:dyDescent="0.2">
      <c r="AB1353" s="660" t="str">
        <f>IFERROR(VALUE(RIGHT(AA1353,LEN(AA1353)-MIN(FIND({0;1;2;3;4;5;6;7;8;9},AA1353&amp;"0123456789"))+1)),"")</f>
        <v/>
      </c>
    </row>
    <row r="1354" spans="28:28" x14ac:dyDescent="0.2">
      <c r="AB1354" s="660" t="str">
        <f>IFERROR(VALUE(RIGHT(AA1354,LEN(AA1354)-MIN(FIND({0;1;2;3;4;5;6;7;8;9},AA1354&amp;"0123456789"))+1)),"")</f>
        <v/>
      </c>
    </row>
    <row r="1355" spans="28:28" x14ac:dyDescent="0.2">
      <c r="AB1355" s="660" t="str">
        <f>IFERROR(VALUE(RIGHT(AA1355,LEN(AA1355)-MIN(FIND({0;1;2;3;4;5;6;7;8;9},AA1355&amp;"0123456789"))+1)),"")</f>
        <v/>
      </c>
    </row>
    <row r="1356" spans="28:28" x14ac:dyDescent="0.2">
      <c r="AB1356" s="660" t="str">
        <f>IFERROR(VALUE(RIGHT(AA1356,LEN(AA1356)-MIN(FIND({0;1;2;3;4;5;6;7;8;9},AA1356&amp;"0123456789"))+1)),"")</f>
        <v/>
      </c>
    </row>
    <row r="1357" spans="28:28" x14ac:dyDescent="0.2">
      <c r="AB1357" s="660" t="str">
        <f>IFERROR(VALUE(RIGHT(AA1357,LEN(AA1357)-MIN(FIND({0;1;2;3;4;5;6;7;8;9},AA1357&amp;"0123456789"))+1)),"")</f>
        <v/>
      </c>
    </row>
    <row r="1358" spans="28:28" x14ac:dyDescent="0.2">
      <c r="AB1358" s="660" t="str">
        <f>IFERROR(VALUE(RIGHT(AA1358,LEN(AA1358)-MIN(FIND({0;1;2;3;4;5;6;7;8;9},AA1358&amp;"0123456789"))+1)),"")</f>
        <v/>
      </c>
    </row>
    <row r="1359" spans="28:28" x14ac:dyDescent="0.2">
      <c r="AB1359" s="660" t="str">
        <f>IFERROR(VALUE(RIGHT(AA1359,LEN(AA1359)-MIN(FIND({0;1;2;3;4;5;6;7;8;9},AA1359&amp;"0123456789"))+1)),"")</f>
        <v/>
      </c>
    </row>
    <row r="1360" spans="28:28" x14ac:dyDescent="0.2">
      <c r="AB1360" s="660" t="str">
        <f>IFERROR(VALUE(RIGHT(AA1360,LEN(AA1360)-MIN(FIND({0;1;2;3;4;5;6;7;8;9},AA1360&amp;"0123456789"))+1)),"")</f>
        <v/>
      </c>
    </row>
    <row r="1361" spans="28:28" x14ac:dyDescent="0.2">
      <c r="AB1361" s="660" t="str">
        <f>IFERROR(VALUE(RIGHT(AA1361,LEN(AA1361)-MIN(FIND({0;1;2;3;4;5;6;7;8;9},AA1361&amp;"0123456789"))+1)),"")</f>
        <v/>
      </c>
    </row>
    <row r="1362" spans="28:28" x14ac:dyDescent="0.2">
      <c r="AB1362" s="660" t="str">
        <f>IFERROR(VALUE(RIGHT(AA1362,LEN(AA1362)-MIN(FIND({0;1;2;3;4;5;6;7;8;9},AA1362&amp;"0123456789"))+1)),"")</f>
        <v/>
      </c>
    </row>
    <row r="1363" spans="28:28" x14ac:dyDescent="0.2">
      <c r="AB1363" s="660" t="str">
        <f>IFERROR(VALUE(RIGHT(AA1363,LEN(AA1363)-MIN(FIND({0;1;2;3;4;5;6;7;8;9},AA1363&amp;"0123456789"))+1)),"")</f>
        <v/>
      </c>
    </row>
    <row r="1364" spans="28:28" x14ac:dyDescent="0.2">
      <c r="AB1364" s="660" t="str">
        <f>IFERROR(VALUE(RIGHT(AA1364,LEN(AA1364)-MIN(FIND({0;1;2;3;4;5;6;7;8;9},AA1364&amp;"0123456789"))+1)),"")</f>
        <v/>
      </c>
    </row>
    <row r="1365" spans="28:28" x14ac:dyDescent="0.2">
      <c r="AB1365" s="660" t="str">
        <f>IFERROR(VALUE(RIGHT(AA1365,LEN(AA1365)-MIN(FIND({0;1;2;3;4;5;6;7;8;9},AA1365&amp;"0123456789"))+1)),"")</f>
        <v/>
      </c>
    </row>
    <row r="1366" spans="28:28" x14ac:dyDescent="0.2">
      <c r="AB1366" s="660" t="str">
        <f>IFERROR(VALUE(RIGHT(AA1366,LEN(AA1366)-MIN(FIND({0;1;2;3;4;5;6;7;8;9},AA1366&amp;"0123456789"))+1)),"")</f>
        <v/>
      </c>
    </row>
    <row r="1367" spans="28:28" x14ac:dyDescent="0.2">
      <c r="AB1367" s="660" t="str">
        <f>IFERROR(VALUE(RIGHT(AA1367,LEN(AA1367)-MIN(FIND({0;1;2;3;4;5;6;7;8;9},AA1367&amp;"0123456789"))+1)),"")</f>
        <v/>
      </c>
    </row>
    <row r="1368" spans="28:28" x14ac:dyDescent="0.2">
      <c r="AB1368" s="660" t="str">
        <f>IFERROR(VALUE(RIGHT(AA1368,LEN(AA1368)-MIN(FIND({0;1;2;3;4;5;6;7;8;9},AA1368&amp;"0123456789"))+1)),"")</f>
        <v/>
      </c>
    </row>
    <row r="1369" spans="28:28" x14ac:dyDescent="0.2">
      <c r="AB1369" s="660" t="str">
        <f>IFERROR(VALUE(RIGHT(AA1369,LEN(AA1369)-MIN(FIND({0;1;2;3;4;5;6;7;8;9},AA1369&amp;"0123456789"))+1)),"")</f>
        <v/>
      </c>
    </row>
    <row r="1370" spans="28:28" x14ac:dyDescent="0.2">
      <c r="AB1370" s="660" t="str">
        <f>IFERROR(VALUE(RIGHT(AA1370,LEN(AA1370)-MIN(FIND({0;1;2;3;4;5;6;7;8;9},AA1370&amp;"0123456789"))+1)),"")</f>
        <v/>
      </c>
    </row>
    <row r="1371" spans="28:28" x14ac:dyDescent="0.2">
      <c r="AB1371" s="660" t="str">
        <f>IFERROR(VALUE(RIGHT(AA1371,LEN(AA1371)-MIN(FIND({0;1;2;3;4;5;6;7;8;9},AA1371&amp;"0123456789"))+1)),"")</f>
        <v/>
      </c>
    </row>
    <row r="1372" spans="28:28" x14ac:dyDescent="0.2">
      <c r="AB1372" s="660" t="str">
        <f>IFERROR(VALUE(RIGHT(AA1372,LEN(AA1372)-MIN(FIND({0;1;2;3;4;5;6;7;8;9},AA1372&amp;"0123456789"))+1)),"")</f>
        <v/>
      </c>
    </row>
    <row r="1373" spans="28:28" x14ac:dyDescent="0.2">
      <c r="AB1373" s="660" t="str">
        <f>IFERROR(VALUE(RIGHT(AA1373,LEN(AA1373)-MIN(FIND({0;1;2;3;4;5;6;7;8;9},AA1373&amp;"0123456789"))+1)),"")</f>
        <v/>
      </c>
    </row>
    <row r="1374" spans="28:28" x14ac:dyDescent="0.2">
      <c r="AB1374" s="660" t="str">
        <f>IFERROR(VALUE(RIGHT(AA1374,LEN(AA1374)-MIN(FIND({0;1;2;3;4;5;6;7;8;9},AA1374&amp;"0123456789"))+1)),"")</f>
        <v/>
      </c>
    </row>
    <row r="1375" spans="28:28" x14ac:dyDescent="0.2">
      <c r="AB1375" s="660" t="str">
        <f>IFERROR(VALUE(RIGHT(AA1375,LEN(AA1375)-MIN(FIND({0;1;2;3;4;5;6;7;8;9},AA1375&amp;"0123456789"))+1)),"")</f>
        <v/>
      </c>
    </row>
    <row r="1376" spans="28:28" x14ac:dyDescent="0.2">
      <c r="AB1376" s="660" t="str">
        <f>IFERROR(VALUE(RIGHT(AA1376,LEN(AA1376)-MIN(FIND({0;1;2;3;4;5;6;7;8;9},AA1376&amp;"0123456789"))+1)),"")</f>
        <v/>
      </c>
    </row>
    <row r="1377" spans="28:28" x14ac:dyDescent="0.2">
      <c r="AB1377" s="660" t="str">
        <f>IFERROR(VALUE(RIGHT(AA1377,LEN(AA1377)-MIN(FIND({0;1;2;3;4;5;6;7;8;9},AA1377&amp;"0123456789"))+1)),"")</f>
        <v/>
      </c>
    </row>
    <row r="1378" spans="28:28" x14ac:dyDescent="0.2">
      <c r="AB1378" s="660" t="str">
        <f>IFERROR(VALUE(RIGHT(AA1378,LEN(AA1378)-MIN(FIND({0;1;2;3;4;5;6;7;8;9},AA1378&amp;"0123456789"))+1)),"")</f>
        <v/>
      </c>
    </row>
    <row r="1379" spans="28:28" x14ac:dyDescent="0.2">
      <c r="AB1379" s="660" t="str">
        <f>IFERROR(VALUE(RIGHT(AA1379,LEN(AA1379)-MIN(FIND({0;1;2;3;4;5;6;7;8;9},AA1379&amp;"0123456789"))+1)),"")</f>
        <v/>
      </c>
    </row>
    <row r="1380" spans="28:28" x14ac:dyDescent="0.2">
      <c r="AB1380" s="660" t="str">
        <f>IFERROR(VALUE(RIGHT(AA1380,LEN(AA1380)-MIN(FIND({0;1;2;3;4;5;6;7;8;9},AA1380&amp;"0123456789"))+1)),"")</f>
        <v/>
      </c>
    </row>
    <row r="1381" spans="28:28" x14ac:dyDescent="0.2">
      <c r="AB1381" s="660" t="str">
        <f>IFERROR(VALUE(RIGHT(AA1381,LEN(AA1381)-MIN(FIND({0;1;2;3;4;5;6;7;8;9},AA1381&amp;"0123456789"))+1)),"")</f>
        <v/>
      </c>
    </row>
    <row r="1382" spans="28:28" x14ac:dyDescent="0.2">
      <c r="AB1382" s="660" t="str">
        <f>IFERROR(VALUE(RIGHT(AA1382,LEN(AA1382)-MIN(FIND({0;1;2;3;4;5;6;7;8;9},AA1382&amp;"0123456789"))+1)),"")</f>
        <v/>
      </c>
    </row>
    <row r="1383" spans="28:28" x14ac:dyDescent="0.2">
      <c r="AB1383" s="660" t="str">
        <f>IFERROR(VALUE(RIGHT(AA1383,LEN(AA1383)-MIN(FIND({0;1;2;3;4;5;6;7;8;9},AA1383&amp;"0123456789"))+1)),"")</f>
        <v/>
      </c>
    </row>
    <row r="1384" spans="28:28" x14ac:dyDescent="0.2">
      <c r="AB1384" s="660" t="str">
        <f>IFERROR(VALUE(RIGHT(AA1384,LEN(AA1384)-MIN(FIND({0;1;2;3;4;5;6;7;8;9},AA1384&amp;"0123456789"))+1)),"")</f>
        <v/>
      </c>
    </row>
    <row r="1385" spans="28:28" x14ac:dyDescent="0.2">
      <c r="AB1385" s="660" t="str">
        <f>IFERROR(VALUE(RIGHT(AA1385,LEN(AA1385)-MIN(FIND({0;1;2;3;4;5;6;7;8;9},AA1385&amp;"0123456789"))+1)),"")</f>
        <v/>
      </c>
    </row>
    <row r="1386" spans="28:28" x14ac:dyDescent="0.2">
      <c r="AB1386" s="660" t="str">
        <f>IFERROR(VALUE(RIGHT(AA1386,LEN(AA1386)-MIN(FIND({0;1;2;3;4;5;6;7;8;9},AA1386&amp;"0123456789"))+1)),"")</f>
        <v/>
      </c>
    </row>
    <row r="1387" spans="28:28" x14ac:dyDescent="0.2">
      <c r="AB1387" s="660" t="str">
        <f>IFERROR(VALUE(RIGHT(AA1387,LEN(AA1387)-MIN(FIND({0;1;2;3;4;5;6;7;8;9},AA1387&amp;"0123456789"))+1)),"")</f>
        <v/>
      </c>
    </row>
    <row r="1388" spans="28:28" x14ac:dyDescent="0.2">
      <c r="AB1388" s="660" t="str">
        <f>IFERROR(VALUE(RIGHT(AA1388,LEN(AA1388)-MIN(FIND({0;1;2;3;4;5;6;7;8;9},AA1388&amp;"0123456789"))+1)),"")</f>
        <v/>
      </c>
    </row>
    <row r="1389" spans="28:28" x14ac:dyDescent="0.2">
      <c r="AB1389" s="660" t="str">
        <f>IFERROR(VALUE(RIGHT(AA1389,LEN(AA1389)-MIN(FIND({0;1;2;3;4;5;6;7;8;9},AA1389&amp;"0123456789"))+1)),"")</f>
        <v/>
      </c>
    </row>
    <row r="1390" spans="28:28" x14ac:dyDescent="0.2">
      <c r="AB1390" s="660" t="str">
        <f>IFERROR(VALUE(RIGHT(AA1390,LEN(AA1390)-MIN(FIND({0;1;2;3;4;5;6;7;8;9},AA1390&amp;"0123456789"))+1)),"")</f>
        <v/>
      </c>
    </row>
    <row r="1391" spans="28:28" x14ac:dyDescent="0.2">
      <c r="AB1391" s="660" t="str">
        <f>IFERROR(VALUE(RIGHT(AA1391,LEN(AA1391)-MIN(FIND({0;1;2;3;4;5;6;7;8;9},AA1391&amp;"0123456789"))+1)),"")</f>
        <v/>
      </c>
    </row>
    <row r="1392" spans="28:28" x14ac:dyDescent="0.2">
      <c r="AB1392" s="660" t="str">
        <f>IFERROR(VALUE(RIGHT(AA1392,LEN(AA1392)-MIN(FIND({0;1;2;3;4;5;6;7;8;9},AA1392&amp;"0123456789"))+1)),"")</f>
        <v/>
      </c>
    </row>
    <row r="1393" spans="28:28" x14ac:dyDescent="0.2">
      <c r="AB1393" s="660" t="str">
        <f>IFERROR(VALUE(RIGHT(AA1393,LEN(AA1393)-MIN(FIND({0;1;2;3;4;5;6;7;8;9},AA1393&amp;"0123456789"))+1)),"")</f>
        <v/>
      </c>
    </row>
    <row r="1394" spans="28:28" x14ac:dyDescent="0.2">
      <c r="AB1394" s="660" t="str">
        <f>IFERROR(VALUE(RIGHT(AA1394,LEN(AA1394)-MIN(FIND({0;1;2;3;4;5;6;7;8;9},AA1394&amp;"0123456789"))+1)),"")</f>
        <v/>
      </c>
    </row>
    <row r="1395" spans="28:28" x14ac:dyDescent="0.2">
      <c r="AB1395" s="660" t="str">
        <f>IFERROR(VALUE(RIGHT(AA1395,LEN(AA1395)-MIN(FIND({0;1;2;3;4;5;6;7;8;9},AA1395&amp;"0123456789"))+1)),"")</f>
        <v/>
      </c>
    </row>
    <row r="1396" spans="28:28" x14ac:dyDescent="0.2">
      <c r="AB1396" s="660" t="str">
        <f>IFERROR(VALUE(RIGHT(AA1396,LEN(AA1396)-MIN(FIND({0;1;2;3;4;5;6;7;8;9},AA1396&amp;"0123456789"))+1)),"")</f>
        <v/>
      </c>
    </row>
    <row r="1397" spans="28:28" x14ac:dyDescent="0.2">
      <c r="AB1397" s="660" t="str">
        <f>IFERROR(VALUE(RIGHT(AA1397,LEN(AA1397)-MIN(FIND({0;1;2;3;4;5;6;7;8;9},AA1397&amp;"0123456789"))+1)),"")</f>
        <v/>
      </c>
    </row>
    <row r="1398" spans="28:28" x14ac:dyDescent="0.2">
      <c r="AB1398" s="660" t="str">
        <f>IFERROR(VALUE(RIGHT(AA1398,LEN(AA1398)-MIN(FIND({0;1;2;3;4;5;6;7;8;9},AA1398&amp;"0123456789"))+1)),"")</f>
        <v/>
      </c>
    </row>
    <row r="1399" spans="28:28" x14ac:dyDescent="0.2">
      <c r="AB1399" s="660" t="str">
        <f>IFERROR(VALUE(RIGHT(AA1399,LEN(AA1399)-MIN(FIND({0;1;2;3;4;5;6;7;8;9},AA1399&amp;"0123456789"))+1)),"")</f>
        <v/>
      </c>
    </row>
    <row r="1400" spans="28:28" x14ac:dyDescent="0.2">
      <c r="AB1400" s="660" t="str">
        <f>IFERROR(VALUE(RIGHT(AA1400,LEN(AA1400)-MIN(FIND({0;1;2;3;4;5;6;7;8;9},AA1400&amp;"0123456789"))+1)),"")</f>
        <v/>
      </c>
    </row>
    <row r="1401" spans="28:28" x14ac:dyDescent="0.2">
      <c r="AB1401" s="660" t="str">
        <f>IFERROR(VALUE(RIGHT(AA1401,LEN(AA1401)-MIN(FIND({0;1;2;3;4;5;6;7;8;9},AA1401&amp;"0123456789"))+1)),"")</f>
        <v/>
      </c>
    </row>
    <row r="1402" spans="28:28" x14ac:dyDescent="0.2">
      <c r="AB1402" s="660" t="str">
        <f>IFERROR(VALUE(RIGHT(AA1402,LEN(AA1402)-MIN(FIND({0;1;2;3;4;5;6;7;8;9},AA1402&amp;"0123456789"))+1)),"")</f>
        <v/>
      </c>
    </row>
    <row r="1403" spans="28:28" x14ac:dyDescent="0.2">
      <c r="AB1403" s="660" t="str">
        <f>IFERROR(VALUE(RIGHT(AA1403,LEN(AA1403)-MIN(FIND({0;1;2;3;4;5;6;7;8;9},AA1403&amp;"0123456789"))+1)),"")</f>
        <v/>
      </c>
    </row>
    <row r="1404" spans="28:28" x14ac:dyDescent="0.2">
      <c r="AB1404" s="660" t="str">
        <f>IFERROR(VALUE(RIGHT(AA1404,LEN(AA1404)-MIN(FIND({0;1;2;3;4;5;6;7;8;9},AA1404&amp;"0123456789"))+1)),"")</f>
        <v/>
      </c>
    </row>
    <row r="1405" spans="28:28" x14ac:dyDescent="0.2">
      <c r="AB1405" s="660" t="str">
        <f>IFERROR(VALUE(RIGHT(AA1405,LEN(AA1405)-MIN(FIND({0;1;2;3;4;5;6;7;8;9},AA1405&amp;"0123456789"))+1)),"")</f>
        <v/>
      </c>
    </row>
    <row r="1406" spans="28:28" x14ac:dyDescent="0.2">
      <c r="AB1406" s="660" t="str">
        <f>IFERROR(VALUE(RIGHT(AA1406,LEN(AA1406)-MIN(FIND({0;1;2;3;4;5;6;7;8;9},AA1406&amp;"0123456789"))+1)),"")</f>
        <v/>
      </c>
    </row>
    <row r="1407" spans="28:28" x14ac:dyDescent="0.2">
      <c r="AB1407" s="660" t="str">
        <f>IFERROR(VALUE(RIGHT(AA1407,LEN(AA1407)-MIN(FIND({0;1;2;3;4;5;6;7;8;9},AA1407&amp;"0123456789"))+1)),"")</f>
        <v/>
      </c>
    </row>
    <row r="1408" spans="28:28" x14ac:dyDescent="0.2">
      <c r="AB1408" s="660" t="str">
        <f>IFERROR(VALUE(RIGHT(AA1408,LEN(AA1408)-MIN(FIND({0;1;2;3;4;5;6;7;8;9},AA1408&amp;"0123456789"))+1)),"")</f>
        <v/>
      </c>
    </row>
    <row r="1409" spans="28:28" x14ac:dyDescent="0.2">
      <c r="AB1409" s="660" t="str">
        <f>IFERROR(VALUE(RIGHT(AA1409,LEN(AA1409)-MIN(FIND({0;1;2;3;4;5;6;7;8;9},AA1409&amp;"0123456789"))+1)),"")</f>
        <v/>
      </c>
    </row>
    <row r="1410" spans="28:28" x14ac:dyDescent="0.2">
      <c r="AB1410" s="660" t="str">
        <f>IFERROR(VALUE(RIGHT(AA1410,LEN(AA1410)-MIN(FIND({0;1;2;3;4;5;6;7;8;9},AA1410&amp;"0123456789"))+1)),"")</f>
        <v/>
      </c>
    </row>
    <row r="1411" spans="28:28" x14ac:dyDescent="0.2">
      <c r="AB1411" s="660" t="str">
        <f>IFERROR(VALUE(RIGHT(AA1411,LEN(AA1411)-MIN(FIND({0;1;2;3;4;5;6;7;8;9},AA1411&amp;"0123456789"))+1)),"")</f>
        <v/>
      </c>
    </row>
    <row r="1412" spans="28:28" x14ac:dyDescent="0.2">
      <c r="AB1412" s="660" t="str">
        <f>IFERROR(VALUE(RIGHT(AA1412,LEN(AA1412)-MIN(FIND({0;1;2;3;4;5;6;7;8;9},AA1412&amp;"0123456789"))+1)),"")</f>
        <v/>
      </c>
    </row>
    <row r="1413" spans="28:28" x14ac:dyDescent="0.2">
      <c r="AB1413" s="660" t="str">
        <f>IFERROR(VALUE(RIGHT(AA1413,LEN(AA1413)-MIN(FIND({0;1;2;3;4;5;6;7;8;9},AA1413&amp;"0123456789"))+1)),"")</f>
        <v/>
      </c>
    </row>
    <row r="1414" spans="28:28" x14ac:dyDescent="0.2">
      <c r="AB1414" s="660" t="str">
        <f>IFERROR(VALUE(RIGHT(AA1414,LEN(AA1414)-MIN(FIND({0;1;2;3;4;5;6;7;8;9},AA1414&amp;"0123456789"))+1)),"")</f>
        <v/>
      </c>
    </row>
    <row r="1415" spans="28:28" x14ac:dyDescent="0.2">
      <c r="AB1415" s="660" t="str">
        <f>IFERROR(VALUE(RIGHT(AA1415,LEN(AA1415)-MIN(FIND({0;1;2;3;4;5;6;7;8;9},AA1415&amp;"0123456789"))+1)),"")</f>
        <v/>
      </c>
    </row>
    <row r="1416" spans="28:28" x14ac:dyDescent="0.2">
      <c r="AB1416" s="660" t="str">
        <f>IFERROR(VALUE(RIGHT(AA1416,LEN(AA1416)-MIN(FIND({0;1;2;3;4;5;6;7;8;9},AA1416&amp;"0123456789"))+1)),"")</f>
        <v/>
      </c>
    </row>
    <row r="1417" spans="28:28" x14ac:dyDescent="0.2">
      <c r="AB1417" s="660" t="str">
        <f>IFERROR(VALUE(RIGHT(AA1417,LEN(AA1417)-MIN(FIND({0;1;2;3;4;5;6;7;8;9},AA1417&amp;"0123456789"))+1)),"")</f>
        <v/>
      </c>
    </row>
    <row r="1418" spans="28:28" x14ac:dyDescent="0.2">
      <c r="AB1418" s="660" t="str">
        <f>IFERROR(VALUE(RIGHT(AA1418,LEN(AA1418)-MIN(FIND({0;1;2;3;4;5;6;7;8;9},AA1418&amp;"0123456789"))+1)),"")</f>
        <v/>
      </c>
    </row>
    <row r="1419" spans="28:28" x14ac:dyDescent="0.2">
      <c r="AB1419" s="660" t="str">
        <f>IFERROR(VALUE(RIGHT(AA1419,LEN(AA1419)-MIN(FIND({0;1;2;3;4;5;6;7;8;9},AA1419&amp;"0123456789"))+1)),"")</f>
        <v/>
      </c>
    </row>
    <row r="1420" spans="28:28" x14ac:dyDescent="0.2">
      <c r="AB1420" s="660" t="str">
        <f>IFERROR(VALUE(RIGHT(AA1420,LEN(AA1420)-MIN(FIND({0;1;2;3;4;5;6;7;8;9},AA1420&amp;"0123456789"))+1)),"")</f>
        <v/>
      </c>
    </row>
    <row r="1421" spans="28:28" x14ac:dyDescent="0.2">
      <c r="AB1421" s="660" t="str">
        <f>IFERROR(VALUE(RIGHT(AA1421,LEN(AA1421)-MIN(FIND({0;1;2;3;4;5;6;7;8;9},AA1421&amp;"0123456789"))+1)),"")</f>
        <v/>
      </c>
    </row>
    <row r="1422" spans="28:28" x14ac:dyDescent="0.2">
      <c r="AB1422" s="660" t="str">
        <f>IFERROR(VALUE(RIGHT(AA1422,LEN(AA1422)-MIN(FIND({0;1;2;3;4;5;6;7;8;9},AA1422&amp;"0123456789"))+1)),"")</f>
        <v/>
      </c>
    </row>
    <row r="1423" spans="28:28" x14ac:dyDescent="0.2">
      <c r="AB1423" s="660" t="str">
        <f>IFERROR(VALUE(RIGHT(AA1423,LEN(AA1423)-MIN(FIND({0;1;2;3;4;5;6;7;8;9},AA1423&amp;"0123456789"))+1)),"")</f>
        <v/>
      </c>
    </row>
    <row r="1424" spans="28:28" x14ac:dyDescent="0.2">
      <c r="AB1424" s="660" t="str">
        <f>IFERROR(VALUE(RIGHT(AA1424,LEN(AA1424)-MIN(FIND({0;1;2;3;4;5;6;7;8;9},AA1424&amp;"0123456789"))+1)),"")</f>
        <v/>
      </c>
    </row>
    <row r="1425" spans="28:28" x14ac:dyDescent="0.2">
      <c r="AB1425" s="660" t="str">
        <f>IFERROR(VALUE(RIGHT(AA1425,LEN(AA1425)-MIN(FIND({0;1;2;3;4;5;6;7;8;9},AA1425&amp;"0123456789"))+1)),"")</f>
        <v/>
      </c>
    </row>
    <row r="1426" spans="28:28" x14ac:dyDescent="0.2">
      <c r="AB1426" s="660" t="str">
        <f>IFERROR(VALUE(RIGHT(AA1426,LEN(AA1426)-MIN(FIND({0;1;2;3;4;5;6;7;8;9},AA1426&amp;"0123456789"))+1)),"")</f>
        <v/>
      </c>
    </row>
    <row r="1427" spans="28:28" x14ac:dyDescent="0.2">
      <c r="AB1427" s="660" t="str">
        <f>IFERROR(VALUE(RIGHT(AA1427,LEN(AA1427)-MIN(FIND({0;1;2;3;4;5;6;7;8;9},AA1427&amp;"0123456789"))+1)),"")</f>
        <v/>
      </c>
    </row>
    <row r="1428" spans="28:28" x14ac:dyDescent="0.2">
      <c r="AB1428" s="660" t="str">
        <f>IFERROR(VALUE(RIGHT(AA1428,LEN(AA1428)-MIN(FIND({0;1;2;3;4;5;6;7;8;9},AA1428&amp;"0123456789"))+1)),"")</f>
        <v/>
      </c>
    </row>
    <row r="1429" spans="28:28" x14ac:dyDescent="0.2">
      <c r="AB1429" s="660" t="str">
        <f>IFERROR(VALUE(RIGHT(AA1429,LEN(AA1429)-MIN(FIND({0;1;2;3;4;5;6;7;8;9},AA1429&amp;"0123456789"))+1)),"")</f>
        <v/>
      </c>
    </row>
    <row r="1430" spans="28:28" x14ac:dyDescent="0.2">
      <c r="AB1430" s="660" t="str">
        <f>IFERROR(VALUE(RIGHT(AA1430,LEN(AA1430)-MIN(FIND({0;1;2;3;4;5;6;7;8;9},AA1430&amp;"0123456789"))+1)),"")</f>
        <v/>
      </c>
    </row>
    <row r="1431" spans="28:28" x14ac:dyDescent="0.2">
      <c r="AB1431" s="660" t="str">
        <f>IFERROR(VALUE(RIGHT(AA1431,LEN(AA1431)-MIN(FIND({0;1;2;3;4;5;6;7;8;9},AA1431&amp;"0123456789"))+1)),"")</f>
        <v/>
      </c>
    </row>
    <row r="1432" spans="28:28" x14ac:dyDescent="0.2">
      <c r="AB1432" s="660" t="str">
        <f>IFERROR(VALUE(RIGHT(AA1432,LEN(AA1432)-MIN(FIND({0;1;2;3;4;5;6;7;8;9},AA1432&amp;"0123456789"))+1)),"")</f>
        <v/>
      </c>
    </row>
    <row r="1433" spans="28:28" x14ac:dyDescent="0.2">
      <c r="AB1433" s="660" t="str">
        <f>IFERROR(VALUE(RIGHT(AA1433,LEN(AA1433)-MIN(FIND({0;1;2;3;4;5;6;7;8;9},AA1433&amp;"0123456789"))+1)),"")</f>
        <v/>
      </c>
    </row>
    <row r="1434" spans="28:28" x14ac:dyDescent="0.2">
      <c r="AB1434" s="660" t="str">
        <f>IFERROR(VALUE(RIGHT(AA1434,LEN(AA1434)-MIN(FIND({0;1;2;3;4;5;6;7;8;9},AA1434&amp;"0123456789"))+1)),"")</f>
        <v/>
      </c>
    </row>
    <row r="1435" spans="28:28" x14ac:dyDescent="0.2">
      <c r="AB1435" s="660" t="str">
        <f>IFERROR(VALUE(RIGHT(AA1435,LEN(AA1435)-MIN(FIND({0;1;2;3;4;5;6;7;8;9},AA1435&amp;"0123456789"))+1)),"")</f>
        <v/>
      </c>
    </row>
    <row r="1436" spans="28:28" x14ac:dyDescent="0.2">
      <c r="AB1436" s="660" t="str">
        <f>IFERROR(VALUE(RIGHT(AA1436,LEN(AA1436)-MIN(FIND({0;1;2;3;4;5;6;7;8;9},AA1436&amp;"0123456789"))+1)),"")</f>
        <v/>
      </c>
    </row>
    <row r="1437" spans="28:28" x14ac:dyDescent="0.2">
      <c r="AB1437" s="660" t="str">
        <f>IFERROR(VALUE(RIGHT(AA1437,LEN(AA1437)-MIN(FIND({0;1;2;3;4;5;6;7;8;9},AA1437&amp;"0123456789"))+1)),"")</f>
        <v/>
      </c>
    </row>
    <row r="1438" spans="28:28" x14ac:dyDescent="0.2">
      <c r="AB1438" s="660" t="str">
        <f>IFERROR(VALUE(RIGHT(AA1438,LEN(AA1438)-MIN(FIND({0;1;2;3;4;5;6;7;8;9},AA1438&amp;"0123456789"))+1)),"")</f>
        <v/>
      </c>
    </row>
    <row r="1439" spans="28:28" x14ac:dyDescent="0.2">
      <c r="AB1439" s="660" t="str">
        <f>IFERROR(VALUE(RIGHT(AA1439,LEN(AA1439)-MIN(FIND({0;1;2;3;4;5;6;7;8;9},AA1439&amp;"0123456789"))+1)),"")</f>
        <v/>
      </c>
    </row>
    <row r="1440" spans="28:28" x14ac:dyDescent="0.2">
      <c r="AB1440" s="660" t="str">
        <f>IFERROR(VALUE(RIGHT(AA1440,LEN(AA1440)-MIN(FIND({0;1;2;3;4;5;6;7;8;9},AA1440&amp;"0123456789"))+1)),"")</f>
        <v/>
      </c>
    </row>
    <row r="1441" spans="28:28" x14ac:dyDescent="0.2">
      <c r="AB1441" s="660" t="str">
        <f>IFERROR(VALUE(RIGHT(AA1441,LEN(AA1441)-MIN(FIND({0;1;2;3;4;5;6;7;8;9},AA1441&amp;"0123456789"))+1)),"")</f>
        <v/>
      </c>
    </row>
    <row r="1442" spans="28:28" x14ac:dyDescent="0.2">
      <c r="AB1442" s="660" t="str">
        <f>IFERROR(VALUE(RIGHT(AA1442,LEN(AA1442)-MIN(FIND({0;1;2;3;4;5;6;7;8;9},AA1442&amp;"0123456789"))+1)),"")</f>
        <v/>
      </c>
    </row>
    <row r="1443" spans="28:28" x14ac:dyDescent="0.2">
      <c r="AB1443" s="660" t="str">
        <f>IFERROR(VALUE(RIGHT(AA1443,LEN(AA1443)-MIN(FIND({0;1;2;3;4;5;6;7;8;9},AA1443&amp;"0123456789"))+1)),"")</f>
        <v/>
      </c>
    </row>
    <row r="1444" spans="28:28" x14ac:dyDescent="0.2">
      <c r="AB1444" s="660" t="str">
        <f>IFERROR(VALUE(RIGHT(AA1444,LEN(AA1444)-MIN(FIND({0;1;2;3;4;5;6;7;8;9},AA1444&amp;"0123456789"))+1)),"")</f>
        <v/>
      </c>
    </row>
    <row r="1445" spans="28:28" x14ac:dyDescent="0.2">
      <c r="AB1445" s="660" t="str">
        <f>IFERROR(VALUE(RIGHT(AA1445,LEN(AA1445)-MIN(FIND({0;1;2;3;4;5;6;7;8;9},AA1445&amp;"0123456789"))+1)),"")</f>
        <v/>
      </c>
    </row>
    <row r="1446" spans="28:28" x14ac:dyDescent="0.2">
      <c r="AB1446" s="660" t="str">
        <f>IFERROR(VALUE(RIGHT(AA1446,LEN(AA1446)-MIN(FIND({0;1;2;3;4;5;6;7;8;9},AA1446&amp;"0123456789"))+1)),"")</f>
        <v/>
      </c>
    </row>
    <row r="1447" spans="28:28" x14ac:dyDescent="0.2">
      <c r="AB1447" s="660" t="str">
        <f>IFERROR(VALUE(RIGHT(AA1447,LEN(AA1447)-MIN(FIND({0;1;2;3;4;5;6;7;8;9},AA1447&amp;"0123456789"))+1)),"")</f>
        <v/>
      </c>
    </row>
    <row r="1448" spans="28:28" x14ac:dyDescent="0.2">
      <c r="AB1448" s="660" t="str">
        <f>IFERROR(VALUE(RIGHT(AA1448,LEN(AA1448)-MIN(FIND({0;1;2;3;4;5;6;7;8;9},AA1448&amp;"0123456789"))+1)),"")</f>
        <v/>
      </c>
    </row>
    <row r="1449" spans="28:28" x14ac:dyDescent="0.2">
      <c r="AB1449" s="660" t="str">
        <f>IFERROR(VALUE(RIGHT(AA1449,LEN(AA1449)-MIN(FIND({0;1;2;3;4;5;6;7;8;9},AA1449&amp;"0123456789"))+1)),"")</f>
        <v/>
      </c>
    </row>
    <row r="1450" spans="28:28" x14ac:dyDescent="0.2">
      <c r="AB1450" s="660" t="str">
        <f>IFERROR(VALUE(RIGHT(AA1450,LEN(AA1450)-MIN(FIND({0;1;2;3;4;5;6;7;8;9},AA1450&amp;"0123456789"))+1)),"")</f>
        <v/>
      </c>
    </row>
    <row r="1451" spans="28:28" x14ac:dyDescent="0.2">
      <c r="AB1451" s="660" t="str">
        <f>IFERROR(VALUE(RIGHT(AA1451,LEN(AA1451)-MIN(FIND({0;1;2;3;4;5;6;7;8;9},AA1451&amp;"0123456789"))+1)),"")</f>
        <v/>
      </c>
    </row>
    <row r="1452" spans="28:28" x14ac:dyDescent="0.2">
      <c r="AB1452" s="660" t="str">
        <f>IFERROR(VALUE(RIGHT(AA1452,LEN(AA1452)-MIN(FIND({0;1;2;3;4;5;6;7;8;9},AA1452&amp;"0123456789"))+1)),"")</f>
        <v/>
      </c>
    </row>
    <row r="1453" spans="28:28" x14ac:dyDescent="0.2">
      <c r="AB1453" s="660" t="str">
        <f>IFERROR(VALUE(RIGHT(AA1453,LEN(AA1453)-MIN(FIND({0;1;2;3;4;5;6;7;8;9},AA1453&amp;"0123456789"))+1)),"")</f>
        <v/>
      </c>
    </row>
    <row r="1454" spans="28:28" x14ac:dyDescent="0.2">
      <c r="AB1454" s="660" t="str">
        <f>IFERROR(VALUE(RIGHT(AA1454,LEN(AA1454)-MIN(FIND({0;1;2;3;4;5;6;7;8;9},AA1454&amp;"0123456789"))+1)),"")</f>
        <v/>
      </c>
    </row>
    <row r="1455" spans="28:28" x14ac:dyDescent="0.2">
      <c r="AB1455" s="660" t="str">
        <f>IFERROR(VALUE(RIGHT(AA1455,LEN(AA1455)-MIN(FIND({0;1;2;3;4;5;6;7;8;9},AA1455&amp;"0123456789"))+1)),"")</f>
        <v/>
      </c>
    </row>
    <row r="1456" spans="28:28" x14ac:dyDescent="0.2">
      <c r="AB1456" s="660" t="str">
        <f>IFERROR(VALUE(RIGHT(AA1456,LEN(AA1456)-MIN(FIND({0;1;2;3;4;5;6;7;8;9},AA1456&amp;"0123456789"))+1)),"")</f>
        <v/>
      </c>
    </row>
    <row r="1457" spans="28:28" x14ac:dyDescent="0.2">
      <c r="AB1457" s="660" t="str">
        <f>IFERROR(VALUE(RIGHT(AA1457,LEN(AA1457)-MIN(FIND({0;1;2;3;4;5;6;7;8;9},AA1457&amp;"0123456789"))+1)),"")</f>
        <v/>
      </c>
    </row>
    <row r="1458" spans="28:28" x14ac:dyDescent="0.2">
      <c r="AB1458" s="660" t="str">
        <f>IFERROR(VALUE(RIGHT(AA1458,LEN(AA1458)-MIN(FIND({0;1;2;3;4;5;6;7;8;9},AA1458&amp;"0123456789"))+1)),"")</f>
        <v/>
      </c>
    </row>
    <row r="1459" spans="28:28" x14ac:dyDescent="0.2">
      <c r="AB1459" s="660" t="str">
        <f>IFERROR(VALUE(RIGHT(AA1459,LEN(AA1459)-MIN(FIND({0;1;2;3;4;5;6;7;8;9},AA1459&amp;"0123456789"))+1)),"")</f>
        <v/>
      </c>
    </row>
    <row r="1460" spans="28:28" x14ac:dyDescent="0.2">
      <c r="AB1460" s="660" t="str">
        <f>IFERROR(VALUE(RIGHT(AA1460,LEN(AA1460)-MIN(FIND({0;1;2;3;4;5;6;7;8;9},AA1460&amp;"0123456789"))+1)),"")</f>
        <v/>
      </c>
    </row>
    <row r="1461" spans="28:28" x14ac:dyDescent="0.2">
      <c r="AB1461" s="660" t="str">
        <f>IFERROR(VALUE(RIGHT(AA1461,LEN(AA1461)-MIN(FIND({0;1;2;3;4;5;6;7;8;9},AA1461&amp;"0123456789"))+1)),"")</f>
        <v/>
      </c>
    </row>
    <row r="1462" spans="28:28" x14ac:dyDescent="0.2">
      <c r="AB1462" s="660" t="str">
        <f>IFERROR(VALUE(RIGHT(AA1462,LEN(AA1462)-MIN(FIND({0;1;2;3;4;5;6;7;8;9},AA1462&amp;"0123456789"))+1)),"")</f>
        <v/>
      </c>
    </row>
    <row r="1463" spans="28:28" x14ac:dyDescent="0.2">
      <c r="AB1463" s="660" t="str">
        <f>IFERROR(VALUE(RIGHT(AA1463,LEN(AA1463)-MIN(FIND({0;1;2;3;4;5;6;7;8;9},AA1463&amp;"0123456789"))+1)),"")</f>
        <v/>
      </c>
    </row>
    <row r="1464" spans="28:28" x14ac:dyDescent="0.2">
      <c r="AB1464" s="660" t="str">
        <f>IFERROR(VALUE(RIGHT(AA1464,LEN(AA1464)-MIN(FIND({0;1;2;3;4;5;6;7;8;9},AA1464&amp;"0123456789"))+1)),"")</f>
        <v/>
      </c>
    </row>
    <row r="1465" spans="28:28" x14ac:dyDescent="0.2">
      <c r="AB1465" s="660" t="str">
        <f>IFERROR(VALUE(RIGHT(AA1465,LEN(AA1465)-MIN(FIND({0;1;2;3;4;5;6;7;8;9},AA1465&amp;"0123456789"))+1)),"")</f>
        <v/>
      </c>
    </row>
    <row r="1466" spans="28:28" x14ac:dyDescent="0.2">
      <c r="AB1466" s="660" t="str">
        <f>IFERROR(VALUE(RIGHT(AA1466,LEN(AA1466)-MIN(FIND({0;1;2;3;4;5;6;7;8;9},AA1466&amp;"0123456789"))+1)),"")</f>
        <v/>
      </c>
    </row>
    <row r="1467" spans="28:28" x14ac:dyDescent="0.2">
      <c r="AB1467" s="660" t="str">
        <f>IFERROR(VALUE(RIGHT(AA1467,LEN(AA1467)-MIN(FIND({0;1;2;3;4;5;6;7;8;9},AA1467&amp;"0123456789"))+1)),"")</f>
        <v/>
      </c>
    </row>
    <row r="1468" spans="28:28" x14ac:dyDescent="0.2">
      <c r="AB1468" s="660" t="str">
        <f>IFERROR(VALUE(RIGHT(AA1468,LEN(AA1468)-MIN(FIND({0;1;2;3;4;5;6;7;8;9},AA1468&amp;"0123456789"))+1)),"")</f>
        <v/>
      </c>
    </row>
    <row r="1469" spans="28:28" x14ac:dyDescent="0.2">
      <c r="AB1469" s="660" t="str">
        <f>IFERROR(VALUE(RIGHT(AA1469,LEN(AA1469)-MIN(FIND({0;1;2;3;4;5;6;7;8;9},AA1469&amp;"0123456789"))+1)),"")</f>
        <v/>
      </c>
    </row>
    <row r="1470" spans="28:28" x14ac:dyDescent="0.2">
      <c r="AB1470" s="660" t="str">
        <f>IFERROR(VALUE(RIGHT(AA1470,LEN(AA1470)-MIN(FIND({0;1;2;3;4;5;6;7;8;9},AA1470&amp;"0123456789"))+1)),"")</f>
        <v/>
      </c>
    </row>
    <row r="1471" spans="28:28" x14ac:dyDescent="0.2">
      <c r="AB1471" s="660" t="str">
        <f>IFERROR(VALUE(RIGHT(AA1471,LEN(AA1471)-MIN(FIND({0;1;2;3;4;5;6;7;8;9},AA1471&amp;"0123456789"))+1)),"")</f>
        <v/>
      </c>
    </row>
    <row r="1472" spans="28:28" x14ac:dyDescent="0.2">
      <c r="AB1472" s="660" t="str">
        <f>IFERROR(VALUE(RIGHT(AA1472,LEN(AA1472)-MIN(FIND({0;1;2;3;4;5;6;7;8;9},AA1472&amp;"0123456789"))+1)),"")</f>
        <v/>
      </c>
    </row>
    <row r="1473" spans="28:28" x14ac:dyDescent="0.2">
      <c r="AB1473" s="660" t="str">
        <f>IFERROR(VALUE(RIGHT(AA1473,LEN(AA1473)-MIN(FIND({0;1;2;3;4;5;6;7;8;9},AA1473&amp;"0123456789"))+1)),"")</f>
        <v/>
      </c>
    </row>
    <row r="1474" spans="28:28" x14ac:dyDescent="0.2">
      <c r="AB1474" s="660" t="str">
        <f>IFERROR(VALUE(RIGHT(AA1474,LEN(AA1474)-MIN(FIND({0;1;2;3;4;5;6;7;8;9},AA1474&amp;"0123456789"))+1)),"")</f>
        <v/>
      </c>
    </row>
    <row r="1475" spans="28:28" x14ac:dyDescent="0.2">
      <c r="AB1475" s="660" t="str">
        <f>IFERROR(VALUE(RIGHT(AA1475,LEN(AA1475)-MIN(FIND({0;1;2;3;4;5;6;7;8;9},AA1475&amp;"0123456789"))+1)),"")</f>
        <v/>
      </c>
    </row>
    <row r="1476" spans="28:28" x14ac:dyDescent="0.2">
      <c r="AB1476" s="660" t="str">
        <f>IFERROR(VALUE(RIGHT(AA1476,LEN(AA1476)-MIN(FIND({0;1;2;3;4;5;6;7;8;9},AA1476&amp;"0123456789"))+1)),"")</f>
        <v/>
      </c>
    </row>
    <row r="1477" spans="28:28" x14ac:dyDescent="0.2">
      <c r="AB1477" s="660" t="str">
        <f>IFERROR(VALUE(RIGHT(AA1477,LEN(AA1477)-MIN(FIND({0;1;2;3;4;5;6;7;8;9},AA1477&amp;"0123456789"))+1)),"")</f>
        <v/>
      </c>
    </row>
    <row r="1478" spans="28:28" x14ac:dyDescent="0.2">
      <c r="AB1478" s="660" t="str">
        <f>IFERROR(VALUE(RIGHT(AA1478,LEN(AA1478)-MIN(FIND({0;1;2;3;4;5;6;7;8;9},AA1478&amp;"0123456789"))+1)),"")</f>
        <v/>
      </c>
    </row>
    <row r="1479" spans="28:28" x14ac:dyDescent="0.2">
      <c r="AB1479" s="660" t="str">
        <f>IFERROR(VALUE(RIGHT(AA1479,LEN(AA1479)-MIN(FIND({0;1;2;3;4;5;6;7;8;9},AA1479&amp;"0123456789"))+1)),"")</f>
        <v/>
      </c>
    </row>
    <row r="1480" spans="28:28" x14ac:dyDescent="0.2">
      <c r="AB1480" s="660" t="str">
        <f>IFERROR(VALUE(RIGHT(AA1480,LEN(AA1480)-MIN(FIND({0;1;2;3;4;5;6;7;8;9},AA1480&amp;"0123456789"))+1)),"")</f>
        <v/>
      </c>
    </row>
    <row r="1481" spans="28:28" x14ac:dyDescent="0.2">
      <c r="AB1481" s="660" t="str">
        <f>IFERROR(VALUE(RIGHT(AA1481,LEN(AA1481)-MIN(FIND({0;1;2;3;4;5;6;7;8;9},AA1481&amp;"0123456789"))+1)),"")</f>
        <v/>
      </c>
    </row>
    <row r="1482" spans="28:28" x14ac:dyDescent="0.2">
      <c r="AB1482" s="660" t="str">
        <f>IFERROR(VALUE(RIGHT(AA1482,LEN(AA1482)-MIN(FIND({0;1;2;3;4;5;6;7;8;9},AA1482&amp;"0123456789"))+1)),"")</f>
        <v/>
      </c>
    </row>
    <row r="1483" spans="28:28" x14ac:dyDescent="0.2">
      <c r="AB1483" s="660" t="str">
        <f>IFERROR(VALUE(RIGHT(AA1483,LEN(AA1483)-MIN(FIND({0;1;2;3;4;5;6;7;8;9},AA1483&amp;"0123456789"))+1)),"")</f>
        <v/>
      </c>
    </row>
    <row r="1484" spans="28:28" x14ac:dyDescent="0.2">
      <c r="AB1484" s="660" t="str">
        <f>IFERROR(VALUE(RIGHT(AA1484,LEN(AA1484)-MIN(FIND({0;1;2;3;4;5;6;7;8;9},AA1484&amp;"0123456789"))+1)),"")</f>
        <v/>
      </c>
    </row>
    <row r="1485" spans="28:28" x14ac:dyDescent="0.2">
      <c r="AB1485" s="660" t="str">
        <f>IFERROR(VALUE(RIGHT(AA1485,LEN(AA1485)-MIN(FIND({0;1;2;3;4;5;6;7;8;9},AA1485&amp;"0123456789"))+1)),"")</f>
        <v/>
      </c>
    </row>
    <row r="1486" spans="28:28" x14ac:dyDescent="0.2">
      <c r="AB1486" s="660" t="str">
        <f>IFERROR(VALUE(RIGHT(AA1486,LEN(AA1486)-MIN(FIND({0;1;2;3;4;5;6;7;8;9},AA1486&amp;"0123456789"))+1)),"")</f>
        <v/>
      </c>
    </row>
    <row r="1487" spans="28:28" x14ac:dyDescent="0.2">
      <c r="AB1487" s="660" t="str">
        <f>IFERROR(VALUE(RIGHT(AA1487,LEN(AA1487)-MIN(FIND({0;1;2;3;4;5;6;7;8;9},AA1487&amp;"0123456789"))+1)),"")</f>
        <v/>
      </c>
    </row>
    <row r="1488" spans="28:28" x14ac:dyDescent="0.2">
      <c r="AB1488" s="660" t="str">
        <f>IFERROR(VALUE(RIGHT(AA1488,LEN(AA1488)-MIN(FIND({0;1;2;3;4;5;6;7;8;9},AA1488&amp;"0123456789"))+1)),"")</f>
        <v/>
      </c>
    </row>
    <row r="1489" spans="28:28" x14ac:dyDescent="0.2">
      <c r="AB1489" s="660" t="str">
        <f>IFERROR(VALUE(RIGHT(AA1489,LEN(AA1489)-MIN(FIND({0;1;2;3;4;5;6;7;8;9},AA1489&amp;"0123456789"))+1)),"")</f>
        <v/>
      </c>
    </row>
    <row r="1490" spans="28:28" x14ac:dyDescent="0.2">
      <c r="AB1490" s="660" t="str">
        <f>IFERROR(VALUE(RIGHT(AA1490,LEN(AA1490)-MIN(FIND({0;1;2;3;4;5;6;7;8;9},AA1490&amp;"0123456789"))+1)),"")</f>
        <v/>
      </c>
    </row>
    <row r="1491" spans="28:28" x14ac:dyDescent="0.2">
      <c r="AB1491" s="660" t="str">
        <f>IFERROR(VALUE(RIGHT(AA1491,LEN(AA1491)-MIN(FIND({0;1;2;3;4;5;6;7;8;9},AA1491&amp;"0123456789"))+1)),"")</f>
        <v/>
      </c>
    </row>
    <row r="1492" spans="28:28" x14ac:dyDescent="0.2">
      <c r="AB1492" s="660" t="str">
        <f>IFERROR(VALUE(RIGHT(AA1492,LEN(AA1492)-MIN(FIND({0;1;2;3;4;5;6;7;8;9},AA1492&amp;"0123456789"))+1)),"")</f>
        <v/>
      </c>
    </row>
    <row r="1493" spans="28:28" x14ac:dyDescent="0.2">
      <c r="AB1493" s="660" t="str">
        <f>IFERROR(VALUE(RIGHT(AA1493,LEN(AA1493)-MIN(FIND({0;1;2;3;4;5;6;7;8;9},AA1493&amp;"0123456789"))+1)),"")</f>
        <v/>
      </c>
    </row>
    <row r="1494" spans="28:28" x14ac:dyDescent="0.2">
      <c r="AB1494" s="660" t="str">
        <f>IFERROR(VALUE(RIGHT(AA1494,LEN(AA1494)-MIN(FIND({0;1;2;3;4;5;6;7;8;9},AA1494&amp;"0123456789"))+1)),"")</f>
        <v/>
      </c>
    </row>
    <row r="1495" spans="28:28" x14ac:dyDescent="0.2">
      <c r="AB1495" s="660" t="str">
        <f>IFERROR(VALUE(RIGHT(AA1495,LEN(AA1495)-MIN(FIND({0;1;2;3;4;5;6;7;8;9},AA1495&amp;"0123456789"))+1)),"")</f>
        <v/>
      </c>
    </row>
    <row r="1496" spans="28:28" x14ac:dyDescent="0.2">
      <c r="AB1496" s="660" t="str">
        <f>IFERROR(VALUE(RIGHT(AA1496,LEN(AA1496)-MIN(FIND({0;1;2;3;4;5;6;7;8;9},AA1496&amp;"0123456789"))+1)),"")</f>
        <v/>
      </c>
    </row>
    <row r="1497" spans="28:28" x14ac:dyDescent="0.2">
      <c r="AB1497" s="660" t="str">
        <f>IFERROR(VALUE(RIGHT(AA1497,LEN(AA1497)-MIN(FIND({0;1;2;3;4;5;6;7;8;9},AA1497&amp;"0123456789"))+1)),"")</f>
        <v/>
      </c>
    </row>
    <row r="1498" spans="28:28" x14ac:dyDescent="0.2">
      <c r="AB1498" s="660" t="str">
        <f>IFERROR(VALUE(RIGHT(AA1498,LEN(AA1498)-MIN(FIND({0;1;2;3;4;5;6;7;8;9},AA1498&amp;"0123456789"))+1)),"")</f>
        <v/>
      </c>
    </row>
    <row r="1499" spans="28:28" x14ac:dyDescent="0.2">
      <c r="AB1499" s="660" t="str">
        <f>IFERROR(VALUE(RIGHT(AA1499,LEN(AA1499)-MIN(FIND({0;1;2;3;4;5;6;7;8;9},AA1499&amp;"0123456789"))+1)),"")</f>
        <v/>
      </c>
    </row>
    <row r="1500" spans="28:28" x14ac:dyDescent="0.2">
      <c r="AB1500" s="660" t="str">
        <f>IFERROR(VALUE(RIGHT(AA1500,LEN(AA1500)-MIN(FIND({0;1;2;3;4;5;6;7;8;9},AA1500&amp;"0123456789"))+1)),"")</f>
        <v/>
      </c>
    </row>
    <row r="1501" spans="28:28" x14ac:dyDescent="0.2">
      <c r="AB1501" s="660" t="str">
        <f>IFERROR(VALUE(RIGHT(AA1501,LEN(AA1501)-MIN(FIND({0;1;2;3;4;5;6;7;8;9},AA1501&amp;"0123456789"))+1)),"")</f>
        <v/>
      </c>
    </row>
    <row r="1502" spans="28:28" x14ac:dyDescent="0.2">
      <c r="AB1502" s="660" t="str">
        <f>IFERROR(VALUE(RIGHT(AA1502,LEN(AA1502)-MIN(FIND({0;1;2;3;4;5;6;7;8;9},AA1502&amp;"0123456789"))+1)),"")</f>
        <v/>
      </c>
    </row>
    <row r="1503" spans="28:28" x14ac:dyDescent="0.2">
      <c r="AB1503" s="660" t="str">
        <f>IFERROR(VALUE(RIGHT(AA1503,LEN(AA1503)-MIN(FIND({0;1;2;3;4;5;6;7;8;9},AA1503&amp;"0123456789"))+1)),"")</f>
        <v/>
      </c>
    </row>
    <row r="1504" spans="28:28" x14ac:dyDescent="0.2">
      <c r="AB1504" s="660" t="str">
        <f>IFERROR(VALUE(RIGHT(AA1504,LEN(AA1504)-MIN(FIND({0;1;2;3;4;5;6;7;8;9},AA1504&amp;"0123456789"))+1)),"")</f>
        <v/>
      </c>
    </row>
    <row r="1505" spans="28:28" x14ac:dyDescent="0.2">
      <c r="AB1505" s="660" t="str">
        <f>IFERROR(VALUE(RIGHT(AA1505,LEN(AA1505)-MIN(FIND({0;1;2;3;4;5;6;7;8;9},AA1505&amp;"0123456789"))+1)),"")</f>
        <v/>
      </c>
    </row>
    <row r="1506" spans="28:28" x14ac:dyDescent="0.2">
      <c r="AB1506" s="660" t="str">
        <f>IFERROR(VALUE(RIGHT(AA1506,LEN(AA1506)-MIN(FIND({0;1;2;3;4;5;6;7;8;9},AA1506&amp;"0123456789"))+1)),"")</f>
        <v/>
      </c>
    </row>
    <row r="1507" spans="28:28" x14ac:dyDescent="0.2">
      <c r="AB1507" s="660" t="str">
        <f>IFERROR(VALUE(RIGHT(AA1507,LEN(AA1507)-MIN(FIND({0;1;2;3;4;5;6;7;8;9},AA1507&amp;"0123456789"))+1)),"")</f>
        <v/>
      </c>
    </row>
    <row r="1508" spans="28:28" x14ac:dyDescent="0.2">
      <c r="AB1508" s="660" t="str">
        <f>IFERROR(VALUE(RIGHT(AA1508,LEN(AA1508)-MIN(FIND({0;1;2;3;4;5;6;7;8;9},AA1508&amp;"0123456789"))+1)),"")</f>
        <v/>
      </c>
    </row>
    <row r="1509" spans="28:28" x14ac:dyDescent="0.2">
      <c r="AB1509" s="660" t="str">
        <f>IFERROR(VALUE(RIGHT(AA1509,LEN(AA1509)-MIN(FIND({0;1;2;3;4;5;6;7;8;9},AA1509&amp;"0123456789"))+1)),"")</f>
        <v/>
      </c>
    </row>
    <row r="1510" spans="28:28" x14ac:dyDescent="0.2">
      <c r="AB1510" s="660" t="str">
        <f>IFERROR(VALUE(RIGHT(AA1510,LEN(AA1510)-MIN(FIND({0;1;2;3;4;5;6;7;8;9},AA1510&amp;"0123456789"))+1)),"")</f>
        <v/>
      </c>
    </row>
    <row r="1511" spans="28:28" x14ac:dyDescent="0.2">
      <c r="AB1511" s="660" t="str">
        <f>IFERROR(VALUE(RIGHT(AA1511,LEN(AA1511)-MIN(FIND({0;1;2;3;4;5;6;7;8;9},AA1511&amp;"0123456789"))+1)),"")</f>
        <v/>
      </c>
    </row>
    <row r="1512" spans="28:28" x14ac:dyDescent="0.2">
      <c r="AB1512" s="660" t="str">
        <f>IFERROR(VALUE(RIGHT(AA1512,LEN(AA1512)-MIN(FIND({0;1;2;3;4;5;6;7;8;9},AA1512&amp;"0123456789"))+1)),"")</f>
        <v/>
      </c>
    </row>
    <row r="1513" spans="28:28" x14ac:dyDescent="0.2">
      <c r="AB1513" s="660" t="str">
        <f>IFERROR(VALUE(RIGHT(AA1513,LEN(AA1513)-MIN(FIND({0;1;2;3;4;5;6;7;8;9},AA1513&amp;"0123456789"))+1)),"")</f>
        <v/>
      </c>
    </row>
    <row r="1514" spans="28:28" x14ac:dyDescent="0.2">
      <c r="AB1514" s="660" t="str">
        <f>IFERROR(VALUE(RIGHT(AA1514,LEN(AA1514)-MIN(FIND({0;1;2;3;4;5;6;7;8;9},AA1514&amp;"0123456789"))+1)),"")</f>
        <v/>
      </c>
    </row>
    <row r="1515" spans="28:28" x14ac:dyDescent="0.2">
      <c r="AB1515" s="660" t="str">
        <f>IFERROR(VALUE(RIGHT(AA1515,LEN(AA1515)-MIN(FIND({0;1;2;3;4;5;6;7;8;9},AA1515&amp;"0123456789"))+1)),"")</f>
        <v/>
      </c>
    </row>
    <row r="1516" spans="28:28" x14ac:dyDescent="0.2">
      <c r="AB1516" s="660" t="str">
        <f>IFERROR(VALUE(RIGHT(AA1516,LEN(AA1516)-MIN(FIND({0;1;2;3;4;5;6;7;8;9},AA1516&amp;"0123456789"))+1)),"")</f>
        <v/>
      </c>
    </row>
    <row r="1517" spans="28:28" x14ac:dyDescent="0.2">
      <c r="AB1517" s="660" t="str">
        <f>IFERROR(VALUE(RIGHT(AA1517,LEN(AA1517)-MIN(FIND({0;1;2;3;4;5;6;7;8;9},AA1517&amp;"0123456789"))+1)),"")</f>
        <v/>
      </c>
    </row>
    <row r="1518" spans="28:28" x14ac:dyDescent="0.2">
      <c r="AB1518" s="660" t="str">
        <f>IFERROR(VALUE(RIGHT(AA1518,LEN(AA1518)-MIN(FIND({0;1;2;3;4;5;6;7;8;9},AA1518&amp;"0123456789"))+1)),"")</f>
        <v/>
      </c>
    </row>
    <row r="1519" spans="28:28" x14ac:dyDescent="0.2">
      <c r="AB1519" s="660" t="str">
        <f>IFERROR(VALUE(RIGHT(AA1519,LEN(AA1519)-MIN(FIND({0;1;2;3;4;5;6;7;8;9},AA1519&amp;"0123456789"))+1)),"")</f>
        <v/>
      </c>
    </row>
    <row r="1520" spans="28:28" x14ac:dyDescent="0.2">
      <c r="AB1520" s="660" t="str">
        <f>IFERROR(VALUE(RIGHT(AA1520,LEN(AA1520)-MIN(FIND({0;1;2;3;4;5;6;7;8;9},AA1520&amp;"0123456789"))+1)),"")</f>
        <v/>
      </c>
    </row>
    <row r="1521" spans="28:28" x14ac:dyDescent="0.2">
      <c r="AB1521" s="660" t="str">
        <f>IFERROR(VALUE(RIGHT(AA1521,LEN(AA1521)-MIN(FIND({0;1;2;3;4;5;6;7;8;9},AA1521&amp;"0123456789"))+1)),"")</f>
        <v/>
      </c>
    </row>
    <row r="1522" spans="28:28" x14ac:dyDescent="0.2">
      <c r="AB1522" s="660" t="str">
        <f>IFERROR(VALUE(RIGHT(AA1522,LEN(AA1522)-MIN(FIND({0;1;2;3;4;5;6;7;8;9},AA1522&amp;"0123456789"))+1)),"")</f>
        <v/>
      </c>
    </row>
    <row r="1523" spans="28:28" x14ac:dyDescent="0.2">
      <c r="AB1523" s="660" t="str">
        <f>IFERROR(VALUE(RIGHT(AA1523,LEN(AA1523)-MIN(FIND({0;1;2;3;4;5;6;7;8;9},AA1523&amp;"0123456789"))+1)),"")</f>
        <v/>
      </c>
    </row>
    <row r="1524" spans="28:28" x14ac:dyDescent="0.2">
      <c r="AB1524" s="660" t="str">
        <f>IFERROR(VALUE(RIGHT(AA1524,LEN(AA1524)-MIN(FIND({0;1;2;3;4;5;6;7;8;9},AA1524&amp;"0123456789"))+1)),"")</f>
        <v/>
      </c>
    </row>
    <row r="1525" spans="28:28" x14ac:dyDescent="0.2">
      <c r="AB1525" s="660" t="str">
        <f>IFERROR(VALUE(RIGHT(AA1525,LEN(AA1525)-MIN(FIND({0;1;2;3;4;5;6;7;8;9},AA1525&amp;"0123456789"))+1)),"")</f>
        <v/>
      </c>
    </row>
    <row r="1526" spans="28:28" x14ac:dyDescent="0.2">
      <c r="AB1526" s="660" t="str">
        <f>IFERROR(VALUE(RIGHT(AA1526,LEN(AA1526)-MIN(FIND({0;1;2;3;4;5;6;7;8;9},AA1526&amp;"0123456789"))+1)),"")</f>
        <v/>
      </c>
    </row>
    <row r="1527" spans="28:28" x14ac:dyDescent="0.2">
      <c r="AB1527" s="660" t="str">
        <f>IFERROR(VALUE(RIGHT(AA1527,LEN(AA1527)-MIN(FIND({0;1;2;3;4;5;6;7;8;9},AA1527&amp;"0123456789"))+1)),"")</f>
        <v/>
      </c>
    </row>
    <row r="1528" spans="28:28" x14ac:dyDescent="0.2">
      <c r="AB1528" s="660" t="str">
        <f>IFERROR(VALUE(RIGHT(AA1528,LEN(AA1528)-MIN(FIND({0;1;2;3;4;5;6;7;8;9},AA1528&amp;"0123456789"))+1)),"")</f>
        <v/>
      </c>
    </row>
    <row r="1529" spans="28:28" x14ac:dyDescent="0.2">
      <c r="AB1529" s="660" t="str">
        <f>IFERROR(VALUE(RIGHT(AA1529,LEN(AA1529)-MIN(FIND({0;1;2;3;4;5;6;7;8;9},AA1529&amp;"0123456789"))+1)),"")</f>
        <v/>
      </c>
    </row>
    <row r="1530" spans="28:28" x14ac:dyDescent="0.2">
      <c r="AB1530" s="660" t="str">
        <f>IFERROR(VALUE(RIGHT(AA1530,LEN(AA1530)-MIN(FIND({0;1;2;3;4;5;6;7;8;9},AA1530&amp;"0123456789"))+1)),"")</f>
        <v/>
      </c>
    </row>
    <row r="1531" spans="28:28" x14ac:dyDescent="0.2">
      <c r="AB1531" s="660" t="str">
        <f>IFERROR(VALUE(RIGHT(AA1531,LEN(AA1531)-MIN(FIND({0;1;2;3;4;5;6;7;8;9},AA1531&amp;"0123456789"))+1)),"")</f>
        <v/>
      </c>
    </row>
    <row r="1532" spans="28:28" x14ac:dyDescent="0.2">
      <c r="AB1532" s="660" t="str">
        <f>IFERROR(VALUE(RIGHT(AA1532,LEN(AA1532)-MIN(FIND({0;1;2;3;4;5;6;7;8;9},AA1532&amp;"0123456789"))+1)),"")</f>
        <v/>
      </c>
    </row>
    <row r="1533" spans="28:28" x14ac:dyDescent="0.2">
      <c r="AB1533" s="660" t="str">
        <f>IFERROR(VALUE(RIGHT(AA1533,LEN(AA1533)-MIN(FIND({0;1;2;3;4;5;6;7;8;9},AA1533&amp;"0123456789"))+1)),"")</f>
        <v/>
      </c>
    </row>
    <row r="1534" spans="28:28" x14ac:dyDescent="0.2">
      <c r="AB1534" s="660" t="str">
        <f>IFERROR(VALUE(RIGHT(AA1534,LEN(AA1534)-MIN(FIND({0;1;2;3;4;5;6;7;8;9},AA1534&amp;"0123456789"))+1)),"")</f>
        <v/>
      </c>
    </row>
    <row r="1535" spans="28:28" x14ac:dyDescent="0.2">
      <c r="AB1535" s="660" t="str">
        <f>IFERROR(VALUE(RIGHT(AA1535,LEN(AA1535)-MIN(FIND({0;1;2;3;4;5;6;7;8;9},AA1535&amp;"0123456789"))+1)),"")</f>
        <v/>
      </c>
    </row>
    <row r="1536" spans="28:28" x14ac:dyDescent="0.2">
      <c r="AB1536" s="660" t="str">
        <f>IFERROR(VALUE(RIGHT(AA1536,LEN(AA1536)-MIN(FIND({0;1;2;3;4;5;6;7;8;9},AA1536&amp;"0123456789"))+1)),"")</f>
        <v/>
      </c>
    </row>
    <row r="1537" spans="28:28" x14ac:dyDescent="0.2">
      <c r="AB1537" s="660" t="str">
        <f>IFERROR(VALUE(RIGHT(AA1537,LEN(AA1537)-MIN(FIND({0;1;2;3;4;5;6;7;8;9},AA1537&amp;"0123456789"))+1)),"")</f>
        <v/>
      </c>
    </row>
    <row r="1538" spans="28:28" x14ac:dyDescent="0.2">
      <c r="AB1538" s="660" t="str">
        <f>IFERROR(VALUE(RIGHT(AA1538,LEN(AA1538)-MIN(FIND({0;1;2;3;4;5;6;7;8;9},AA1538&amp;"0123456789"))+1)),"")</f>
        <v/>
      </c>
    </row>
    <row r="1539" spans="28:28" x14ac:dyDescent="0.2">
      <c r="AB1539" s="660" t="str">
        <f>IFERROR(VALUE(RIGHT(AA1539,LEN(AA1539)-MIN(FIND({0;1;2;3;4;5;6;7;8;9},AA1539&amp;"0123456789"))+1)),"")</f>
        <v/>
      </c>
    </row>
    <row r="1540" spans="28:28" x14ac:dyDescent="0.2">
      <c r="AB1540" s="660" t="str">
        <f>IFERROR(VALUE(RIGHT(AA1540,LEN(AA1540)-MIN(FIND({0;1;2;3;4;5;6;7;8;9},AA1540&amp;"0123456789"))+1)),"")</f>
        <v/>
      </c>
    </row>
    <row r="1541" spans="28:28" x14ac:dyDescent="0.2">
      <c r="AB1541" s="660" t="str">
        <f>IFERROR(VALUE(RIGHT(AA1541,LEN(AA1541)-MIN(FIND({0;1;2;3;4;5;6;7;8;9},AA1541&amp;"0123456789"))+1)),"")</f>
        <v/>
      </c>
    </row>
    <row r="1542" spans="28:28" x14ac:dyDescent="0.2">
      <c r="AB1542" s="660" t="str">
        <f>IFERROR(VALUE(RIGHT(AA1542,LEN(AA1542)-MIN(FIND({0;1;2;3;4;5;6;7;8;9},AA1542&amp;"0123456789"))+1)),"")</f>
        <v/>
      </c>
    </row>
    <row r="1543" spans="28:28" x14ac:dyDescent="0.2">
      <c r="AB1543" s="660" t="str">
        <f>IFERROR(VALUE(RIGHT(AA1543,LEN(AA1543)-MIN(FIND({0;1;2;3;4;5;6;7;8;9},AA1543&amp;"0123456789"))+1)),"")</f>
        <v/>
      </c>
    </row>
    <row r="1544" spans="28:28" x14ac:dyDescent="0.2">
      <c r="AB1544" s="660" t="str">
        <f>IFERROR(VALUE(RIGHT(AA1544,LEN(AA1544)-MIN(FIND({0;1;2;3;4;5;6;7;8;9},AA1544&amp;"0123456789"))+1)),"")</f>
        <v/>
      </c>
    </row>
    <row r="1545" spans="28:28" x14ac:dyDescent="0.2">
      <c r="AB1545" s="660" t="str">
        <f>IFERROR(VALUE(RIGHT(AA1545,LEN(AA1545)-MIN(FIND({0;1;2;3;4;5;6;7;8;9},AA1545&amp;"0123456789"))+1)),"")</f>
        <v/>
      </c>
    </row>
    <row r="1546" spans="28:28" x14ac:dyDescent="0.2">
      <c r="AB1546" s="660" t="str">
        <f>IFERROR(VALUE(RIGHT(AA1546,LEN(AA1546)-MIN(FIND({0;1;2;3;4;5;6;7;8;9},AA1546&amp;"0123456789"))+1)),"")</f>
        <v/>
      </c>
    </row>
    <row r="1547" spans="28:28" x14ac:dyDescent="0.2">
      <c r="AB1547" s="660" t="str">
        <f>IFERROR(VALUE(RIGHT(AA1547,LEN(AA1547)-MIN(FIND({0;1;2;3;4;5;6;7;8;9},AA1547&amp;"0123456789"))+1)),"")</f>
        <v/>
      </c>
    </row>
    <row r="1548" spans="28:28" x14ac:dyDescent="0.2">
      <c r="AB1548" s="660" t="str">
        <f>IFERROR(VALUE(RIGHT(AA1548,LEN(AA1548)-MIN(FIND({0;1;2;3;4;5;6;7;8;9},AA1548&amp;"0123456789"))+1)),"")</f>
        <v/>
      </c>
    </row>
    <row r="1549" spans="28:28" x14ac:dyDescent="0.2">
      <c r="AB1549" s="660" t="str">
        <f>IFERROR(VALUE(RIGHT(AA1549,LEN(AA1549)-MIN(FIND({0;1;2;3;4;5;6;7;8;9},AA1549&amp;"0123456789"))+1)),"")</f>
        <v/>
      </c>
    </row>
    <row r="1550" spans="28:28" x14ac:dyDescent="0.2">
      <c r="AB1550" s="660" t="str">
        <f>IFERROR(VALUE(RIGHT(AA1550,LEN(AA1550)-MIN(FIND({0;1;2;3;4;5;6;7;8;9},AA1550&amp;"0123456789"))+1)),"")</f>
        <v/>
      </c>
    </row>
    <row r="1551" spans="28:28" x14ac:dyDescent="0.2">
      <c r="AB1551" s="660" t="str">
        <f>IFERROR(VALUE(RIGHT(AA1551,LEN(AA1551)-MIN(FIND({0;1;2;3;4;5;6;7;8;9},AA1551&amp;"0123456789"))+1)),"")</f>
        <v/>
      </c>
    </row>
    <row r="1552" spans="28:28" x14ac:dyDescent="0.2">
      <c r="AB1552" s="660" t="str">
        <f>IFERROR(VALUE(RIGHT(AA1552,LEN(AA1552)-MIN(FIND({0;1;2;3;4;5;6;7;8;9},AA1552&amp;"0123456789"))+1)),"")</f>
        <v/>
      </c>
    </row>
    <row r="1553" spans="28:28" x14ac:dyDescent="0.2">
      <c r="AB1553" s="660" t="str">
        <f>IFERROR(VALUE(RIGHT(AA1553,LEN(AA1553)-MIN(FIND({0;1;2;3;4;5;6;7;8;9},AA1553&amp;"0123456789"))+1)),"")</f>
        <v/>
      </c>
    </row>
    <row r="1554" spans="28:28" x14ac:dyDescent="0.2">
      <c r="AB1554" s="660" t="str">
        <f>IFERROR(VALUE(RIGHT(AA1554,LEN(AA1554)-MIN(FIND({0;1;2;3;4;5;6;7;8;9},AA1554&amp;"0123456789"))+1)),"")</f>
        <v/>
      </c>
    </row>
    <row r="1555" spans="28:28" x14ac:dyDescent="0.2">
      <c r="AB1555" s="660" t="str">
        <f>IFERROR(VALUE(RIGHT(AA1555,LEN(AA1555)-MIN(FIND({0;1;2;3;4;5;6;7;8;9},AA1555&amp;"0123456789"))+1)),"")</f>
        <v/>
      </c>
    </row>
    <row r="1556" spans="28:28" x14ac:dyDescent="0.2">
      <c r="AB1556" s="660" t="str">
        <f>IFERROR(VALUE(RIGHT(AA1556,LEN(AA1556)-MIN(FIND({0;1;2;3;4;5;6;7;8;9},AA1556&amp;"0123456789"))+1)),"")</f>
        <v/>
      </c>
    </row>
    <row r="1557" spans="28:28" x14ac:dyDescent="0.2">
      <c r="AB1557" s="660" t="str">
        <f>IFERROR(VALUE(RIGHT(AA1557,LEN(AA1557)-MIN(FIND({0;1;2;3;4;5;6;7;8;9},AA1557&amp;"0123456789"))+1)),"")</f>
        <v/>
      </c>
    </row>
    <row r="1558" spans="28:28" x14ac:dyDescent="0.2">
      <c r="AB1558" s="660" t="str">
        <f>IFERROR(VALUE(RIGHT(AA1558,LEN(AA1558)-MIN(FIND({0;1;2;3;4;5;6;7;8;9},AA1558&amp;"0123456789"))+1)),"")</f>
        <v/>
      </c>
    </row>
    <row r="1559" spans="28:28" x14ac:dyDescent="0.2">
      <c r="AB1559" s="660" t="str">
        <f>IFERROR(VALUE(RIGHT(AA1559,LEN(AA1559)-MIN(FIND({0;1;2;3;4;5;6;7;8;9},AA1559&amp;"0123456789"))+1)),"")</f>
        <v/>
      </c>
    </row>
    <row r="1560" spans="28:28" x14ac:dyDescent="0.2">
      <c r="AB1560" s="660" t="str">
        <f>IFERROR(VALUE(RIGHT(AA1560,LEN(AA1560)-MIN(FIND({0;1;2;3;4;5;6;7;8;9},AA1560&amp;"0123456789"))+1)),"")</f>
        <v/>
      </c>
    </row>
    <row r="1561" spans="28:28" x14ac:dyDescent="0.2">
      <c r="AB1561" s="660" t="str">
        <f>IFERROR(VALUE(RIGHT(AA1561,LEN(AA1561)-MIN(FIND({0;1;2;3;4;5;6;7;8;9},AA1561&amp;"0123456789"))+1)),"")</f>
        <v/>
      </c>
    </row>
    <row r="1562" spans="28:28" x14ac:dyDescent="0.2">
      <c r="AB1562" s="660" t="str">
        <f>IFERROR(VALUE(RIGHT(AA1562,LEN(AA1562)-MIN(FIND({0;1;2;3;4;5;6;7;8;9},AA1562&amp;"0123456789"))+1)),"")</f>
        <v/>
      </c>
    </row>
    <row r="1563" spans="28:28" x14ac:dyDescent="0.2">
      <c r="AB1563" s="660" t="str">
        <f>IFERROR(VALUE(RIGHT(AA1563,LEN(AA1563)-MIN(FIND({0;1;2;3;4;5;6;7;8;9},AA1563&amp;"0123456789"))+1)),"")</f>
        <v/>
      </c>
    </row>
    <row r="1564" spans="28:28" x14ac:dyDescent="0.2">
      <c r="AB1564" s="660" t="str">
        <f>IFERROR(VALUE(RIGHT(AA1564,LEN(AA1564)-MIN(FIND({0;1;2;3;4;5;6;7;8;9},AA1564&amp;"0123456789"))+1)),"")</f>
        <v/>
      </c>
    </row>
    <row r="1565" spans="28:28" x14ac:dyDescent="0.2">
      <c r="AB1565" s="660" t="str">
        <f>IFERROR(VALUE(RIGHT(AA1565,LEN(AA1565)-MIN(FIND({0;1;2;3;4;5;6;7;8;9},AA1565&amp;"0123456789"))+1)),"")</f>
        <v/>
      </c>
    </row>
    <row r="1566" spans="28:28" x14ac:dyDescent="0.2">
      <c r="AB1566" s="660" t="str">
        <f>IFERROR(VALUE(RIGHT(AA1566,LEN(AA1566)-MIN(FIND({0;1;2;3;4;5;6;7;8;9},AA1566&amp;"0123456789"))+1)),"")</f>
        <v/>
      </c>
    </row>
    <row r="1567" spans="28:28" x14ac:dyDescent="0.2">
      <c r="AB1567" s="660" t="str">
        <f>IFERROR(VALUE(RIGHT(AA1567,LEN(AA1567)-MIN(FIND({0;1;2;3;4;5;6;7;8;9},AA1567&amp;"0123456789"))+1)),"")</f>
        <v/>
      </c>
    </row>
    <row r="1568" spans="28:28" x14ac:dyDescent="0.2">
      <c r="AB1568" s="660" t="str">
        <f>IFERROR(VALUE(RIGHT(AA1568,LEN(AA1568)-MIN(FIND({0;1;2;3;4;5;6;7;8;9},AA1568&amp;"0123456789"))+1)),"")</f>
        <v/>
      </c>
    </row>
    <row r="1569" spans="28:28" x14ac:dyDescent="0.2">
      <c r="AB1569" s="660" t="str">
        <f>IFERROR(VALUE(RIGHT(AA1569,LEN(AA1569)-MIN(FIND({0;1;2;3;4;5;6;7;8;9},AA1569&amp;"0123456789"))+1)),"")</f>
        <v/>
      </c>
    </row>
    <row r="1570" spans="28:28" x14ac:dyDescent="0.2">
      <c r="AB1570" s="660" t="str">
        <f>IFERROR(VALUE(RIGHT(AA1570,LEN(AA1570)-MIN(FIND({0;1;2;3;4;5;6;7;8;9},AA1570&amp;"0123456789"))+1)),"")</f>
        <v/>
      </c>
    </row>
    <row r="1571" spans="28:28" x14ac:dyDescent="0.2">
      <c r="AB1571" s="660" t="str">
        <f>IFERROR(VALUE(RIGHT(AA1571,LEN(AA1571)-MIN(FIND({0;1;2;3;4;5;6;7;8;9},AA1571&amp;"0123456789"))+1)),"")</f>
        <v/>
      </c>
    </row>
    <row r="1572" spans="28:28" x14ac:dyDescent="0.2">
      <c r="AB1572" s="660" t="str">
        <f>IFERROR(VALUE(RIGHT(AA1572,LEN(AA1572)-MIN(FIND({0;1;2;3;4;5;6;7;8;9},AA1572&amp;"0123456789"))+1)),"")</f>
        <v/>
      </c>
    </row>
    <row r="1573" spans="28:28" x14ac:dyDescent="0.2">
      <c r="AB1573" s="660" t="str">
        <f>IFERROR(VALUE(RIGHT(AA1573,LEN(AA1573)-MIN(FIND({0;1;2;3;4;5;6;7;8;9},AA1573&amp;"0123456789"))+1)),"")</f>
        <v/>
      </c>
    </row>
    <row r="1574" spans="28:28" x14ac:dyDescent="0.2">
      <c r="AB1574" s="660" t="str">
        <f>IFERROR(VALUE(RIGHT(AA1574,LEN(AA1574)-MIN(FIND({0;1;2;3;4;5;6;7;8;9},AA1574&amp;"0123456789"))+1)),"")</f>
        <v/>
      </c>
    </row>
    <row r="1575" spans="28:28" x14ac:dyDescent="0.2">
      <c r="AB1575" s="660" t="str">
        <f>IFERROR(VALUE(RIGHT(AA1575,LEN(AA1575)-MIN(FIND({0;1;2;3;4;5;6;7;8;9},AA1575&amp;"0123456789"))+1)),"")</f>
        <v/>
      </c>
    </row>
    <row r="1576" spans="28:28" x14ac:dyDescent="0.2">
      <c r="AB1576" s="660" t="str">
        <f>IFERROR(VALUE(RIGHT(AA1576,LEN(AA1576)-MIN(FIND({0;1;2;3;4;5;6;7;8;9},AA1576&amp;"0123456789"))+1)),"")</f>
        <v/>
      </c>
    </row>
    <row r="1577" spans="28:28" x14ac:dyDescent="0.2">
      <c r="AB1577" s="660" t="str">
        <f>IFERROR(VALUE(RIGHT(AA1577,LEN(AA1577)-MIN(FIND({0;1;2;3;4;5;6;7;8;9},AA1577&amp;"0123456789"))+1)),"")</f>
        <v/>
      </c>
    </row>
    <row r="1578" spans="28:28" x14ac:dyDescent="0.2">
      <c r="AB1578" s="660" t="str">
        <f>IFERROR(VALUE(RIGHT(AA1578,LEN(AA1578)-MIN(FIND({0;1;2;3;4;5;6;7;8;9},AA1578&amp;"0123456789"))+1)),"")</f>
        <v/>
      </c>
    </row>
    <row r="1579" spans="28:28" x14ac:dyDescent="0.2">
      <c r="AB1579" s="660" t="str">
        <f>IFERROR(VALUE(RIGHT(AA1579,LEN(AA1579)-MIN(FIND({0;1;2;3;4;5;6;7;8;9},AA1579&amp;"0123456789"))+1)),"")</f>
        <v/>
      </c>
    </row>
    <row r="1580" spans="28:28" x14ac:dyDescent="0.2">
      <c r="AB1580" s="660" t="str">
        <f>IFERROR(VALUE(RIGHT(AA1580,LEN(AA1580)-MIN(FIND({0;1;2;3;4;5;6;7;8;9},AA1580&amp;"0123456789"))+1)),"")</f>
        <v/>
      </c>
    </row>
    <row r="1581" spans="28:28" x14ac:dyDescent="0.2">
      <c r="AB1581" s="660" t="str">
        <f>IFERROR(VALUE(RIGHT(AA1581,LEN(AA1581)-MIN(FIND({0;1;2;3;4;5;6;7;8;9},AA1581&amp;"0123456789"))+1)),"")</f>
        <v/>
      </c>
    </row>
    <row r="1582" spans="28:28" x14ac:dyDescent="0.2">
      <c r="AB1582" s="660" t="str">
        <f>IFERROR(VALUE(RIGHT(AA1582,LEN(AA1582)-MIN(FIND({0;1;2;3;4;5;6;7;8;9},AA1582&amp;"0123456789"))+1)),"")</f>
        <v/>
      </c>
    </row>
    <row r="1583" spans="28:28" x14ac:dyDescent="0.2">
      <c r="AB1583" s="660" t="str">
        <f>IFERROR(VALUE(RIGHT(AA1583,LEN(AA1583)-MIN(FIND({0;1;2;3;4;5;6;7;8;9},AA1583&amp;"0123456789"))+1)),"")</f>
        <v/>
      </c>
    </row>
    <row r="1584" spans="28:28" x14ac:dyDescent="0.2">
      <c r="AB1584" s="660" t="str">
        <f>IFERROR(VALUE(RIGHT(AA1584,LEN(AA1584)-MIN(FIND({0;1;2;3;4;5;6;7;8;9},AA1584&amp;"0123456789"))+1)),"")</f>
        <v/>
      </c>
    </row>
    <row r="1585" spans="28:28" x14ac:dyDescent="0.2">
      <c r="AB1585" s="660" t="str">
        <f>IFERROR(VALUE(RIGHT(AA1585,LEN(AA1585)-MIN(FIND({0;1;2;3;4;5;6;7;8;9},AA1585&amp;"0123456789"))+1)),"")</f>
        <v/>
      </c>
    </row>
    <row r="1586" spans="28:28" x14ac:dyDescent="0.2">
      <c r="AB1586" s="660" t="str">
        <f>IFERROR(VALUE(RIGHT(AA1586,LEN(AA1586)-MIN(FIND({0;1;2;3;4;5;6;7;8;9},AA1586&amp;"0123456789"))+1)),"")</f>
        <v/>
      </c>
    </row>
    <row r="1587" spans="28:28" x14ac:dyDescent="0.2">
      <c r="AB1587" s="660" t="str">
        <f>IFERROR(VALUE(RIGHT(AA1587,LEN(AA1587)-MIN(FIND({0;1;2;3;4;5;6;7;8;9},AA1587&amp;"0123456789"))+1)),"")</f>
        <v/>
      </c>
    </row>
    <row r="1588" spans="28:28" x14ac:dyDescent="0.2">
      <c r="AB1588" s="660" t="str">
        <f>IFERROR(VALUE(RIGHT(AA1588,LEN(AA1588)-MIN(FIND({0;1;2;3;4;5;6;7;8;9},AA1588&amp;"0123456789"))+1)),"")</f>
        <v/>
      </c>
    </row>
    <row r="1589" spans="28:28" x14ac:dyDescent="0.2">
      <c r="AB1589" s="660" t="str">
        <f>IFERROR(VALUE(RIGHT(AA1589,LEN(AA1589)-MIN(FIND({0;1;2;3;4;5;6;7;8;9},AA1589&amp;"0123456789"))+1)),"")</f>
        <v/>
      </c>
    </row>
    <row r="1590" spans="28:28" x14ac:dyDescent="0.2">
      <c r="AB1590" s="660" t="str">
        <f>IFERROR(VALUE(RIGHT(AA1590,LEN(AA1590)-MIN(FIND({0;1;2;3;4;5;6;7;8;9},AA1590&amp;"0123456789"))+1)),"")</f>
        <v/>
      </c>
    </row>
    <row r="1591" spans="28:28" x14ac:dyDescent="0.2">
      <c r="AB1591" s="660" t="str">
        <f>IFERROR(VALUE(RIGHT(AA1591,LEN(AA1591)-MIN(FIND({0;1;2;3;4;5;6;7;8;9},AA1591&amp;"0123456789"))+1)),"")</f>
        <v/>
      </c>
    </row>
    <row r="1592" spans="28:28" x14ac:dyDescent="0.2">
      <c r="AB1592" s="660" t="str">
        <f>IFERROR(VALUE(RIGHT(AA1592,LEN(AA1592)-MIN(FIND({0;1;2;3;4;5;6;7;8;9},AA1592&amp;"0123456789"))+1)),"")</f>
        <v/>
      </c>
    </row>
    <row r="1593" spans="28:28" x14ac:dyDescent="0.2">
      <c r="AB1593" s="660" t="str">
        <f>IFERROR(VALUE(RIGHT(AA1593,LEN(AA1593)-MIN(FIND({0;1;2;3;4;5;6;7;8;9},AA1593&amp;"0123456789"))+1)),"")</f>
        <v/>
      </c>
    </row>
    <row r="1594" spans="28:28" x14ac:dyDescent="0.2">
      <c r="AB1594" s="660" t="str">
        <f>IFERROR(VALUE(RIGHT(AA1594,LEN(AA1594)-MIN(FIND({0;1;2;3;4;5;6;7;8;9},AA1594&amp;"0123456789"))+1)),"")</f>
        <v/>
      </c>
    </row>
    <row r="1595" spans="28:28" x14ac:dyDescent="0.2">
      <c r="AB1595" s="660" t="str">
        <f>IFERROR(VALUE(RIGHT(AA1595,LEN(AA1595)-MIN(FIND({0;1;2;3;4;5;6;7;8;9},AA1595&amp;"0123456789"))+1)),"")</f>
        <v/>
      </c>
    </row>
    <row r="1596" spans="28:28" x14ac:dyDescent="0.2">
      <c r="AB1596" s="660" t="str">
        <f>IFERROR(VALUE(RIGHT(AA1596,LEN(AA1596)-MIN(FIND({0;1;2;3;4;5;6;7;8;9},AA1596&amp;"0123456789"))+1)),"")</f>
        <v/>
      </c>
    </row>
    <row r="1597" spans="28:28" x14ac:dyDescent="0.2">
      <c r="AB1597" s="660" t="str">
        <f>IFERROR(VALUE(RIGHT(AA1597,LEN(AA1597)-MIN(FIND({0;1;2;3;4;5;6;7;8;9},AA1597&amp;"0123456789"))+1)),"")</f>
        <v/>
      </c>
    </row>
    <row r="1598" spans="28:28" x14ac:dyDescent="0.2">
      <c r="AB1598" s="660" t="str">
        <f>IFERROR(VALUE(RIGHT(AA1598,LEN(AA1598)-MIN(FIND({0;1;2;3;4;5;6;7;8;9},AA1598&amp;"0123456789"))+1)),"")</f>
        <v/>
      </c>
    </row>
    <row r="1599" spans="28:28" x14ac:dyDescent="0.2">
      <c r="AB1599" s="660" t="str">
        <f>IFERROR(VALUE(RIGHT(AA1599,LEN(AA1599)-MIN(FIND({0;1;2;3;4;5;6;7;8;9},AA1599&amp;"0123456789"))+1)),"")</f>
        <v/>
      </c>
    </row>
    <row r="1600" spans="28:28" x14ac:dyDescent="0.2">
      <c r="AB1600" s="660" t="str">
        <f>IFERROR(VALUE(RIGHT(AA1600,LEN(AA1600)-MIN(FIND({0;1;2;3;4;5;6;7;8;9},AA1600&amp;"0123456789"))+1)),"")</f>
        <v/>
      </c>
    </row>
    <row r="1601" spans="28:28" x14ac:dyDescent="0.2">
      <c r="AB1601" s="660" t="str">
        <f>IFERROR(VALUE(RIGHT(AA1601,LEN(AA1601)-MIN(FIND({0;1;2;3;4;5;6;7;8;9},AA1601&amp;"0123456789"))+1)),"")</f>
        <v/>
      </c>
    </row>
    <row r="1602" spans="28:28" x14ac:dyDescent="0.2">
      <c r="AB1602" s="660" t="str">
        <f>IFERROR(VALUE(RIGHT(AA1602,LEN(AA1602)-MIN(FIND({0;1;2;3;4;5;6;7;8;9},AA1602&amp;"0123456789"))+1)),"")</f>
        <v/>
      </c>
    </row>
    <row r="1603" spans="28:28" x14ac:dyDescent="0.2">
      <c r="AB1603" s="660" t="str">
        <f>IFERROR(VALUE(RIGHT(AA1603,LEN(AA1603)-MIN(FIND({0;1;2;3;4;5;6;7;8;9},AA1603&amp;"0123456789"))+1)),"")</f>
        <v/>
      </c>
    </row>
    <row r="1604" spans="28:28" x14ac:dyDescent="0.2">
      <c r="AB1604" s="660" t="str">
        <f>IFERROR(VALUE(RIGHT(AA1604,LEN(AA1604)-MIN(FIND({0;1;2;3;4;5;6;7;8;9},AA1604&amp;"0123456789"))+1)),"")</f>
        <v/>
      </c>
    </row>
    <row r="1605" spans="28:28" x14ac:dyDescent="0.2">
      <c r="AB1605" s="660" t="str">
        <f>IFERROR(VALUE(RIGHT(AA1605,LEN(AA1605)-MIN(FIND({0;1;2;3;4;5;6;7;8;9},AA1605&amp;"0123456789"))+1)),"")</f>
        <v/>
      </c>
    </row>
    <row r="1606" spans="28:28" x14ac:dyDescent="0.2">
      <c r="AB1606" s="660" t="str">
        <f>IFERROR(VALUE(RIGHT(AA1606,LEN(AA1606)-MIN(FIND({0;1;2;3;4;5;6;7;8;9},AA1606&amp;"0123456789"))+1)),"")</f>
        <v/>
      </c>
    </row>
    <row r="1607" spans="28:28" x14ac:dyDescent="0.2">
      <c r="AB1607" s="660" t="str">
        <f>IFERROR(VALUE(RIGHT(AA1607,LEN(AA1607)-MIN(FIND({0;1;2;3;4;5;6;7;8;9},AA1607&amp;"0123456789"))+1)),"")</f>
        <v/>
      </c>
    </row>
    <row r="1608" spans="28:28" x14ac:dyDescent="0.2">
      <c r="AB1608" s="660" t="str">
        <f>IFERROR(VALUE(RIGHT(AA1608,LEN(AA1608)-MIN(FIND({0;1;2;3;4;5;6;7;8;9},AA1608&amp;"0123456789"))+1)),"")</f>
        <v/>
      </c>
    </row>
    <row r="1609" spans="28:28" x14ac:dyDescent="0.2">
      <c r="AB1609" s="660" t="str">
        <f>IFERROR(VALUE(RIGHT(AA1609,LEN(AA1609)-MIN(FIND({0;1;2;3;4;5;6;7;8;9},AA1609&amp;"0123456789"))+1)),"")</f>
        <v/>
      </c>
    </row>
    <row r="1610" spans="28:28" x14ac:dyDescent="0.2">
      <c r="AB1610" s="660" t="str">
        <f>IFERROR(VALUE(RIGHT(AA1610,LEN(AA1610)-MIN(FIND({0;1;2;3;4;5;6;7;8;9},AA1610&amp;"0123456789"))+1)),"")</f>
        <v/>
      </c>
    </row>
    <row r="1611" spans="28:28" x14ac:dyDescent="0.2">
      <c r="AB1611" s="660" t="str">
        <f>IFERROR(VALUE(RIGHT(AA1611,LEN(AA1611)-MIN(FIND({0;1;2;3;4;5;6;7;8;9},AA1611&amp;"0123456789"))+1)),"")</f>
        <v/>
      </c>
    </row>
    <row r="1612" spans="28:28" x14ac:dyDescent="0.2">
      <c r="AB1612" s="660" t="str">
        <f>IFERROR(VALUE(RIGHT(AA1612,LEN(AA1612)-MIN(FIND({0;1;2;3;4;5;6;7;8;9},AA1612&amp;"0123456789"))+1)),"")</f>
        <v/>
      </c>
    </row>
    <row r="1613" spans="28:28" x14ac:dyDescent="0.2">
      <c r="AB1613" s="660" t="str">
        <f>IFERROR(VALUE(RIGHT(AA1613,LEN(AA1613)-MIN(FIND({0;1;2;3;4;5;6;7;8;9},AA1613&amp;"0123456789"))+1)),"")</f>
        <v/>
      </c>
    </row>
    <row r="1614" spans="28:28" x14ac:dyDescent="0.2">
      <c r="AB1614" s="660" t="str">
        <f>IFERROR(VALUE(RIGHT(AA1614,LEN(AA1614)-MIN(FIND({0;1;2;3;4;5;6;7;8;9},AA1614&amp;"0123456789"))+1)),"")</f>
        <v/>
      </c>
    </row>
    <row r="1615" spans="28:28" x14ac:dyDescent="0.2">
      <c r="AB1615" s="660" t="str">
        <f>IFERROR(VALUE(RIGHT(AA1615,LEN(AA1615)-MIN(FIND({0;1;2;3;4;5;6;7;8;9},AA1615&amp;"0123456789"))+1)),"")</f>
        <v/>
      </c>
    </row>
    <row r="1616" spans="28:28" x14ac:dyDescent="0.2">
      <c r="AB1616" s="660" t="str">
        <f>IFERROR(VALUE(RIGHT(AA1616,LEN(AA1616)-MIN(FIND({0;1;2;3;4;5;6;7;8;9},AA1616&amp;"0123456789"))+1)),"")</f>
        <v/>
      </c>
    </row>
    <row r="1617" spans="28:28" x14ac:dyDescent="0.2">
      <c r="AB1617" s="660" t="str">
        <f>IFERROR(VALUE(RIGHT(AA1617,LEN(AA1617)-MIN(FIND({0;1;2;3;4;5;6;7;8;9},AA1617&amp;"0123456789"))+1)),"")</f>
        <v/>
      </c>
    </row>
    <row r="1618" spans="28:28" x14ac:dyDescent="0.2">
      <c r="AB1618" s="660" t="str">
        <f>IFERROR(VALUE(RIGHT(AA1618,LEN(AA1618)-MIN(FIND({0;1;2;3;4;5;6;7;8;9},AA1618&amp;"0123456789"))+1)),"")</f>
        <v/>
      </c>
    </row>
    <row r="1619" spans="28:28" x14ac:dyDescent="0.2">
      <c r="AB1619" s="660" t="str">
        <f>IFERROR(VALUE(RIGHT(AA1619,LEN(AA1619)-MIN(FIND({0;1;2;3;4;5;6;7;8;9},AA1619&amp;"0123456789"))+1)),"")</f>
        <v/>
      </c>
    </row>
    <row r="1620" spans="28:28" x14ac:dyDescent="0.2">
      <c r="AB1620" s="660" t="str">
        <f>IFERROR(VALUE(RIGHT(AA1620,LEN(AA1620)-MIN(FIND({0;1;2;3;4;5;6;7;8;9},AA1620&amp;"0123456789"))+1)),"")</f>
        <v/>
      </c>
    </row>
    <row r="1621" spans="28:28" x14ac:dyDescent="0.2">
      <c r="AB1621" s="660" t="str">
        <f>IFERROR(VALUE(RIGHT(AA1621,LEN(AA1621)-MIN(FIND({0;1;2;3;4;5;6;7;8;9},AA1621&amp;"0123456789"))+1)),"")</f>
        <v/>
      </c>
    </row>
    <row r="1622" spans="28:28" x14ac:dyDescent="0.2">
      <c r="AB1622" s="660" t="str">
        <f>IFERROR(VALUE(RIGHT(AA1622,LEN(AA1622)-MIN(FIND({0;1;2;3;4;5;6;7;8;9},AA1622&amp;"0123456789"))+1)),"")</f>
        <v/>
      </c>
    </row>
    <row r="1623" spans="28:28" x14ac:dyDescent="0.2">
      <c r="AB1623" s="660" t="str">
        <f>IFERROR(VALUE(RIGHT(AA1623,LEN(AA1623)-MIN(FIND({0;1;2;3;4;5;6;7;8;9},AA1623&amp;"0123456789"))+1)),"")</f>
        <v/>
      </c>
    </row>
    <row r="1624" spans="28:28" x14ac:dyDescent="0.2">
      <c r="AB1624" s="660" t="str">
        <f>IFERROR(VALUE(RIGHT(AA1624,LEN(AA1624)-MIN(FIND({0;1;2;3;4;5;6;7;8;9},AA1624&amp;"0123456789"))+1)),"")</f>
        <v/>
      </c>
    </row>
    <row r="1625" spans="28:28" x14ac:dyDescent="0.2">
      <c r="AB1625" s="660" t="str">
        <f>IFERROR(VALUE(RIGHT(AA1625,LEN(AA1625)-MIN(FIND({0;1;2;3;4;5;6;7;8;9},AA1625&amp;"0123456789"))+1)),"")</f>
        <v/>
      </c>
    </row>
    <row r="1626" spans="28:28" x14ac:dyDescent="0.2">
      <c r="AB1626" s="660" t="str">
        <f>IFERROR(VALUE(RIGHT(AA1626,LEN(AA1626)-MIN(FIND({0;1;2;3;4;5;6;7;8;9},AA1626&amp;"0123456789"))+1)),"")</f>
        <v/>
      </c>
    </row>
    <row r="1627" spans="28:28" x14ac:dyDescent="0.2">
      <c r="AB1627" s="660" t="str">
        <f>IFERROR(VALUE(RIGHT(AA1627,LEN(AA1627)-MIN(FIND({0;1;2;3;4;5;6;7;8;9},AA1627&amp;"0123456789"))+1)),"")</f>
        <v/>
      </c>
    </row>
    <row r="1628" spans="28:28" x14ac:dyDescent="0.2">
      <c r="AB1628" s="660" t="str">
        <f>IFERROR(VALUE(RIGHT(AA1628,LEN(AA1628)-MIN(FIND({0;1;2;3;4;5;6;7;8;9},AA1628&amp;"0123456789"))+1)),"")</f>
        <v/>
      </c>
    </row>
    <row r="1629" spans="28:28" x14ac:dyDescent="0.2">
      <c r="AB1629" s="660" t="str">
        <f>IFERROR(VALUE(RIGHT(AA1629,LEN(AA1629)-MIN(FIND({0;1;2;3;4;5;6;7;8;9},AA1629&amp;"0123456789"))+1)),"")</f>
        <v/>
      </c>
    </row>
    <row r="1630" spans="28:28" x14ac:dyDescent="0.2">
      <c r="AB1630" s="660" t="str">
        <f>IFERROR(VALUE(RIGHT(AA1630,LEN(AA1630)-MIN(FIND({0;1;2;3;4;5;6;7;8;9},AA1630&amp;"0123456789"))+1)),"")</f>
        <v/>
      </c>
    </row>
    <row r="1631" spans="28:28" x14ac:dyDescent="0.2">
      <c r="AB1631" s="660" t="str">
        <f>IFERROR(VALUE(RIGHT(AA1631,LEN(AA1631)-MIN(FIND({0;1;2;3;4;5;6;7;8;9},AA1631&amp;"0123456789"))+1)),"")</f>
        <v/>
      </c>
    </row>
    <row r="1632" spans="28:28" x14ac:dyDescent="0.2">
      <c r="AB1632" s="660" t="str">
        <f>IFERROR(VALUE(RIGHT(AA1632,LEN(AA1632)-MIN(FIND({0;1;2;3;4;5;6;7;8;9},AA1632&amp;"0123456789"))+1)),"")</f>
        <v/>
      </c>
    </row>
    <row r="1633" spans="28:28" x14ac:dyDescent="0.2">
      <c r="AB1633" s="660" t="str">
        <f>IFERROR(VALUE(RIGHT(AA1633,LEN(AA1633)-MIN(FIND({0;1;2;3;4;5;6;7;8;9},AA1633&amp;"0123456789"))+1)),"")</f>
        <v/>
      </c>
    </row>
    <row r="1634" spans="28:28" x14ac:dyDescent="0.2">
      <c r="AB1634" s="660" t="str">
        <f>IFERROR(VALUE(RIGHT(AA1634,LEN(AA1634)-MIN(FIND({0;1;2;3;4;5;6;7;8;9},AA1634&amp;"0123456789"))+1)),"")</f>
        <v/>
      </c>
    </row>
    <row r="1635" spans="28:28" x14ac:dyDescent="0.2">
      <c r="AB1635" s="660" t="str">
        <f>IFERROR(VALUE(RIGHT(AA1635,LEN(AA1635)-MIN(FIND({0;1;2;3;4;5;6;7;8;9},AA1635&amp;"0123456789"))+1)),"")</f>
        <v/>
      </c>
    </row>
    <row r="1636" spans="28:28" x14ac:dyDescent="0.2">
      <c r="AB1636" s="660" t="str">
        <f>IFERROR(VALUE(RIGHT(AA1636,LEN(AA1636)-MIN(FIND({0;1;2;3;4;5;6;7;8;9},AA1636&amp;"0123456789"))+1)),"")</f>
        <v/>
      </c>
    </row>
    <row r="1637" spans="28:28" x14ac:dyDescent="0.2">
      <c r="AB1637" s="660" t="str">
        <f>IFERROR(VALUE(RIGHT(AA1637,LEN(AA1637)-MIN(FIND({0;1;2;3;4;5;6;7;8;9},AA1637&amp;"0123456789"))+1)),"")</f>
        <v/>
      </c>
    </row>
    <row r="1638" spans="28:28" x14ac:dyDescent="0.2">
      <c r="AB1638" s="660" t="str">
        <f>IFERROR(VALUE(RIGHT(AA1638,LEN(AA1638)-MIN(FIND({0;1;2;3;4;5;6;7;8;9},AA1638&amp;"0123456789"))+1)),"")</f>
        <v/>
      </c>
    </row>
    <row r="1639" spans="28:28" x14ac:dyDescent="0.2">
      <c r="AB1639" s="660" t="str">
        <f>IFERROR(VALUE(RIGHT(AA1639,LEN(AA1639)-MIN(FIND({0;1;2;3;4;5;6;7;8;9},AA1639&amp;"0123456789"))+1)),"")</f>
        <v/>
      </c>
    </row>
    <row r="1640" spans="28:28" x14ac:dyDescent="0.2">
      <c r="AB1640" s="660" t="str">
        <f>IFERROR(VALUE(RIGHT(AA1640,LEN(AA1640)-MIN(FIND({0;1;2;3;4;5;6;7;8;9},AA1640&amp;"0123456789"))+1)),"")</f>
        <v/>
      </c>
    </row>
    <row r="1641" spans="28:28" x14ac:dyDescent="0.2">
      <c r="AB1641" s="660" t="str">
        <f>IFERROR(VALUE(RIGHT(AA1641,LEN(AA1641)-MIN(FIND({0;1;2;3;4;5;6;7;8;9},AA1641&amp;"0123456789"))+1)),"")</f>
        <v/>
      </c>
    </row>
    <row r="1642" spans="28:28" x14ac:dyDescent="0.2">
      <c r="AB1642" s="660" t="str">
        <f>IFERROR(VALUE(RIGHT(AA1642,LEN(AA1642)-MIN(FIND({0;1;2;3;4;5;6;7;8;9},AA1642&amp;"0123456789"))+1)),"")</f>
        <v/>
      </c>
    </row>
    <row r="1643" spans="28:28" x14ac:dyDescent="0.2">
      <c r="AB1643" s="660" t="str">
        <f>IFERROR(VALUE(RIGHT(AA1643,LEN(AA1643)-MIN(FIND({0;1;2;3;4;5;6;7;8;9},AA1643&amp;"0123456789"))+1)),"")</f>
        <v/>
      </c>
    </row>
    <row r="1644" spans="28:28" x14ac:dyDescent="0.2">
      <c r="AB1644" s="660" t="str">
        <f>IFERROR(VALUE(RIGHT(AA1644,LEN(AA1644)-MIN(FIND({0;1;2;3;4;5;6;7;8;9},AA1644&amp;"0123456789"))+1)),"")</f>
        <v/>
      </c>
    </row>
    <row r="1645" spans="28:28" x14ac:dyDescent="0.2">
      <c r="AB1645" s="660" t="str">
        <f>IFERROR(VALUE(RIGHT(AA1645,LEN(AA1645)-MIN(FIND({0;1;2;3;4;5;6;7;8;9},AA1645&amp;"0123456789"))+1)),"")</f>
        <v/>
      </c>
    </row>
    <row r="1646" spans="28:28" x14ac:dyDescent="0.2">
      <c r="AB1646" s="660" t="str">
        <f>IFERROR(VALUE(RIGHT(AA1646,LEN(AA1646)-MIN(FIND({0;1;2;3;4;5;6;7;8;9},AA1646&amp;"0123456789"))+1)),"")</f>
        <v/>
      </c>
    </row>
    <row r="1647" spans="28:28" x14ac:dyDescent="0.2">
      <c r="AB1647" s="660" t="str">
        <f>IFERROR(VALUE(RIGHT(AA1647,LEN(AA1647)-MIN(FIND({0;1;2;3;4;5;6;7;8;9},AA1647&amp;"0123456789"))+1)),"")</f>
        <v/>
      </c>
    </row>
    <row r="1648" spans="28:28" x14ac:dyDescent="0.2">
      <c r="AB1648" s="660" t="str">
        <f>IFERROR(VALUE(RIGHT(AA1648,LEN(AA1648)-MIN(FIND({0;1;2;3;4;5;6;7;8;9},AA1648&amp;"0123456789"))+1)),"")</f>
        <v/>
      </c>
    </row>
    <row r="1649" spans="28:28" x14ac:dyDescent="0.2">
      <c r="AB1649" s="660" t="str">
        <f>IFERROR(VALUE(RIGHT(AA1649,LEN(AA1649)-MIN(FIND({0;1;2;3;4;5;6;7;8;9},AA1649&amp;"0123456789"))+1)),"")</f>
        <v/>
      </c>
    </row>
    <row r="1650" spans="28:28" x14ac:dyDescent="0.2">
      <c r="AB1650" s="660" t="str">
        <f>IFERROR(VALUE(RIGHT(AA1650,LEN(AA1650)-MIN(FIND({0;1;2;3;4;5;6;7;8;9},AA1650&amp;"0123456789"))+1)),"")</f>
        <v/>
      </c>
    </row>
    <row r="1651" spans="28:28" x14ac:dyDescent="0.2">
      <c r="AB1651" s="660" t="str">
        <f>IFERROR(VALUE(RIGHT(AA1651,LEN(AA1651)-MIN(FIND({0;1;2;3;4;5;6;7;8;9},AA1651&amp;"0123456789"))+1)),"")</f>
        <v/>
      </c>
    </row>
    <row r="1652" spans="28:28" x14ac:dyDescent="0.2">
      <c r="AB1652" s="660" t="str">
        <f>IFERROR(VALUE(RIGHT(AA1652,LEN(AA1652)-MIN(FIND({0;1;2;3;4;5;6;7;8;9},AA1652&amp;"0123456789"))+1)),"")</f>
        <v/>
      </c>
    </row>
    <row r="1653" spans="28:28" x14ac:dyDescent="0.2">
      <c r="AB1653" s="660" t="str">
        <f>IFERROR(VALUE(RIGHT(AA1653,LEN(AA1653)-MIN(FIND({0;1;2;3;4;5;6;7;8;9},AA1653&amp;"0123456789"))+1)),"")</f>
        <v/>
      </c>
    </row>
    <row r="1654" spans="28:28" x14ac:dyDescent="0.2">
      <c r="AB1654" s="660" t="str">
        <f>IFERROR(VALUE(RIGHT(AA1654,LEN(AA1654)-MIN(FIND({0;1;2;3;4;5;6;7;8;9},AA1654&amp;"0123456789"))+1)),"")</f>
        <v/>
      </c>
    </row>
    <row r="1655" spans="28:28" x14ac:dyDescent="0.2">
      <c r="AB1655" s="660" t="str">
        <f>IFERROR(VALUE(RIGHT(AA1655,LEN(AA1655)-MIN(FIND({0;1;2;3;4;5;6;7;8;9},AA1655&amp;"0123456789"))+1)),"")</f>
        <v/>
      </c>
    </row>
    <row r="1656" spans="28:28" x14ac:dyDescent="0.2">
      <c r="AB1656" s="660" t="str">
        <f>IFERROR(VALUE(RIGHT(AA1656,LEN(AA1656)-MIN(FIND({0;1;2;3;4;5;6;7;8;9},AA1656&amp;"0123456789"))+1)),"")</f>
        <v/>
      </c>
    </row>
    <row r="1657" spans="28:28" x14ac:dyDescent="0.2">
      <c r="AB1657" s="660" t="str">
        <f>IFERROR(VALUE(RIGHT(AA1657,LEN(AA1657)-MIN(FIND({0;1;2;3;4;5;6;7;8;9},AA1657&amp;"0123456789"))+1)),"")</f>
        <v/>
      </c>
    </row>
    <row r="1658" spans="28:28" x14ac:dyDescent="0.2">
      <c r="AB1658" s="660" t="str">
        <f>IFERROR(VALUE(RIGHT(AA1658,LEN(AA1658)-MIN(FIND({0;1;2;3;4;5;6;7;8;9},AA1658&amp;"0123456789"))+1)),"")</f>
        <v/>
      </c>
    </row>
    <row r="1659" spans="28:28" x14ac:dyDescent="0.2">
      <c r="AB1659" s="660" t="str">
        <f>IFERROR(VALUE(RIGHT(AA1659,LEN(AA1659)-MIN(FIND({0;1;2;3;4;5;6;7;8;9},AA1659&amp;"0123456789"))+1)),"")</f>
        <v/>
      </c>
    </row>
    <row r="1660" spans="28:28" x14ac:dyDescent="0.2">
      <c r="AB1660" s="660" t="str">
        <f>IFERROR(VALUE(RIGHT(AA1660,LEN(AA1660)-MIN(FIND({0;1;2;3;4;5;6;7;8;9},AA1660&amp;"0123456789"))+1)),"")</f>
        <v/>
      </c>
    </row>
    <row r="1661" spans="28:28" x14ac:dyDescent="0.2">
      <c r="AB1661" s="660" t="str">
        <f>IFERROR(VALUE(RIGHT(AA1661,LEN(AA1661)-MIN(FIND({0;1;2;3;4;5;6;7;8;9},AA1661&amp;"0123456789"))+1)),"")</f>
        <v/>
      </c>
    </row>
    <row r="1662" spans="28:28" x14ac:dyDescent="0.2">
      <c r="AB1662" s="660" t="str">
        <f>IFERROR(VALUE(RIGHT(AA1662,LEN(AA1662)-MIN(FIND({0;1;2;3;4;5;6;7;8;9},AA1662&amp;"0123456789"))+1)),"")</f>
        <v/>
      </c>
    </row>
    <row r="1663" spans="28:28" x14ac:dyDescent="0.2">
      <c r="AB1663" s="660" t="str">
        <f>IFERROR(VALUE(RIGHT(AA1663,LEN(AA1663)-MIN(FIND({0;1;2;3;4;5;6;7;8;9},AA1663&amp;"0123456789"))+1)),"")</f>
        <v/>
      </c>
    </row>
    <row r="1664" spans="28:28" x14ac:dyDescent="0.2">
      <c r="AB1664" s="660" t="str">
        <f>IFERROR(VALUE(RIGHT(AA1664,LEN(AA1664)-MIN(FIND({0;1;2;3;4;5;6;7;8;9},AA1664&amp;"0123456789"))+1)),"")</f>
        <v/>
      </c>
    </row>
    <row r="1665" spans="28:28" x14ac:dyDescent="0.2">
      <c r="AB1665" s="660" t="str">
        <f>IFERROR(VALUE(RIGHT(AA1665,LEN(AA1665)-MIN(FIND({0;1;2;3;4;5;6;7;8;9},AA1665&amp;"0123456789"))+1)),"")</f>
        <v/>
      </c>
    </row>
    <row r="1666" spans="28:28" x14ac:dyDescent="0.2">
      <c r="AB1666" s="660" t="str">
        <f>IFERROR(VALUE(RIGHT(AA1666,LEN(AA1666)-MIN(FIND({0;1;2;3;4;5;6;7;8;9},AA1666&amp;"0123456789"))+1)),"")</f>
        <v/>
      </c>
    </row>
    <row r="1667" spans="28:28" x14ac:dyDescent="0.2">
      <c r="AB1667" s="660" t="str">
        <f>IFERROR(VALUE(RIGHT(AA1667,LEN(AA1667)-MIN(FIND({0;1;2;3;4;5;6;7;8;9},AA1667&amp;"0123456789"))+1)),"")</f>
        <v/>
      </c>
    </row>
    <row r="1668" spans="28:28" x14ac:dyDescent="0.2">
      <c r="AB1668" s="660" t="str">
        <f>IFERROR(VALUE(RIGHT(AA1668,LEN(AA1668)-MIN(FIND({0;1;2;3;4;5;6;7;8;9},AA1668&amp;"0123456789"))+1)),"")</f>
        <v/>
      </c>
    </row>
    <row r="1669" spans="28:28" x14ac:dyDescent="0.2">
      <c r="AB1669" s="660" t="str">
        <f>IFERROR(VALUE(RIGHT(AA1669,LEN(AA1669)-MIN(FIND({0;1;2;3;4;5;6;7;8;9},AA1669&amp;"0123456789"))+1)),"")</f>
        <v/>
      </c>
    </row>
    <row r="1670" spans="28:28" x14ac:dyDescent="0.2">
      <c r="AB1670" s="660" t="str">
        <f>IFERROR(VALUE(RIGHT(AA1670,LEN(AA1670)-MIN(FIND({0;1;2;3;4;5;6;7;8;9},AA1670&amp;"0123456789"))+1)),"")</f>
        <v/>
      </c>
    </row>
    <row r="1671" spans="28:28" x14ac:dyDescent="0.2">
      <c r="AB1671" s="660" t="str">
        <f>IFERROR(VALUE(RIGHT(AA1671,LEN(AA1671)-MIN(FIND({0;1;2;3;4;5;6;7;8;9},AA1671&amp;"0123456789"))+1)),"")</f>
        <v/>
      </c>
    </row>
    <row r="1672" spans="28:28" x14ac:dyDescent="0.2">
      <c r="AB1672" s="660" t="str">
        <f>IFERROR(VALUE(RIGHT(AA1672,LEN(AA1672)-MIN(FIND({0;1;2;3;4;5;6;7;8;9},AA1672&amp;"0123456789"))+1)),"")</f>
        <v/>
      </c>
    </row>
    <row r="1673" spans="28:28" x14ac:dyDescent="0.2">
      <c r="AB1673" s="660" t="str">
        <f>IFERROR(VALUE(RIGHT(AA1673,LEN(AA1673)-MIN(FIND({0;1;2;3;4;5;6;7;8;9},AA1673&amp;"0123456789"))+1)),"")</f>
        <v/>
      </c>
    </row>
    <row r="1674" spans="28:28" x14ac:dyDescent="0.2">
      <c r="AB1674" s="660" t="str">
        <f>IFERROR(VALUE(RIGHT(AA1674,LEN(AA1674)-MIN(FIND({0;1;2;3;4;5;6;7;8;9},AA1674&amp;"0123456789"))+1)),"")</f>
        <v/>
      </c>
    </row>
    <row r="1675" spans="28:28" x14ac:dyDescent="0.2">
      <c r="AB1675" s="660" t="str">
        <f>IFERROR(VALUE(RIGHT(AA1675,LEN(AA1675)-MIN(FIND({0;1;2;3;4;5;6;7;8;9},AA1675&amp;"0123456789"))+1)),"")</f>
        <v/>
      </c>
    </row>
    <row r="1676" spans="28:28" x14ac:dyDescent="0.2">
      <c r="AB1676" s="660" t="str">
        <f>IFERROR(VALUE(RIGHT(AA1676,LEN(AA1676)-MIN(FIND({0;1;2;3;4;5;6;7;8;9},AA1676&amp;"0123456789"))+1)),"")</f>
        <v/>
      </c>
    </row>
    <row r="1677" spans="28:28" x14ac:dyDescent="0.2">
      <c r="AB1677" s="660" t="str">
        <f>IFERROR(VALUE(RIGHT(AA1677,LEN(AA1677)-MIN(FIND({0;1;2;3;4;5;6;7;8;9},AA1677&amp;"0123456789"))+1)),"")</f>
        <v/>
      </c>
    </row>
    <row r="1678" spans="28:28" x14ac:dyDescent="0.2">
      <c r="AB1678" s="660" t="str">
        <f>IFERROR(VALUE(RIGHT(AA1678,LEN(AA1678)-MIN(FIND({0;1;2;3;4;5;6;7;8;9},AA1678&amp;"0123456789"))+1)),"")</f>
        <v/>
      </c>
    </row>
    <row r="1679" spans="28:28" x14ac:dyDescent="0.2">
      <c r="AB1679" s="660" t="str">
        <f>IFERROR(VALUE(RIGHT(AA1679,LEN(AA1679)-MIN(FIND({0;1;2;3;4;5;6;7;8;9},AA1679&amp;"0123456789"))+1)),"")</f>
        <v/>
      </c>
    </row>
    <row r="1680" spans="28:28" x14ac:dyDescent="0.2">
      <c r="AB1680" s="660" t="str">
        <f>IFERROR(VALUE(RIGHT(AA1680,LEN(AA1680)-MIN(FIND({0;1;2;3;4;5;6;7;8;9},AA1680&amp;"0123456789"))+1)),"")</f>
        <v/>
      </c>
    </row>
    <row r="1681" spans="28:28" x14ac:dyDescent="0.2">
      <c r="AB1681" s="660" t="str">
        <f>IFERROR(VALUE(RIGHT(AA1681,LEN(AA1681)-MIN(FIND({0;1;2;3;4;5;6;7;8;9},AA1681&amp;"0123456789"))+1)),"")</f>
        <v/>
      </c>
    </row>
    <row r="1682" spans="28:28" x14ac:dyDescent="0.2">
      <c r="AB1682" s="660" t="str">
        <f>IFERROR(VALUE(RIGHT(AA1682,LEN(AA1682)-MIN(FIND({0;1;2;3;4;5;6;7;8;9},AA1682&amp;"0123456789"))+1)),"")</f>
        <v/>
      </c>
    </row>
    <row r="1683" spans="28:28" x14ac:dyDescent="0.2">
      <c r="AB1683" s="660" t="str">
        <f>IFERROR(VALUE(RIGHT(AA1683,LEN(AA1683)-MIN(FIND({0;1;2;3;4;5;6;7;8;9},AA1683&amp;"0123456789"))+1)),"")</f>
        <v/>
      </c>
    </row>
    <row r="1684" spans="28:28" x14ac:dyDescent="0.2">
      <c r="AB1684" s="660" t="str">
        <f>IFERROR(VALUE(RIGHT(AA1684,LEN(AA1684)-MIN(FIND({0;1;2;3;4;5;6;7;8;9},AA1684&amp;"0123456789"))+1)),"")</f>
        <v/>
      </c>
    </row>
    <row r="1685" spans="28:28" x14ac:dyDescent="0.2">
      <c r="AB1685" s="660" t="str">
        <f>IFERROR(VALUE(RIGHT(AA1685,LEN(AA1685)-MIN(FIND({0;1;2;3;4;5;6;7;8;9},AA1685&amp;"0123456789"))+1)),"")</f>
        <v/>
      </c>
    </row>
    <row r="1686" spans="28:28" x14ac:dyDescent="0.2">
      <c r="AB1686" s="660" t="str">
        <f>IFERROR(VALUE(RIGHT(AA1686,LEN(AA1686)-MIN(FIND({0;1;2;3;4;5;6;7;8;9},AA1686&amp;"0123456789"))+1)),"")</f>
        <v/>
      </c>
    </row>
    <row r="1687" spans="28:28" x14ac:dyDescent="0.2">
      <c r="AB1687" s="660" t="str">
        <f>IFERROR(VALUE(RIGHT(AA1687,LEN(AA1687)-MIN(FIND({0;1;2;3;4;5;6;7;8;9},AA1687&amp;"0123456789"))+1)),"")</f>
        <v/>
      </c>
    </row>
    <row r="1688" spans="28:28" x14ac:dyDescent="0.2">
      <c r="AB1688" s="660" t="str">
        <f>IFERROR(VALUE(RIGHT(AA1688,LEN(AA1688)-MIN(FIND({0;1;2;3;4;5;6;7;8;9},AA1688&amp;"0123456789"))+1)),"")</f>
        <v/>
      </c>
    </row>
    <row r="1689" spans="28:28" x14ac:dyDescent="0.2">
      <c r="AB1689" s="660" t="str">
        <f>IFERROR(VALUE(RIGHT(AA1689,LEN(AA1689)-MIN(FIND({0;1;2;3;4;5;6;7;8;9},AA1689&amp;"0123456789"))+1)),"")</f>
        <v/>
      </c>
    </row>
    <row r="1690" spans="28:28" x14ac:dyDescent="0.2">
      <c r="AB1690" s="660" t="str">
        <f>IFERROR(VALUE(RIGHT(AA1690,LEN(AA1690)-MIN(FIND({0;1;2;3;4;5;6;7;8;9},AA1690&amp;"0123456789"))+1)),"")</f>
        <v/>
      </c>
    </row>
    <row r="1691" spans="28:28" x14ac:dyDescent="0.2">
      <c r="AB1691" s="660" t="str">
        <f>IFERROR(VALUE(RIGHT(AA1691,LEN(AA1691)-MIN(FIND({0;1;2;3;4;5;6;7;8;9},AA1691&amp;"0123456789"))+1)),"")</f>
        <v/>
      </c>
    </row>
    <row r="1692" spans="28:28" x14ac:dyDescent="0.2">
      <c r="AB1692" s="660" t="str">
        <f>IFERROR(VALUE(RIGHT(AA1692,LEN(AA1692)-MIN(FIND({0;1;2;3;4;5;6;7;8;9},AA1692&amp;"0123456789"))+1)),"")</f>
        <v/>
      </c>
    </row>
    <row r="1693" spans="28:28" x14ac:dyDescent="0.2">
      <c r="AB1693" s="660" t="str">
        <f>IFERROR(VALUE(RIGHT(AA1693,LEN(AA1693)-MIN(FIND({0;1;2;3;4;5;6;7;8;9},AA1693&amp;"0123456789"))+1)),"")</f>
        <v/>
      </c>
    </row>
    <row r="1694" spans="28:28" x14ac:dyDescent="0.2">
      <c r="AB1694" s="660" t="str">
        <f>IFERROR(VALUE(RIGHT(AA1694,LEN(AA1694)-MIN(FIND({0;1;2;3;4;5;6;7;8;9},AA1694&amp;"0123456789"))+1)),"")</f>
        <v/>
      </c>
    </row>
    <row r="1695" spans="28:28" x14ac:dyDescent="0.2">
      <c r="AB1695" s="660" t="str">
        <f>IFERROR(VALUE(RIGHT(AA1695,LEN(AA1695)-MIN(FIND({0;1;2;3;4;5;6;7;8;9},AA1695&amp;"0123456789"))+1)),"")</f>
        <v/>
      </c>
    </row>
    <row r="1696" spans="28:28" x14ac:dyDescent="0.2">
      <c r="AB1696" s="660" t="str">
        <f>IFERROR(VALUE(RIGHT(AA1696,LEN(AA1696)-MIN(FIND({0;1;2;3;4;5;6;7;8;9},AA1696&amp;"0123456789"))+1)),"")</f>
        <v/>
      </c>
    </row>
    <row r="1697" spans="28:28" x14ac:dyDescent="0.2">
      <c r="AB1697" s="660" t="str">
        <f>IFERROR(VALUE(RIGHT(AA1697,LEN(AA1697)-MIN(FIND({0;1;2;3;4;5;6;7;8;9},AA1697&amp;"0123456789"))+1)),"")</f>
        <v/>
      </c>
    </row>
    <row r="1698" spans="28:28" x14ac:dyDescent="0.2">
      <c r="AB1698" s="660" t="str">
        <f>IFERROR(VALUE(RIGHT(AA1698,LEN(AA1698)-MIN(FIND({0;1;2;3;4;5;6;7;8;9},AA1698&amp;"0123456789"))+1)),"")</f>
        <v/>
      </c>
    </row>
    <row r="1699" spans="28:28" x14ac:dyDescent="0.2">
      <c r="AB1699" s="660" t="str">
        <f>IFERROR(VALUE(RIGHT(AA1699,LEN(AA1699)-MIN(FIND({0;1;2;3;4;5;6;7;8;9},AA1699&amp;"0123456789"))+1)),"")</f>
        <v/>
      </c>
    </row>
    <row r="1700" spans="28:28" x14ac:dyDescent="0.2">
      <c r="AB1700" s="660" t="str">
        <f>IFERROR(VALUE(RIGHT(AA1700,LEN(AA1700)-MIN(FIND({0;1;2;3;4;5;6;7;8;9},AA1700&amp;"0123456789"))+1)),"")</f>
        <v/>
      </c>
    </row>
    <row r="1701" spans="28:28" x14ac:dyDescent="0.2">
      <c r="AB1701" s="660" t="str">
        <f>IFERROR(VALUE(RIGHT(AA1701,LEN(AA1701)-MIN(FIND({0;1;2;3;4;5;6;7;8;9},AA1701&amp;"0123456789"))+1)),"")</f>
        <v/>
      </c>
    </row>
    <row r="1702" spans="28:28" x14ac:dyDescent="0.2">
      <c r="AB1702" s="660" t="str">
        <f>IFERROR(VALUE(RIGHT(AA1702,LEN(AA1702)-MIN(FIND({0;1;2;3;4;5;6;7;8;9},AA1702&amp;"0123456789"))+1)),"")</f>
        <v/>
      </c>
    </row>
    <row r="1703" spans="28:28" x14ac:dyDescent="0.2">
      <c r="AB1703" s="660" t="str">
        <f>IFERROR(VALUE(RIGHT(AA1703,LEN(AA1703)-MIN(FIND({0;1;2;3;4;5;6;7;8;9},AA1703&amp;"0123456789"))+1)),"")</f>
        <v/>
      </c>
    </row>
    <row r="1704" spans="28:28" x14ac:dyDescent="0.2">
      <c r="AB1704" s="660" t="str">
        <f>IFERROR(VALUE(RIGHT(AA1704,LEN(AA1704)-MIN(FIND({0;1;2;3;4;5;6;7;8;9},AA1704&amp;"0123456789"))+1)),"")</f>
        <v/>
      </c>
    </row>
    <row r="1705" spans="28:28" x14ac:dyDescent="0.2">
      <c r="AB1705" s="660" t="str">
        <f>IFERROR(VALUE(RIGHT(AA1705,LEN(AA1705)-MIN(FIND({0;1;2;3;4;5;6;7;8;9},AA1705&amp;"0123456789"))+1)),"")</f>
        <v/>
      </c>
    </row>
    <row r="1706" spans="28:28" x14ac:dyDescent="0.2">
      <c r="AB1706" s="660" t="str">
        <f>IFERROR(VALUE(RIGHT(AA1706,LEN(AA1706)-MIN(FIND({0;1;2;3;4;5;6;7;8;9},AA1706&amp;"0123456789"))+1)),"")</f>
        <v/>
      </c>
    </row>
    <row r="1707" spans="28:28" x14ac:dyDescent="0.2">
      <c r="AB1707" s="660" t="str">
        <f>IFERROR(VALUE(RIGHT(AA1707,LEN(AA1707)-MIN(FIND({0;1;2;3;4;5;6;7;8;9},AA1707&amp;"0123456789"))+1)),"")</f>
        <v/>
      </c>
    </row>
    <row r="1708" spans="28:28" x14ac:dyDescent="0.2">
      <c r="AB1708" s="660" t="str">
        <f>IFERROR(VALUE(RIGHT(AA1708,LEN(AA1708)-MIN(FIND({0;1;2;3;4;5;6;7;8;9},AA1708&amp;"0123456789"))+1)),"")</f>
        <v/>
      </c>
    </row>
    <row r="1709" spans="28:28" x14ac:dyDescent="0.2">
      <c r="AB1709" s="660" t="str">
        <f>IFERROR(VALUE(RIGHT(AA1709,LEN(AA1709)-MIN(FIND({0;1;2;3;4;5;6;7;8;9},AA1709&amp;"0123456789"))+1)),"")</f>
        <v/>
      </c>
    </row>
    <row r="1710" spans="28:28" x14ac:dyDescent="0.2">
      <c r="AB1710" s="660" t="str">
        <f>IFERROR(VALUE(RIGHT(AA1710,LEN(AA1710)-MIN(FIND({0;1;2;3;4;5;6;7;8;9},AA1710&amp;"0123456789"))+1)),"")</f>
        <v/>
      </c>
    </row>
    <row r="1711" spans="28:28" x14ac:dyDescent="0.2">
      <c r="AB1711" s="660" t="str">
        <f>IFERROR(VALUE(RIGHT(AA1711,LEN(AA1711)-MIN(FIND({0;1;2;3;4;5;6;7;8;9},AA1711&amp;"0123456789"))+1)),"")</f>
        <v/>
      </c>
    </row>
    <row r="1712" spans="28:28" x14ac:dyDescent="0.2">
      <c r="AB1712" s="660" t="str">
        <f>IFERROR(VALUE(RIGHT(AA1712,LEN(AA1712)-MIN(FIND({0;1;2;3;4;5;6;7;8;9},AA1712&amp;"0123456789"))+1)),"")</f>
        <v/>
      </c>
    </row>
    <row r="1713" spans="28:28" x14ac:dyDescent="0.2">
      <c r="AB1713" s="660" t="str">
        <f>IFERROR(VALUE(RIGHT(AA1713,LEN(AA1713)-MIN(FIND({0;1;2;3;4;5;6;7;8;9},AA1713&amp;"0123456789"))+1)),"")</f>
        <v/>
      </c>
    </row>
    <row r="1714" spans="28:28" x14ac:dyDescent="0.2">
      <c r="AB1714" s="660" t="str">
        <f>IFERROR(VALUE(RIGHT(AA1714,LEN(AA1714)-MIN(FIND({0;1;2;3;4;5;6;7;8;9},AA1714&amp;"0123456789"))+1)),"")</f>
        <v/>
      </c>
    </row>
    <row r="1715" spans="28:28" x14ac:dyDescent="0.2">
      <c r="AB1715" s="660" t="str">
        <f>IFERROR(VALUE(RIGHT(AA1715,LEN(AA1715)-MIN(FIND({0;1;2;3;4;5;6;7;8;9},AA1715&amp;"0123456789"))+1)),"")</f>
        <v/>
      </c>
    </row>
    <row r="1716" spans="28:28" x14ac:dyDescent="0.2">
      <c r="AB1716" s="660" t="str">
        <f>IFERROR(VALUE(RIGHT(AA1716,LEN(AA1716)-MIN(FIND({0;1;2;3;4;5;6;7;8;9},AA1716&amp;"0123456789"))+1)),"")</f>
        <v/>
      </c>
    </row>
    <row r="1717" spans="28:28" x14ac:dyDescent="0.2">
      <c r="AB1717" s="660" t="str">
        <f>IFERROR(VALUE(RIGHT(AA1717,LEN(AA1717)-MIN(FIND({0;1;2;3;4;5;6;7;8;9},AA1717&amp;"0123456789"))+1)),"")</f>
        <v/>
      </c>
    </row>
    <row r="1718" spans="28:28" x14ac:dyDescent="0.2">
      <c r="AB1718" s="660" t="str">
        <f>IFERROR(VALUE(RIGHT(AA1718,LEN(AA1718)-MIN(FIND({0;1;2;3;4;5;6;7;8;9},AA1718&amp;"0123456789"))+1)),"")</f>
        <v/>
      </c>
    </row>
    <row r="1719" spans="28:28" x14ac:dyDescent="0.2">
      <c r="AB1719" s="660" t="str">
        <f>IFERROR(VALUE(RIGHT(AA1719,LEN(AA1719)-MIN(FIND({0;1;2;3;4;5;6;7;8;9},AA1719&amp;"0123456789"))+1)),"")</f>
        <v/>
      </c>
    </row>
    <row r="1720" spans="28:28" x14ac:dyDescent="0.2">
      <c r="AB1720" s="660" t="str">
        <f>IFERROR(VALUE(RIGHT(AA1720,LEN(AA1720)-MIN(FIND({0;1;2;3;4;5;6;7;8;9},AA1720&amp;"0123456789"))+1)),"")</f>
        <v/>
      </c>
    </row>
    <row r="1721" spans="28:28" x14ac:dyDescent="0.2">
      <c r="AB1721" s="660" t="str">
        <f>IFERROR(VALUE(RIGHT(AA1721,LEN(AA1721)-MIN(FIND({0;1;2;3;4;5;6;7;8;9},AA1721&amp;"0123456789"))+1)),"")</f>
        <v/>
      </c>
    </row>
    <row r="1722" spans="28:28" x14ac:dyDescent="0.2">
      <c r="AB1722" s="660" t="str">
        <f>IFERROR(VALUE(RIGHT(AA1722,LEN(AA1722)-MIN(FIND({0;1;2;3;4;5;6;7;8;9},AA1722&amp;"0123456789"))+1)),"")</f>
        <v/>
      </c>
    </row>
    <row r="1723" spans="28:28" x14ac:dyDescent="0.2">
      <c r="AB1723" s="660" t="str">
        <f>IFERROR(VALUE(RIGHT(AA1723,LEN(AA1723)-MIN(FIND({0;1;2;3;4;5;6;7;8;9},AA1723&amp;"0123456789"))+1)),"")</f>
        <v/>
      </c>
    </row>
    <row r="1724" spans="28:28" x14ac:dyDescent="0.2">
      <c r="AB1724" s="660" t="str">
        <f>IFERROR(VALUE(RIGHT(AA1724,LEN(AA1724)-MIN(FIND({0;1;2;3;4;5;6;7;8;9},AA1724&amp;"0123456789"))+1)),"")</f>
        <v/>
      </c>
    </row>
    <row r="1725" spans="28:28" x14ac:dyDescent="0.2">
      <c r="AB1725" s="660" t="str">
        <f>IFERROR(VALUE(RIGHT(AA1725,LEN(AA1725)-MIN(FIND({0;1;2;3;4;5;6;7;8;9},AA1725&amp;"0123456789"))+1)),"")</f>
        <v/>
      </c>
    </row>
    <row r="1726" spans="28:28" x14ac:dyDescent="0.2">
      <c r="AB1726" s="660" t="str">
        <f>IFERROR(VALUE(RIGHT(AA1726,LEN(AA1726)-MIN(FIND({0;1;2;3;4;5;6;7;8;9},AA1726&amp;"0123456789"))+1)),"")</f>
        <v/>
      </c>
    </row>
    <row r="1727" spans="28:28" x14ac:dyDescent="0.2">
      <c r="AB1727" s="660" t="str">
        <f>IFERROR(VALUE(RIGHT(AA1727,LEN(AA1727)-MIN(FIND({0;1;2;3;4;5;6;7;8;9},AA1727&amp;"0123456789"))+1)),"")</f>
        <v/>
      </c>
    </row>
    <row r="1728" spans="28:28" x14ac:dyDescent="0.2">
      <c r="AB1728" s="660" t="str">
        <f>IFERROR(VALUE(RIGHT(AA1728,LEN(AA1728)-MIN(FIND({0;1;2;3;4;5;6;7;8;9},AA1728&amp;"0123456789"))+1)),"")</f>
        <v/>
      </c>
    </row>
    <row r="1729" spans="28:28" x14ac:dyDescent="0.2">
      <c r="AB1729" s="660" t="str">
        <f>IFERROR(VALUE(RIGHT(AA1729,LEN(AA1729)-MIN(FIND({0;1;2;3;4;5;6;7;8;9},AA1729&amp;"0123456789"))+1)),"")</f>
        <v/>
      </c>
    </row>
    <row r="1730" spans="28:28" x14ac:dyDescent="0.2">
      <c r="AB1730" s="660" t="str">
        <f>IFERROR(VALUE(RIGHT(AA1730,LEN(AA1730)-MIN(FIND({0;1;2;3;4;5;6;7;8;9},AA1730&amp;"0123456789"))+1)),"")</f>
        <v/>
      </c>
    </row>
    <row r="1731" spans="28:28" x14ac:dyDescent="0.2">
      <c r="AB1731" s="660" t="str">
        <f>IFERROR(VALUE(RIGHT(AA1731,LEN(AA1731)-MIN(FIND({0;1;2;3;4;5;6;7;8;9},AA1731&amp;"0123456789"))+1)),"")</f>
        <v/>
      </c>
    </row>
    <row r="1732" spans="28:28" x14ac:dyDescent="0.2">
      <c r="AB1732" s="660" t="str">
        <f>IFERROR(VALUE(RIGHT(AA1732,LEN(AA1732)-MIN(FIND({0;1;2;3;4;5;6;7;8;9},AA1732&amp;"0123456789"))+1)),"")</f>
        <v/>
      </c>
    </row>
    <row r="1733" spans="28:28" x14ac:dyDescent="0.2">
      <c r="AB1733" s="660" t="str">
        <f>IFERROR(VALUE(RIGHT(AA1733,LEN(AA1733)-MIN(FIND({0;1;2;3;4;5;6;7;8;9},AA1733&amp;"0123456789"))+1)),"")</f>
        <v/>
      </c>
    </row>
    <row r="1734" spans="28:28" x14ac:dyDescent="0.2">
      <c r="AB1734" s="660" t="str">
        <f>IFERROR(VALUE(RIGHT(AA1734,LEN(AA1734)-MIN(FIND({0;1;2;3;4;5;6;7;8;9},AA1734&amp;"0123456789"))+1)),"")</f>
        <v/>
      </c>
    </row>
    <row r="1735" spans="28:28" x14ac:dyDescent="0.2">
      <c r="AB1735" s="660" t="str">
        <f>IFERROR(VALUE(RIGHT(AA1735,LEN(AA1735)-MIN(FIND({0;1;2;3;4;5;6;7;8;9},AA1735&amp;"0123456789"))+1)),"")</f>
        <v/>
      </c>
    </row>
    <row r="1736" spans="28:28" x14ac:dyDescent="0.2">
      <c r="AB1736" s="660" t="str">
        <f>IFERROR(VALUE(RIGHT(AA1736,LEN(AA1736)-MIN(FIND({0;1;2;3;4;5;6;7;8;9},AA1736&amp;"0123456789"))+1)),"")</f>
        <v/>
      </c>
    </row>
    <row r="1737" spans="28:28" x14ac:dyDescent="0.2">
      <c r="AB1737" s="660" t="str">
        <f>IFERROR(VALUE(RIGHT(AA1737,LEN(AA1737)-MIN(FIND({0;1;2;3;4;5;6;7;8;9},AA1737&amp;"0123456789"))+1)),"")</f>
        <v/>
      </c>
    </row>
    <row r="1738" spans="28:28" x14ac:dyDescent="0.2">
      <c r="AB1738" s="660" t="str">
        <f>IFERROR(VALUE(RIGHT(AA1738,LEN(AA1738)-MIN(FIND({0;1;2;3;4;5;6;7;8;9},AA1738&amp;"0123456789"))+1)),"")</f>
        <v/>
      </c>
    </row>
    <row r="1739" spans="28:28" x14ac:dyDescent="0.2">
      <c r="AB1739" s="660" t="str">
        <f>IFERROR(VALUE(RIGHT(AA1739,LEN(AA1739)-MIN(FIND({0;1;2;3;4;5;6;7;8;9},AA1739&amp;"0123456789"))+1)),"")</f>
        <v/>
      </c>
    </row>
    <row r="1740" spans="28:28" x14ac:dyDescent="0.2">
      <c r="AB1740" s="660" t="str">
        <f>IFERROR(VALUE(RIGHT(AA1740,LEN(AA1740)-MIN(FIND({0;1;2;3;4;5;6;7;8;9},AA1740&amp;"0123456789"))+1)),"")</f>
        <v/>
      </c>
    </row>
    <row r="1741" spans="28:28" x14ac:dyDescent="0.2">
      <c r="AB1741" s="660" t="str">
        <f>IFERROR(VALUE(RIGHT(AA1741,LEN(AA1741)-MIN(FIND({0;1;2;3;4;5;6;7;8;9},AA1741&amp;"0123456789"))+1)),"")</f>
        <v/>
      </c>
    </row>
    <row r="1742" spans="28:28" x14ac:dyDescent="0.2">
      <c r="AB1742" s="660" t="str">
        <f>IFERROR(VALUE(RIGHT(AA1742,LEN(AA1742)-MIN(FIND({0;1;2;3;4;5;6;7;8;9},AA1742&amp;"0123456789"))+1)),"")</f>
        <v/>
      </c>
    </row>
    <row r="1743" spans="28:28" x14ac:dyDescent="0.2">
      <c r="AB1743" s="660" t="str">
        <f>IFERROR(VALUE(RIGHT(AA1743,LEN(AA1743)-MIN(FIND({0;1;2;3;4;5;6;7;8;9},AA1743&amp;"0123456789"))+1)),"")</f>
        <v/>
      </c>
    </row>
    <row r="1744" spans="28:28" x14ac:dyDescent="0.2">
      <c r="AB1744" s="660" t="str">
        <f>IFERROR(VALUE(RIGHT(AA1744,LEN(AA1744)-MIN(FIND({0;1;2;3;4;5;6;7;8;9},AA1744&amp;"0123456789"))+1)),"")</f>
        <v/>
      </c>
    </row>
    <row r="1745" spans="28:28" x14ac:dyDescent="0.2">
      <c r="AB1745" s="660" t="str">
        <f>IFERROR(VALUE(RIGHT(AA1745,LEN(AA1745)-MIN(FIND({0;1;2;3;4;5;6;7;8;9},AA1745&amp;"0123456789"))+1)),"")</f>
        <v/>
      </c>
    </row>
    <row r="1746" spans="28:28" x14ac:dyDescent="0.2">
      <c r="AB1746" s="660" t="str">
        <f>IFERROR(VALUE(RIGHT(AA1746,LEN(AA1746)-MIN(FIND({0;1;2;3;4;5;6;7;8;9},AA1746&amp;"0123456789"))+1)),"")</f>
        <v/>
      </c>
    </row>
    <row r="1747" spans="28:28" x14ac:dyDescent="0.2">
      <c r="AB1747" s="660" t="str">
        <f>IFERROR(VALUE(RIGHT(AA1747,LEN(AA1747)-MIN(FIND({0;1;2;3;4;5;6;7;8;9},AA1747&amp;"0123456789"))+1)),"")</f>
        <v/>
      </c>
    </row>
    <row r="1748" spans="28:28" x14ac:dyDescent="0.2">
      <c r="AB1748" s="660" t="str">
        <f>IFERROR(VALUE(RIGHT(AA1748,LEN(AA1748)-MIN(FIND({0;1;2;3;4;5;6;7;8;9},AA1748&amp;"0123456789"))+1)),"")</f>
        <v/>
      </c>
    </row>
    <row r="1749" spans="28:28" x14ac:dyDescent="0.2">
      <c r="AB1749" s="660" t="str">
        <f>IFERROR(VALUE(RIGHT(AA1749,LEN(AA1749)-MIN(FIND({0;1;2;3;4;5;6;7;8;9},AA1749&amp;"0123456789"))+1)),"")</f>
        <v/>
      </c>
    </row>
    <row r="1750" spans="28:28" x14ac:dyDescent="0.2">
      <c r="AB1750" s="660" t="str">
        <f>IFERROR(VALUE(RIGHT(AA1750,LEN(AA1750)-MIN(FIND({0;1;2;3;4;5;6;7;8;9},AA1750&amp;"0123456789"))+1)),"")</f>
        <v/>
      </c>
    </row>
    <row r="1751" spans="28:28" x14ac:dyDescent="0.2">
      <c r="AB1751" s="660" t="str">
        <f>IFERROR(VALUE(RIGHT(AA1751,LEN(AA1751)-MIN(FIND({0;1;2;3;4;5;6;7;8;9},AA1751&amp;"0123456789"))+1)),"")</f>
        <v/>
      </c>
    </row>
    <row r="1752" spans="28:28" x14ac:dyDescent="0.2">
      <c r="AB1752" s="660" t="str">
        <f>IFERROR(VALUE(RIGHT(AA1752,LEN(AA1752)-MIN(FIND({0;1;2;3;4;5;6;7;8;9},AA1752&amp;"0123456789"))+1)),"")</f>
        <v/>
      </c>
    </row>
    <row r="1753" spans="28:28" x14ac:dyDescent="0.2">
      <c r="AB1753" s="660" t="str">
        <f>IFERROR(VALUE(RIGHT(AA1753,LEN(AA1753)-MIN(FIND({0;1;2;3;4;5;6;7;8;9},AA1753&amp;"0123456789"))+1)),"")</f>
        <v/>
      </c>
    </row>
    <row r="1754" spans="28:28" x14ac:dyDescent="0.2">
      <c r="AB1754" s="660" t="str">
        <f>IFERROR(VALUE(RIGHT(AA1754,LEN(AA1754)-MIN(FIND({0;1;2;3;4;5;6;7;8;9},AA1754&amp;"0123456789"))+1)),"")</f>
        <v/>
      </c>
    </row>
    <row r="1755" spans="28:28" x14ac:dyDescent="0.2">
      <c r="AB1755" s="660" t="str">
        <f>IFERROR(VALUE(RIGHT(AA1755,LEN(AA1755)-MIN(FIND({0;1;2;3;4;5;6;7;8;9},AA1755&amp;"0123456789"))+1)),"")</f>
        <v/>
      </c>
    </row>
    <row r="1756" spans="28:28" x14ac:dyDescent="0.2">
      <c r="AB1756" s="660" t="str">
        <f>IFERROR(VALUE(RIGHT(AA1756,LEN(AA1756)-MIN(FIND({0;1;2;3;4;5;6;7;8;9},AA1756&amp;"0123456789"))+1)),"")</f>
        <v/>
      </c>
    </row>
    <row r="1757" spans="28:28" x14ac:dyDescent="0.2">
      <c r="AB1757" s="660" t="str">
        <f>IFERROR(VALUE(RIGHT(AA1757,LEN(AA1757)-MIN(FIND({0;1;2;3;4;5;6;7;8;9},AA1757&amp;"0123456789"))+1)),"")</f>
        <v/>
      </c>
    </row>
    <row r="1758" spans="28:28" x14ac:dyDescent="0.2">
      <c r="AB1758" s="660" t="str">
        <f>IFERROR(VALUE(RIGHT(AA1758,LEN(AA1758)-MIN(FIND({0;1;2;3;4;5;6;7;8;9},AA1758&amp;"0123456789"))+1)),"")</f>
        <v/>
      </c>
    </row>
    <row r="1759" spans="28:28" x14ac:dyDescent="0.2">
      <c r="AB1759" s="660" t="str">
        <f>IFERROR(VALUE(RIGHT(AA1759,LEN(AA1759)-MIN(FIND({0;1;2;3;4;5;6;7;8;9},AA1759&amp;"0123456789"))+1)),"")</f>
        <v/>
      </c>
    </row>
    <row r="1760" spans="28:28" x14ac:dyDescent="0.2">
      <c r="AB1760" s="660" t="str">
        <f>IFERROR(VALUE(RIGHT(AA1760,LEN(AA1760)-MIN(FIND({0;1;2;3;4;5;6;7;8;9},AA1760&amp;"0123456789"))+1)),"")</f>
        <v/>
      </c>
    </row>
    <row r="1761" spans="28:28" x14ac:dyDescent="0.2">
      <c r="AB1761" s="660" t="str">
        <f>IFERROR(VALUE(RIGHT(AA1761,LEN(AA1761)-MIN(FIND({0;1;2;3;4;5;6;7;8;9},AA1761&amp;"0123456789"))+1)),"")</f>
        <v/>
      </c>
    </row>
    <row r="1762" spans="28:28" x14ac:dyDescent="0.2">
      <c r="AB1762" s="660" t="str">
        <f>IFERROR(VALUE(RIGHT(AA1762,LEN(AA1762)-MIN(FIND({0;1;2;3;4;5;6;7;8;9},AA1762&amp;"0123456789"))+1)),"")</f>
        <v/>
      </c>
    </row>
    <row r="1763" spans="28:28" x14ac:dyDescent="0.2">
      <c r="AB1763" s="660" t="str">
        <f>IFERROR(VALUE(RIGHT(AA1763,LEN(AA1763)-MIN(FIND({0;1;2;3;4;5;6;7;8;9},AA1763&amp;"0123456789"))+1)),"")</f>
        <v/>
      </c>
    </row>
    <row r="1764" spans="28:28" x14ac:dyDescent="0.2">
      <c r="AB1764" s="660" t="str">
        <f>IFERROR(VALUE(RIGHT(AA1764,LEN(AA1764)-MIN(FIND({0;1;2;3;4;5;6;7;8;9},AA1764&amp;"0123456789"))+1)),"")</f>
        <v/>
      </c>
    </row>
    <row r="1765" spans="28:28" x14ac:dyDescent="0.2">
      <c r="AB1765" s="660" t="str">
        <f>IFERROR(VALUE(RIGHT(AA1765,LEN(AA1765)-MIN(FIND({0;1;2;3;4;5;6;7;8;9},AA1765&amp;"0123456789"))+1)),"")</f>
        <v/>
      </c>
    </row>
    <row r="1766" spans="28:28" x14ac:dyDescent="0.2">
      <c r="AB1766" s="660" t="str">
        <f>IFERROR(VALUE(RIGHT(AA1766,LEN(AA1766)-MIN(FIND({0;1;2;3;4;5;6;7;8;9},AA1766&amp;"0123456789"))+1)),"")</f>
        <v/>
      </c>
    </row>
    <row r="1767" spans="28:28" x14ac:dyDescent="0.2">
      <c r="AB1767" s="660" t="str">
        <f>IFERROR(VALUE(RIGHT(AA1767,LEN(AA1767)-MIN(FIND({0;1;2;3;4;5;6;7;8;9},AA1767&amp;"0123456789"))+1)),"")</f>
        <v/>
      </c>
    </row>
    <row r="1768" spans="28:28" x14ac:dyDescent="0.2">
      <c r="AB1768" s="660" t="str">
        <f>IFERROR(VALUE(RIGHT(AA1768,LEN(AA1768)-MIN(FIND({0;1;2;3;4;5;6;7;8;9},AA1768&amp;"0123456789"))+1)),"")</f>
        <v/>
      </c>
    </row>
    <row r="1769" spans="28:28" x14ac:dyDescent="0.2">
      <c r="AB1769" s="660" t="str">
        <f>IFERROR(VALUE(RIGHT(AA1769,LEN(AA1769)-MIN(FIND({0;1;2;3;4;5;6;7;8;9},AA1769&amp;"0123456789"))+1)),"")</f>
        <v/>
      </c>
    </row>
    <row r="1770" spans="28:28" x14ac:dyDescent="0.2">
      <c r="AB1770" s="660" t="str">
        <f>IFERROR(VALUE(RIGHT(AA1770,LEN(AA1770)-MIN(FIND({0;1;2;3;4;5;6;7;8;9},AA1770&amp;"0123456789"))+1)),"")</f>
        <v/>
      </c>
    </row>
    <row r="1771" spans="28:28" x14ac:dyDescent="0.2">
      <c r="AB1771" s="660" t="str">
        <f>IFERROR(VALUE(RIGHT(AA1771,LEN(AA1771)-MIN(FIND({0;1;2;3;4;5;6;7;8;9},AA1771&amp;"0123456789"))+1)),"")</f>
        <v/>
      </c>
    </row>
    <row r="1772" spans="28:28" x14ac:dyDescent="0.2">
      <c r="AB1772" s="660" t="str">
        <f>IFERROR(VALUE(RIGHT(AA1772,LEN(AA1772)-MIN(FIND({0;1;2;3;4;5;6;7;8;9},AA1772&amp;"0123456789"))+1)),"")</f>
        <v/>
      </c>
    </row>
    <row r="1773" spans="28:28" x14ac:dyDescent="0.2">
      <c r="AB1773" s="660" t="str">
        <f>IFERROR(VALUE(RIGHT(AA1773,LEN(AA1773)-MIN(FIND({0;1;2;3;4;5;6;7;8;9},AA1773&amp;"0123456789"))+1)),"")</f>
        <v/>
      </c>
    </row>
    <row r="1774" spans="28:28" x14ac:dyDescent="0.2">
      <c r="AB1774" s="660" t="str">
        <f>IFERROR(VALUE(RIGHT(AA1774,LEN(AA1774)-MIN(FIND({0;1;2;3;4;5;6;7;8;9},AA1774&amp;"0123456789"))+1)),"")</f>
        <v/>
      </c>
    </row>
    <row r="1775" spans="28:28" x14ac:dyDescent="0.2">
      <c r="AB1775" s="660" t="str">
        <f>IFERROR(VALUE(RIGHT(AA1775,LEN(AA1775)-MIN(FIND({0;1;2;3;4;5;6;7;8;9},AA1775&amp;"0123456789"))+1)),"")</f>
        <v/>
      </c>
    </row>
    <row r="1776" spans="28:28" x14ac:dyDescent="0.2">
      <c r="AB1776" s="660" t="str">
        <f>IFERROR(VALUE(RIGHT(AA1776,LEN(AA1776)-MIN(FIND({0;1;2;3;4;5;6;7;8;9},AA1776&amp;"0123456789"))+1)),"")</f>
        <v/>
      </c>
    </row>
    <row r="1777" spans="28:28" x14ac:dyDescent="0.2">
      <c r="AB1777" s="660" t="str">
        <f>IFERROR(VALUE(RIGHT(AA1777,LEN(AA1777)-MIN(FIND({0;1;2;3;4;5;6;7;8;9},AA1777&amp;"0123456789"))+1)),"")</f>
        <v/>
      </c>
    </row>
    <row r="1778" spans="28:28" x14ac:dyDescent="0.2">
      <c r="AB1778" s="660" t="str">
        <f>IFERROR(VALUE(RIGHT(AA1778,LEN(AA1778)-MIN(FIND({0;1;2;3;4;5;6;7;8;9},AA1778&amp;"0123456789"))+1)),"")</f>
        <v/>
      </c>
    </row>
    <row r="1779" spans="28:28" x14ac:dyDescent="0.2">
      <c r="AB1779" s="660" t="str">
        <f>IFERROR(VALUE(RIGHT(AA1779,LEN(AA1779)-MIN(FIND({0;1;2;3;4;5;6;7;8;9},AA1779&amp;"0123456789"))+1)),"")</f>
        <v/>
      </c>
    </row>
    <row r="1780" spans="28:28" x14ac:dyDescent="0.2">
      <c r="AB1780" s="660" t="str">
        <f>IFERROR(VALUE(RIGHT(AA1780,LEN(AA1780)-MIN(FIND({0;1;2;3;4;5;6;7;8;9},AA1780&amp;"0123456789"))+1)),"")</f>
        <v/>
      </c>
    </row>
    <row r="1781" spans="28:28" x14ac:dyDescent="0.2">
      <c r="AB1781" s="660" t="str">
        <f>IFERROR(VALUE(RIGHT(AA1781,LEN(AA1781)-MIN(FIND({0;1;2;3;4;5;6;7;8;9},AA1781&amp;"0123456789"))+1)),"")</f>
        <v/>
      </c>
    </row>
    <row r="1782" spans="28:28" x14ac:dyDescent="0.2">
      <c r="AB1782" s="660" t="str">
        <f>IFERROR(VALUE(RIGHT(AA1782,LEN(AA1782)-MIN(FIND({0;1;2;3;4;5;6;7;8;9},AA1782&amp;"0123456789"))+1)),"")</f>
        <v/>
      </c>
    </row>
    <row r="1783" spans="28:28" x14ac:dyDescent="0.2">
      <c r="AB1783" s="660" t="str">
        <f>IFERROR(VALUE(RIGHT(AA1783,LEN(AA1783)-MIN(FIND({0;1;2;3;4;5;6;7;8;9},AA1783&amp;"0123456789"))+1)),"")</f>
        <v/>
      </c>
    </row>
    <row r="1784" spans="28:28" x14ac:dyDescent="0.2">
      <c r="AB1784" s="660" t="str">
        <f>IFERROR(VALUE(RIGHT(AA1784,LEN(AA1784)-MIN(FIND({0;1;2;3;4;5;6;7;8;9},AA1784&amp;"0123456789"))+1)),"")</f>
        <v/>
      </c>
    </row>
    <row r="1785" spans="28:28" x14ac:dyDescent="0.2">
      <c r="AB1785" s="660" t="str">
        <f>IFERROR(VALUE(RIGHT(AA1785,LEN(AA1785)-MIN(FIND({0;1;2;3;4;5;6;7;8;9},AA1785&amp;"0123456789"))+1)),"")</f>
        <v/>
      </c>
    </row>
    <row r="1786" spans="28:28" x14ac:dyDescent="0.2">
      <c r="AB1786" s="660" t="str">
        <f>IFERROR(VALUE(RIGHT(AA1786,LEN(AA1786)-MIN(FIND({0;1;2;3;4;5;6;7;8;9},AA1786&amp;"0123456789"))+1)),"")</f>
        <v/>
      </c>
    </row>
    <row r="1787" spans="28:28" x14ac:dyDescent="0.2">
      <c r="AB1787" s="660" t="str">
        <f>IFERROR(VALUE(RIGHT(AA1787,LEN(AA1787)-MIN(FIND({0;1;2;3;4;5;6;7;8;9},AA1787&amp;"0123456789"))+1)),"")</f>
        <v/>
      </c>
    </row>
    <row r="1788" spans="28:28" x14ac:dyDescent="0.2">
      <c r="AB1788" s="660" t="str">
        <f>IFERROR(VALUE(RIGHT(AA1788,LEN(AA1788)-MIN(FIND({0;1;2;3;4;5;6;7;8;9},AA1788&amp;"0123456789"))+1)),"")</f>
        <v/>
      </c>
    </row>
    <row r="1789" spans="28:28" x14ac:dyDescent="0.2">
      <c r="AB1789" s="660" t="str">
        <f>IFERROR(VALUE(RIGHT(AA1789,LEN(AA1789)-MIN(FIND({0;1;2;3;4;5;6;7;8;9},AA1789&amp;"0123456789"))+1)),"")</f>
        <v/>
      </c>
    </row>
    <row r="1790" spans="28:28" x14ac:dyDescent="0.2">
      <c r="AB1790" s="660" t="str">
        <f>IFERROR(VALUE(RIGHT(AA1790,LEN(AA1790)-MIN(FIND({0;1;2;3;4;5;6;7;8;9},AA1790&amp;"0123456789"))+1)),"")</f>
        <v/>
      </c>
    </row>
    <row r="1791" spans="28:28" x14ac:dyDescent="0.2">
      <c r="AB1791" s="660" t="str">
        <f>IFERROR(VALUE(RIGHT(AA1791,LEN(AA1791)-MIN(FIND({0;1;2;3;4;5;6;7;8;9},AA1791&amp;"0123456789"))+1)),"")</f>
        <v/>
      </c>
    </row>
    <row r="1792" spans="28:28" x14ac:dyDescent="0.2">
      <c r="AB1792" s="660" t="str">
        <f>IFERROR(VALUE(RIGHT(AA1792,LEN(AA1792)-MIN(FIND({0;1;2;3;4;5;6;7;8;9},AA1792&amp;"0123456789"))+1)),"")</f>
        <v/>
      </c>
    </row>
    <row r="1793" spans="28:28" x14ac:dyDescent="0.2">
      <c r="AB1793" s="660" t="str">
        <f>IFERROR(VALUE(RIGHT(AA1793,LEN(AA1793)-MIN(FIND({0;1;2;3;4;5;6;7;8;9},AA1793&amp;"0123456789"))+1)),"")</f>
        <v/>
      </c>
    </row>
    <row r="1794" spans="28:28" x14ac:dyDescent="0.2">
      <c r="AB1794" s="660" t="str">
        <f>IFERROR(VALUE(RIGHT(AA1794,LEN(AA1794)-MIN(FIND({0;1;2;3;4;5;6;7;8;9},AA1794&amp;"0123456789"))+1)),"")</f>
        <v/>
      </c>
    </row>
    <row r="1795" spans="28:28" x14ac:dyDescent="0.2">
      <c r="AB1795" s="660" t="str">
        <f>IFERROR(VALUE(RIGHT(AA1795,LEN(AA1795)-MIN(FIND({0;1;2;3;4;5;6;7;8;9},AA1795&amp;"0123456789"))+1)),"")</f>
        <v/>
      </c>
    </row>
    <row r="1796" spans="28:28" x14ac:dyDescent="0.2">
      <c r="AB1796" s="660" t="str">
        <f>IFERROR(VALUE(RIGHT(AA1796,LEN(AA1796)-MIN(FIND({0;1;2;3;4;5;6;7;8;9},AA1796&amp;"0123456789"))+1)),"")</f>
        <v/>
      </c>
    </row>
    <row r="1797" spans="28:28" x14ac:dyDescent="0.2">
      <c r="AB1797" s="660" t="str">
        <f>IFERROR(VALUE(RIGHT(AA1797,LEN(AA1797)-MIN(FIND({0;1;2;3;4;5;6;7;8;9},AA1797&amp;"0123456789"))+1)),"")</f>
        <v/>
      </c>
    </row>
    <row r="1798" spans="28:28" x14ac:dyDescent="0.2">
      <c r="AB1798" s="660" t="str">
        <f>IFERROR(VALUE(RIGHT(AA1798,LEN(AA1798)-MIN(FIND({0;1;2;3;4;5;6;7;8;9},AA1798&amp;"0123456789"))+1)),"")</f>
        <v/>
      </c>
    </row>
    <row r="1799" spans="28:28" x14ac:dyDescent="0.2">
      <c r="AB1799" s="660" t="str">
        <f>IFERROR(VALUE(RIGHT(AA1799,LEN(AA1799)-MIN(FIND({0;1;2;3;4;5;6;7;8;9},AA1799&amp;"0123456789"))+1)),"")</f>
        <v/>
      </c>
    </row>
    <row r="1800" spans="28:28" x14ac:dyDescent="0.2">
      <c r="AB1800" s="660" t="str">
        <f>IFERROR(VALUE(RIGHT(AA1800,LEN(AA1800)-MIN(FIND({0;1;2;3;4;5;6;7;8;9},AA1800&amp;"0123456789"))+1)),"")</f>
        <v/>
      </c>
    </row>
    <row r="1801" spans="28:28" x14ac:dyDescent="0.2">
      <c r="AB1801" s="660" t="str">
        <f>IFERROR(VALUE(RIGHT(AA1801,LEN(AA1801)-MIN(FIND({0;1;2;3;4;5;6;7;8;9},AA1801&amp;"0123456789"))+1)),"")</f>
        <v/>
      </c>
    </row>
    <row r="1802" spans="28:28" x14ac:dyDescent="0.2">
      <c r="AB1802" s="660" t="str">
        <f>IFERROR(VALUE(RIGHT(AA1802,LEN(AA1802)-MIN(FIND({0;1;2;3;4;5;6;7;8;9},AA1802&amp;"0123456789"))+1)),"")</f>
        <v/>
      </c>
    </row>
    <row r="1803" spans="28:28" x14ac:dyDescent="0.2">
      <c r="AB1803" s="660" t="str">
        <f>IFERROR(VALUE(RIGHT(AA1803,LEN(AA1803)-MIN(FIND({0;1;2;3;4;5;6;7;8;9},AA1803&amp;"0123456789"))+1)),"")</f>
        <v/>
      </c>
    </row>
    <row r="1804" spans="28:28" x14ac:dyDescent="0.2">
      <c r="AB1804" s="660" t="str">
        <f>IFERROR(VALUE(RIGHT(AA1804,LEN(AA1804)-MIN(FIND({0;1;2;3;4;5;6;7;8;9},AA1804&amp;"0123456789"))+1)),"")</f>
        <v/>
      </c>
    </row>
    <row r="1805" spans="28:28" x14ac:dyDescent="0.2">
      <c r="AB1805" s="660" t="str">
        <f>IFERROR(VALUE(RIGHT(AA1805,LEN(AA1805)-MIN(FIND({0;1;2;3;4;5;6;7;8;9},AA1805&amp;"0123456789"))+1)),"")</f>
        <v/>
      </c>
    </row>
    <row r="1806" spans="28:28" x14ac:dyDescent="0.2">
      <c r="AB1806" s="660" t="str">
        <f>IFERROR(VALUE(RIGHT(AA1806,LEN(AA1806)-MIN(FIND({0;1;2;3;4;5;6;7;8;9},AA1806&amp;"0123456789"))+1)),"")</f>
        <v/>
      </c>
    </row>
    <row r="1807" spans="28:28" x14ac:dyDescent="0.2">
      <c r="AB1807" s="660" t="str">
        <f>IFERROR(VALUE(RIGHT(AA1807,LEN(AA1807)-MIN(FIND({0;1;2;3;4;5;6;7;8;9},AA1807&amp;"0123456789"))+1)),"")</f>
        <v/>
      </c>
    </row>
    <row r="1808" spans="28:28" x14ac:dyDescent="0.2">
      <c r="AB1808" s="660" t="str">
        <f>IFERROR(VALUE(RIGHT(AA1808,LEN(AA1808)-MIN(FIND({0;1;2;3;4;5;6;7;8;9},AA1808&amp;"0123456789"))+1)),"")</f>
        <v/>
      </c>
    </row>
    <row r="1809" spans="28:28" x14ac:dyDescent="0.2">
      <c r="AB1809" s="660" t="str">
        <f>IFERROR(VALUE(RIGHT(AA1809,LEN(AA1809)-MIN(FIND({0;1;2;3;4;5;6;7;8;9},AA1809&amp;"0123456789"))+1)),"")</f>
        <v/>
      </c>
    </row>
    <row r="1810" spans="28:28" x14ac:dyDescent="0.2">
      <c r="AB1810" s="660" t="str">
        <f>IFERROR(VALUE(RIGHT(AA1810,LEN(AA1810)-MIN(FIND({0;1;2;3;4;5;6;7;8;9},AA1810&amp;"0123456789"))+1)),"")</f>
        <v/>
      </c>
    </row>
    <row r="1811" spans="28:28" x14ac:dyDescent="0.2">
      <c r="AB1811" s="660" t="str">
        <f>IFERROR(VALUE(RIGHT(AA1811,LEN(AA1811)-MIN(FIND({0;1;2;3;4;5;6;7;8;9},AA1811&amp;"0123456789"))+1)),"")</f>
        <v/>
      </c>
    </row>
    <row r="1812" spans="28:28" x14ac:dyDescent="0.2">
      <c r="AB1812" s="660" t="str">
        <f>IFERROR(VALUE(RIGHT(AA1812,LEN(AA1812)-MIN(FIND({0;1;2;3;4;5;6;7;8;9},AA1812&amp;"0123456789"))+1)),"")</f>
        <v/>
      </c>
    </row>
    <row r="1813" spans="28:28" x14ac:dyDescent="0.2">
      <c r="AB1813" s="660" t="str">
        <f>IFERROR(VALUE(RIGHT(AA1813,LEN(AA1813)-MIN(FIND({0;1;2;3;4;5;6;7;8;9},AA1813&amp;"0123456789"))+1)),"")</f>
        <v/>
      </c>
    </row>
    <row r="1814" spans="28:28" x14ac:dyDescent="0.2">
      <c r="AB1814" s="660" t="str">
        <f>IFERROR(VALUE(RIGHT(AA1814,LEN(AA1814)-MIN(FIND({0;1;2;3;4;5;6;7;8;9},AA1814&amp;"0123456789"))+1)),"")</f>
        <v/>
      </c>
    </row>
    <row r="1815" spans="28:28" x14ac:dyDescent="0.2">
      <c r="AB1815" s="660" t="str">
        <f>IFERROR(VALUE(RIGHT(AA1815,LEN(AA1815)-MIN(FIND({0;1;2;3;4;5;6;7;8;9},AA1815&amp;"0123456789"))+1)),"")</f>
        <v/>
      </c>
    </row>
    <row r="1816" spans="28:28" x14ac:dyDescent="0.2">
      <c r="AB1816" s="660" t="str">
        <f>IFERROR(VALUE(RIGHT(AA1816,LEN(AA1816)-MIN(FIND({0;1;2;3;4;5;6;7;8;9},AA1816&amp;"0123456789"))+1)),"")</f>
        <v/>
      </c>
    </row>
    <row r="1817" spans="28:28" x14ac:dyDescent="0.2">
      <c r="AB1817" s="660" t="str">
        <f>IFERROR(VALUE(RIGHT(AA1817,LEN(AA1817)-MIN(FIND({0;1;2;3;4;5;6;7;8;9},AA1817&amp;"0123456789"))+1)),"")</f>
        <v/>
      </c>
    </row>
    <row r="1818" spans="28:28" x14ac:dyDescent="0.2">
      <c r="AB1818" s="660" t="str">
        <f>IFERROR(VALUE(RIGHT(AA1818,LEN(AA1818)-MIN(FIND({0;1;2;3;4;5;6;7;8;9},AA1818&amp;"0123456789"))+1)),"")</f>
        <v/>
      </c>
    </row>
    <row r="1819" spans="28:28" x14ac:dyDescent="0.2">
      <c r="AB1819" s="660" t="str">
        <f>IFERROR(VALUE(RIGHT(AA1819,LEN(AA1819)-MIN(FIND({0;1;2;3;4;5;6;7;8;9},AA1819&amp;"0123456789"))+1)),"")</f>
        <v/>
      </c>
    </row>
    <row r="1820" spans="28:28" x14ac:dyDescent="0.2">
      <c r="AB1820" s="660" t="str">
        <f>IFERROR(VALUE(RIGHT(AA1820,LEN(AA1820)-MIN(FIND({0;1;2;3;4;5;6;7;8;9},AA1820&amp;"0123456789"))+1)),"")</f>
        <v/>
      </c>
    </row>
    <row r="1821" spans="28:28" x14ac:dyDescent="0.2">
      <c r="AB1821" s="660" t="str">
        <f>IFERROR(VALUE(RIGHT(AA1821,LEN(AA1821)-MIN(FIND({0;1;2;3;4;5;6;7;8;9},AA1821&amp;"0123456789"))+1)),"")</f>
        <v/>
      </c>
    </row>
    <row r="1822" spans="28:28" x14ac:dyDescent="0.2">
      <c r="AB1822" s="660" t="str">
        <f>IFERROR(VALUE(RIGHT(AA1822,LEN(AA1822)-MIN(FIND({0;1;2;3;4;5;6;7;8;9},AA1822&amp;"0123456789"))+1)),"")</f>
        <v/>
      </c>
    </row>
    <row r="1823" spans="28:28" x14ac:dyDescent="0.2">
      <c r="AB1823" s="660" t="str">
        <f>IFERROR(VALUE(RIGHT(AA1823,LEN(AA1823)-MIN(FIND({0;1;2;3;4;5;6;7;8;9},AA1823&amp;"0123456789"))+1)),"")</f>
        <v/>
      </c>
    </row>
    <row r="1824" spans="28:28" x14ac:dyDescent="0.2">
      <c r="AB1824" s="660" t="str">
        <f>IFERROR(VALUE(RIGHT(AA1824,LEN(AA1824)-MIN(FIND({0;1;2;3;4;5;6;7;8;9},AA1824&amp;"0123456789"))+1)),"")</f>
        <v/>
      </c>
    </row>
    <row r="1825" spans="28:28" x14ac:dyDescent="0.2">
      <c r="AB1825" s="660" t="str">
        <f>IFERROR(VALUE(RIGHT(AA1825,LEN(AA1825)-MIN(FIND({0;1;2;3;4;5;6;7;8;9},AA1825&amp;"0123456789"))+1)),"")</f>
        <v/>
      </c>
    </row>
    <row r="1826" spans="28:28" x14ac:dyDescent="0.2">
      <c r="AB1826" s="660" t="str">
        <f>IFERROR(VALUE(RIGHT(AA1826,LEN(AA1826)-MIN(FIND({0;1;2;3;4;5;6;7;8;9},AA1826&amp;"0123456789"))+1)),"")</f>
        <v/>
      </c>
    </row>
    <row r="1827" spans="28:28" x14ac:dyDescent="0.2">
      <c r="AB1827" s="660" t="str">
        <f>IFERROR(VALUE(RIGHT(AA1827,LEN(AA1827)-MIN(FIND({0;1;2;3;4;5;6;7;8;9},AA1827&amp;"0123456789"))+1)),"")</f>
        <v/>
      </c>
    </row>
    <row r="1828" spans="28:28" x14ac:dyDescent="0.2">
      <c r="AB1828" s="660" t="str">
        <f>IFERROR(VALUE(RIGHT(AA1828,LEN(AA1828)-MIN(FIND({0;1;2;3;4;5;6;7;8;9},AA1828&amp;"0123456789"))+1)),"")</f>
        <v/>
      </c>
    </row>
    <row r="1829" spans="28:28" x14ac:dyDescent="0.2">
      <c r="AB1829" s="660" t="str">
        <f>IFERROR(VALUE(RIGHT(AA1829,LEN(AA1829)-MIN(FIND({0;1;2;3;4;5;6;7;8;9},AA1829&amp;"0123456789"))+1)),"")</f>
        <v/>
      </c>
    </row>
    <row r="1830" spans="28:28" x14ac:dyDescent="0.2">
      <c r="AB1830" s="660" t="str">
        <f>IFERROR(VALUE(RIGHT(AA1830,LEN(AA1830)-MIN(FIND({0;1;2;3;4;5;6;7;8;9},AA1830&amp;"0123456789"))+1)),"")</f>
        <v/>
      </c>
    </row>
    <row r="1831" spans="28:28" x14ac:dyDescent="0.2">
      <c r="AB1831" s="660" t="str">
        <f>IFERROR(VALUE(RIGHT(AA1831,LEN(AA1831)-MIN(FIND({0;1;2;3;4;5;6;7;8;9},AA1831&amp;"0123456789"))+1)),"")</f>
        <v/>
      </c>
    </row>
    <row r="1832" spans="28:28" x14ac:dyDescent="0.2">
      <c r="AB1832" s="660" t="str">
        <f>IFERROR(VALUE(RIGHT(AA1832,LEN(AA1832)-MIN(FIND({0;1;2;3;4;5;6;7;8;9},AA1832&amp;"0123456789"))+1)),"")</f>
        <v/>
      </c>
    </row>
    <row r="1833" spans="28:28" x14ac:dyDescent="0.2">
      <c r="AB1833" s="660" t="str">
        <f>IFERROR(VALUE(RIGHT(AA1833,LEN(AA1833)-MIN(FIND({0;1;2;3;4;5;6;7;8;9},AA1833&amp;"0123456789"))+1)),"")</f>
        <v/>
      </c>
    </row>
    <row r="1834" spans="28:28" x14ac:dyDescent="0.2">
      <c r="AB1834" s="660" t="str">
        <f>IFERROR(VALUE(RIGHT(AA1834,LEN(AA1834)-MIN(FIND({0;1;2;3;4;5;6;7;8;9},AA1834&amp;"0123456789"))+1)),"")</f>
        <v/>
      </c>
    </row>
    <row r="1835" spans="28:28" x14ac:dyDescent="0.2">
      <c r="AB1835" s="660" t="str">
        <f>IFERROR(VALUE(RIGHT(AA1835,LEN(AA1835)-MIN(FIND({0;1;2;3;4;5;6;7;8;9},AA1835&amp;"0123456789"))+1)),"")</f>
        <v/>
      </c>
    </row>
    <row r="1836" spans="28:28" x14ac:dyDescent="0.2">
      <c r="AB1836" s="660" t="str">
        <f>IFERROR(VALUE(RIGHT(AA1836,LEN(AA1836)-MIN(FIND({0;1;2;3;4;5;6;7;8;9},AA1836&amp;"0123456789"))+1)),"")</f>
        <v/>
      </c>
    </row>
    <row r="1837" spans="28:28" x14ac:dyDescent="0.2">
      <c r="AB1837" s="660" t="str">
        <f>IFERROR(VALUE(RIGHT(AA1837,LEN(AA1837)-MIN(FIND({0;1;2;3;4;5;6;7;8;9},AA1837&amp;"0123456789"))+1)),"")</f>
        <v/>
      </c>
    </row>
    <row r="1838" spans="28:28" x14ac:dyDescent="0.2">
      <c r="AB1838" s="660" t="str">
        <f>IFERROR(VALUE(RIGHT(AA1838,LEN(AA1838)-MIN(FIND({0;1;2;3;4;5;6;7;8;9},AA1838&amp;"0123456789"))+1)),"")</f>
        <v/>
      </c>
    </row>
    <row r="1839" spans="28:28" x14ac:dyDescent="0.2">
      <c r="AB1839" s="660" t="str">
        <f>IFERROR(VALUE(RIGHT(AA1839,LEN(AA1839)-MIN(FIND({0;1;2;3;4;5;6;7;8;9},AA1839&amp;"0123456789"))+1)),"")</f>
        <v/>
      </c>
    </row>
    <row r="1840" spans="28:28" x14ac:dyDescent="0.2">
      <c r="AB1840" s="660" t="str">
        <f>IFERROR(VALUE(RIGHT(AA1840,LEN(AA1840)-MIN(FIND({0;1;2;3;4;5;6;7;8;9},AA1840&amp;"0123456789"))+1)),"")</f>
        <v/>
      </c>
    </row>
    <row r="1841" spans="28:28" x14ac:dyDescent="0.2">
      <c r="AB1841" s="660" t="str">
        <f>IFERROR(VALUE(RIGHT(AA1841,LEN(AA1841)-MIN(FIND({0;1;2;3;4;5;6;7;8;9},AA1841&amp;"0123456789"))+1)),"")</f>
        <v/>
      </c>
    </row>
    <row r="1842" spans="28:28" x14ac:dyDescent="0.2">
      <c r="AB1842" s="660" t="str">
        <f>IFERROR(VALUE(RIGHT(AA1842,LEN(AA1842)-MIN(FIND({0;1;2;3;4;5;6;7;8;9},AA1842&amp;"0123456789"))+1)),"")</f>
        <v/>
      </c>
    </row>
    <row r="1843" spans="28:28" x14ac:dyDescent="0.2">
      <c r="AB1843" s="660" t="str">
        <f>IFERROR(VALUE(RIGHT(AA1843,LEN(AA1843)-MIN(FIND({0;1;2;3;4;5;6;7;8;9},AA1843&amp;"0123456789"))+1)),"")</f>
        <v/>
      </c>
    </row>
    <row r="1844" spans="28:28" x14ac:dyDescent="0.2">
      <c r="AB1844" s="660" t="str">
        <f>IFERROR(VALUE(RIGHT(AA1844,LEN(AA1844)-MIN(FIND({0;1;2;3;4;5;6;7;8;9},AA1844&amp;"0123456789"))+1)),"")</f>
        <v/>
      </c>
    </row>
    <row r="1845" spans="28:28" x14ac:dyDescent="0.2">
      <c r="AB1845" s="660" t="str">
        <f>IFERROR(VALUE(RIGHT(AA1845,LEN(AA1845)-MIN(FIND({0;1;2;3;4;5;6;7;8;9},AA1845&amp;"0123456789"))+1)),"")</f>
        <v/>
      </c>
    </row>
    <row r="1846" spans="28:28" x14ac:dyDescent="0.2">
      <c r="AB1846" s="660" t="str">
        <f>IFERROR(VALUE(RIGHT(AA1846,LEN(AA1846)-MIN(FIND({0;1;2;3;4;5;6;7;8;9},AA1846&amp;"0123456789"))+1)),"")</f>
        <v/>
      </c>
    </row>
    <row r="1847" spans="28:28" x14ac:dyDescent="0.2">
      <c r="AB1847" s="660" t="str">
        <f>IFERROR(VALUE(RIGHT(AA1847,LEN(AA1847)-MIN(FIND({0;1;2;3;4;5;6;7;8;9},AA1847&amp;"0123456789"))+1)),"")</f>
        <v/>
      </c>
    </row>
    <row r="1848" spans="28:28" x14ac:dyDescent="0.2">
      <c r="AB1848" s="660" t="str">
        <f>IFERROR(VALUE(RIGHT(AA1848,LEN(AA1848)-MIN(FIND({0;1;2;3;4;5;6;7;8;9},AA1848&amp;"0123456789"))+1)),"")</f>
        <v/>
      </c>
    </row>
    <row r="1849" spans="28:28" x14ac:dyDescent="0.2">
      <c r="AB1849" s="660" t="str">
        <f>IFERROR(VALUE(RIGHT(AA1849,LEN(AA1849)-MIN(FIND({0;1;2;3;4;5;6;7;8;9},AA1849&amp;"0123456789"))+1)),"")</f>
        <v/>
      </c>
    </row>
    <row r="1850" spans="28:28" x14ac:dyDescent="0.2">
      <c r="AB1850" s="660" t="str">
        <f>IFERROR(VALUE(RIGHT(AA1850,LEN(AA1850)-MIN(FIND({0;1;2;3;4;5;6;7;8;9},AA1850&amp;"0123456789"))+1)),"")</f>
        <v/>
      </c>
    </row>
    <row r="1851" spans="28:28" x14ac:dyDescent="0.2">
      <c r="AB1851" s="660" t="str">
        <f>IFERROR(VALUE(RIGHT(AA1851,LEN(AA1851)-MIN(FIND({0;1;2;3;4;5;6;7;8;9},AA1851&amp;"0123456789"))+1)),"")</f>
        <v/>
      </c>
    </row>
    <row r="1852" spans="28:28" x14ac:dyDescent="0.2">
      <c r="AB1852" s="660" t="str">
        <f>IFERROR(VALUE(RIGHT(AA1852,LEN(AA1852)-MIN(FIND({0;1;2;3;4;5;6;7;8;9},AA1852&amp;"0123456789"))+1)),"")</f>
        <v/>
      </c>
    </row>
    <row r="1853" spans="28:28" x14ac:dyDescent="0.2">
      <c r="AB1853" s="660" t="str">
        <f>IFERROR(VALUE(RIGHT(AA1853,LEN(AA1853)-MIN(FIND({0;1;2;3;4;5;6;7;8;9},AA1853&amp;"0123456789"))+1)),"")</f>
        <v/>
      </c>
    </row>
    <row r="1854" spans="28:28" x14ac:dyDescent="0.2">
      <c r="AB1854" s="660" t="str">
        <f>IFERROR(VALUE(RIGHT(AA1854,LEN(AA1854)-MIN(FIND({0;1;2;3;4;5;6;7;8;9},AA1854&amp;"0123456789"))+1)),"")</f>
        <v/>
      </c>
    </row>
    <row r="1855" spans="28:28" x14ac:dyDescent="0.2">
      <c r="AB1855" s="660" t="str">
        <f>IFERROR(VALUE(RIGHT(AA1855,LEN(AA1855)-MIN(FIND({0;1;2;3;4;5;6;7;8;9},AA1855&amp;"0123456789"))+1)),"")</f>
        <v/>
      </c>
    </row>
    <row r="1856" spans="28:28" x14ac:dyDescent="0.2">
      <c r="AB1856" s="660" t="str">
        <f>IFERROR(VALUE(RIGHT(AA1856,LEN(AA1856)-MIN(FIND({0;1;2;3;4;5;6;7;8;9},AA1856&amp;"0123456789"))+1)),"")</f>
        <v/>
      </c>
    </row>
    <row r="1857" spans="28:28" x14ac:dyDescent="0.2">
      <c r="AB1857" s="660" t="str">
        <f>IFERROR(VALUE(RIGHT(AA1857,LEN(AA1857)-MIN(FIND({0;1;2;3;4;5;6;7;8;9},AA1857&amp;"0123456789"))+1)),"")</f>
        <v/>
      </c>
    </row>
    <row r="1858" spans="28:28" x14ac:dyDescent="0.2">
      <c r="AB1858" s="660" t="str">
        <f>IFERROR(VALUE(RIGHT(AA1858,LEN(AA1858)-MIN(FIND({0;1;2;3;4;5;6;7;8;9},AA1858&amp;"0123456789"))+1)),"")</f>
        <v/>
      </c>
    </row>
    <row r="1859" spans="28:28" x14ac:dyDescent="0.2">
      <c r="AB1859" s="660" t="str">
        <f>IFERROR(VALUE(RIGHT(AA1859,LEN(AA1859)-MIN(FIND({0;1;2;3;4;5;6;7;8;9},AA1859&amp;"0123456789"))+1)),"")</f>
        <v/>
      </c>
    </row>
    <row r="1860" spans="28:28" x14ac:dyDescent="0.2">
      <c r="AB1860" s="660" t="str">
        <f>IFERROR(VALUE(RIGHT(AA1860,LEN(AA1860)-MIN(FIND({0;1;2;3;4;5;6;7;8;9},AA1860&amp;"0123456789"))+1)),"")</f>
        <v/>
      </c>
    </row>
    <row r="1861" spans="28:28" x14ac:dyDescent="0.2">
      <c r="AB1861" s="660" t="str">
        <f>IFERROR(VALUE(RIGHT(AA1861,LEN(AA1861)-MIN(FIND({0;1;2;3;4;5;6;7;8;9},AA1861&amp;"0123456789"))+1)),"")</f>
        <v/>
      </c>
    </row>
    <row r="1862" spans="28:28" x14ac:dyDescent="0.2">
      <c r="AB1862" s="660" t="str">
        <f>IFERROR(VALUE(RIGHT(AA1862,LEN(AA1862)-MIN(FIND({0;1;2;3;4;5;6;7;8;9},AA1862&amp;"0123456789"))+1)),"")</f>
        <v/>
      </c>
    </row>
    <row r="1863" spans="28:28" x14ac:dyDescent="0.2">
      <c r="AB1863" s="660" t="str">
        <f>IFERROR(VALUE(RIGHT(AA1863,LEN(AA1863)-MIN(FIND({0;1;2;3;4;5;6;7;8;9},AA1863&amp;"0123456789"))+1)),"")</f>
        <v/>
      </c>
    </row>
    <row r="1864" spans="28:28" x14ac:dyDescent="0.2">
      <c r="AB1864" s="660" t="str">
        <f>IFERROR(VALUE(RIGHT(AA1864,LEN(AA1864)-MIN(FIND({0;1;2;3;4;5;6;7;8;9},AA1864&amp;"0123456789"))+1)),"")</f>
        <v/>
      </c>
    </row>
    <row r="1865" spans="28:28" x14ac:dyDescent="0.2">
      <c r="AB1865" s="660" t="str">
        <f>IFERROR(VALUE(RIGHT(AA1865,LEN(AA1865)-MIN(FIND({0;1;2;3;4;5;6;7;8;9},AA1865&amp;"0123456789"))+1)),"")</f>
        <v/>
      </c>
    </row>
    <row r="1866" spans="28:28" x14ac:dyDescent="0.2">
      <c r="AB1866" s="660" t="str">
        <f>IFERROR(VALUE(RIGHT(AA1866,LEN(AA1866)-MIN(FIND({0;1;2;3;4;5;6;7;8;9},AA1866&amp;"0123456789"))+1)),"")</f>
        <v/>
      </c>
    </row>
    <row r="1867" spans="28:28" x14ac:dyDescent="0.2">
      <c r="AB1867" s="660" t="str">
        <f>IFERROR(VALUE(RIGHT(AA1867,LEN(AA1867)-MIN(FIND({0;1;2;3;4;5;6;7;8;9},AA1867&amp;"0123456789"))+1)),"")</f>
        <v/>
      </c>
    </row>
    <row r="1868" spans="28:28" x14ac:dyDescent="0.2">
      <c r="AB1868" s="660" t="str">
        <f>IFERROR(VALUE(RIGHT(AA1868,LEN(AA1868)-MIN(FIND({0;1;2;3;4;5;6;7;8;9},AA1868&amp;"0123456789"))+1)),"")</f>
        <v/>
      </c>
    </row>
    <row r="1869" spans="28:28" x14ac:dyDescent="0.2">
      <c r="AB1869" s="660" t="str">
        <f>IFERROR(VALUE(RIGHT(AA1869,LEN(AA1869)-MIN(FIND({0;1;2;3;4;5;6;7;8;9},AA1869&amp;"0123456789"))+1)),"")</f>
        <v/>
      </c>
    </row>
    <row r="1870" spans="28:28" x14ac:dyDescent="0.2">
      <c r="AB1870" s="660" t="str">
        <f>IFERROR(VALUE(RIGHT(AA1870,LEN(AA1870)-MIN(FIND({0;1;2;3;4;5;6;7;8;9},AA1870&amp;"0123456789"))+1)),"")</f>
        <v/>
      </c>
    </row>
    <row r="1871" spans="28:28" x14ac:dyDescent="0.2">
      <c r="AB1871" s="660" t="str">
        <f>IFERROR(VALUE(RIGHT(AA1871,LEN(AA1871)-MIN(FIND({0;1;2;3;4;5;6;7;8;9},AA1871&amp;"0123456789"))+1)),"")</f>
        <v/>
      </c>
    </row>
    <row r="1872" spans="28:28" x14ac:dyDescent="0.2">
      <c r="AB1872" s="660" t="str">
        <f>IFERROR(VALUE(RIGHT(AA1872,LEN(AA1872)-MIN(FIND({0;1;2;3;4;5;6;7;8;9},AA1872&amp;"0123456789"))+1)),"")</f>
        <v/>
      </c>
    </row>
    <row r="1873" spans="28:28" x14ac:dyDescent="0.2">
      <c r="AB1873" s="660" t="str">
        <f>IFERROR(VALUE(RIGHT(AA1873,LEN(AA1873)-MIN(FIND({0;1;2;3;4;5;6;7;8;9},AA1873&amp;"0123456789"))+1)),"")</f>
        <v/>
      </c>
    </row>
    <row r="1874" spans="28:28" x14ac:dyDescent="0.2">
      <c r="AB1874" s="660" t="str">
        <f>IFERROR(VALUE(RIGHT(AA1874,LEN(AA1874)-MIN(FIND({0;1;2;3;4;5;6;7;8;9},AA1874&amp;"0123456789"))+1)),"")</f>
        <v/>
      </c>
    </row>
    <row r="1875" spans="28:28" x14ac:dyDescent="0.2">
      <c r="AB1875" s="660" t="str">
        <f>IFERROR(VALUE(RIGHT(AA1875,LEN(AA1875)-MIN(FIND({0;1;2;3;4;5;6;7;8;9},AA1875&amp;"0123456789"))+1)),"")</f>
        <v/>
      </c>
    </row>
    <row r="1876" spans="28:28" x14ac:dyDescent="0.2">
      <c r="AB1876" s="660" t="str">
        <f>IFERROR(VALUE(RIGHT(AA1876,LEN(AA1876)-MIN(FIND({0;1;2;3;4;5;6;7;8;9},AA1876&amp;"0123456789"))+1)),"")</f>
        <v/>
      </c>
    </row>
    <row r="1877" spans="28:28" x14ac:dyDescent="0.2">
      <c r="AB1877" s="660" t="str">
        <f>IFERROR(VALUE(RIGHT(AA1877,LEN(AA1877)-MIN(FIND({0;1;2;3;4;5;6;7;8;9},AA1877&amp;"0123456789"))+1)),"")</f>
        <v/>
      </c>
    </row>
    <row r="1878" spans="28:28" x14ac:dyDescent="0.2">
      <c r="AB1878" s="660" t="str">
        <f>IFERROR(VALUE(RIGHT(AA1878,LEN(AA1878)-MIN(FIND({0;1;2;3;4;5;6;7;8;9},AA1878&amp;"0123456789"))+1)),"")</f>
        <v/>
      </c>
    </row>
    <row r="1879" spans="28:28" x14ac:dyDescent="0.2">
      <c r="AB1879" s="660" t="str">
        <f>IFERROR(VALUE(RIGHT(AA1879,LEN(AA1879)-MIN(FIND({0;1;2;3;4;5;6;7;8;9},AA1879&amp;"0123456789"))+1)),"")</f>
        <v/>
      </c>
    </row>
    <row r="1880" spans="28:28" x14ac:dyDescent="0.2">
      <c r="AB1880" s="660" t="str">
        <f>IFERROR(VALUE(RIGHT(AA1880,LEN(AA1880)-MIN(FIND({0;1;2;3;4;5;6;7;8;9},AA1880&amp;"0123456789"))+1)),"")</f>
        <v/>
      </c>
    </row>
    <row r="1881" spans="28:28" x14ac:dyDescent="0.2">
      <c r="AB1881" s="660" t="str">
        <f>IFERROR(VALUE(RIGHT(AA1881,LEN(AA1881)-MIN(FIND({0;1;2;3;4;5;6;7;8;9},AA1881&amp;"0123456789"))+1)),"")</f>
        <v/>
      </c>
    </row>
    <row r="1882" spans="28:28" x14ac:dyDescent="0.2">
      <c r="AB1882" s="660" t="str">
        <f>IFERROR(VALUE(RIGHT(AA1882,LEN(AA1882)-MIN(FIND({0;1;2;3;4;5;6;7;8;9},AA1882&amp;"0123456789"))+1)),"")</f>
        <v/>
      </c>
    </row>
    <row r="1883" spans="28:28" x14ac:dyDescent="0.2">
      <c r="AB1883" s="660" t="str">
        <f>IFERROR(VALUE(RIGHT(AA1883,LEN(AA1883)-MIN(FIND({0;1;2;3;4;5;6;7;8;9},AA1883&amp;"0123456789"))+1)),"")</f>
        <v/>
      </c>
    </row>
    <row r="1884" spans="28:28" x14ac:dyDescent="0.2">
      <c r="AB1884" s="660" t="str">
        <f>IFERROR(VALUE(RIGHT(AA1884,LEN(AA1884)-MIN(FIND({0;1;2;3;4;5;6;7;8;9},AA1884&amp;"0123456789"))+1)),"")</f>
        <v/>
      </c>
    </row>
    <row r="1885" spans="28:28" x14ac:dyDescent="0.2">
      <c r="AB1885" s="660" t="str">
        <f>IFERROR(VALUE(RIGHT(AA1885,LEN(AA1885)-MIN(FIND({0;1;2;3;4;5;6;7;8;9},AA1885&amp;"0123456789"))+1)),"")</f>
        <v/>
      </c>
    </row>
    <row r="1886" spans="28:28" x14ac:dyDescent="0.2">
      <c r="AB1886" s="660" t="str">
        <f>IFERROR(VALUE(RIGHT(AA1886,LEN(AA1886)-MIN(FIND({0;1;2;3;4;5;6;7;8;9},AA1886&amp;"0123456789"))+1)),"")</f>
        <v/>
      </c>
    </row>
    <row r="1887" spans="28:28" x14ac:dyDescent="0.2">
      <c r="AB1887" s="660" t="str">
        <f>IFERROR(VALUE(RIGHT(AA1887,LEN(AA1887)-MIN(FIND({0;1;2;3;4;5;6;7;8;9},AA1887&amp;"0123456789"))+1)),"")</f>
        <v/>
      </c>
    </row>
    <row r="1888" spans="28:28" x14ac:dyDescent="0.2">
      <c r="AB1888" s="660" t="str">
        <f>IFERROR(VALUE(RIGHT(AA1888,LEN(AA1888)-MIN(FIND({0;1;2;3;4;5;6;7;8;9},AA1888&amp;"0123456789"))+1)),"")</f>
        <v/>
      </c>
    </row>
    <row r="1889" spans="28:28" x14ac:dyDescent="0.2">
      <c r="AB1889" s="660" t="str">
        <f>IFERROR(VALUE(RIGHT(AA1889,LEN(AA1889)-MIN(FIND({0;1;2;3;4;5;6;7;8;9},AA1889&amp;"0123456789"))+1)),"")</f>
        <v/>
      </c>
    </row>
    <row r="1890" spans="28:28" x14ac:dyDescent="0.2">
      <c r="AB1890" s="660" t="str">
        <f>IFERROR(VALUE(RIGHT(AA1890,LEN(AA1890)-MIN(FIND({0;1;2;3;4;5;6;7;8;9},AA1890&amp;"0123456789"))+1)),"")</f>
        <v/>
      </c>
    </row>
    <row r="1891" spans="28:28" x14ac:dyDescent="0.2">
      <c r="AB1891" s="660" t="str">
        <f>IFERROR(VALUE(RIGHT(AA1891,LEN(AA1891)-MIN(FIND({0;1;2;3;4;5;6;7;8;9},AA1891&amp;"0123456789"))+1)),"")</f>
        <v/>
      </c>
    </row>
    <row r="1892" spans="28:28" x14ac:dyDescent="0.2">
      <c r="AB1892" s="660" t="str">
        <f>IFERROR(VALUE(RIGHT(AA1892,LEN(AA1892)-MIN(FIND({0;1;2;3;4;5;6;7;8;9},AA1892&amp;"0123456789"))+1)),"")</f>
        <v/>
      </c>
    </row>
    <row r="1893" spans="28:28" x14ac:dyDescent="0.2">
      <c r="AB1893" s="660" t="str">
        <f>IFERROR(VALUE(RIGHT(AA1893,LEN(AA1893)-MIN(FIND({0;1;2;3;4;5;6;7;8;9},AA1893&amp;"0123456789"))+1)),"")</f>
        <v/>
      </c>
    </row>
    <row r="1894" spans="28:28" x14ac:dyDescent="0.2">
      <c r="AB1894" s="660" t="str">
        <f>IFERROR(VALUE(RIGHT(AA1894,LEN(AA1894)-MIN(FIND({0;1;2;3;4;5;6;7;8;9},AA1894&amp;"0123456789"))+1)),"")</f>
        <v/>
      </c>
    </row>
    <row r="1895" spans="28:28" x14ac:dyDescent="0.2">
      <c r="AB1895" s="660" t="str">
        <f>IFERROR(VALUE(RIGHT(AA1895,LEN(AA1895)-MIN(FIND({0;1;2;3;4;5;6;7;8;9},AA1895&amp;"0123456789"))+1)),"")</f>
        <v/>
      </c>
    </row>
    <row r="1896" spans="28:28" x14ac:dyDescent="0.2">
      <c r="AB1896" s="660" t="str">
        <f>IFERROR(VALUE(RIGHT(AA1896,LEN(AA1896)-MIN(FIND({0;1;2;3;4;5;6;7;8;9},AA1896&amp;"0123456789"))+1)),"")</f>
        <v/>
      </c>
    </row>
    <row r="1897" spans="28:28" x14ac:dyDescent="0.2">
      <c r="AB1897" s="660" t="str">
        <f>IFERROR(VALUE(RIGHT(AA1897,LEN(AA1897)-MIN(FIND({0;1;2;3;4;5;6;7;8;9},AA1897&amp;"0123456789"))+1)),"")</f>
        <v/>
      </c>
    </row>
    <row r="1898" spans="28:28" x14ac:dyDescent="0.2">
      <c r="AB1898" s="660" t="str">
        <f>IFERROR(VALUE(RIGHT(AA1898,LEN(AA1898)-MIN(FIND({0;1;2;3;4;5;6;7;8;9},AA1898&amp;"0123456789"))+1)),"")</f>
        <v/>
      </c>
    </row>
    <row r="1899" spans="28:28" x14ac:dyDescent="0.2">
      <c r="AB1899" s="660" t="str">
        <f>IFERROR(VALUE(RIGHT(AA1899,LEN(AA1899)-MIN(FIND({0;1;2;3;4;5;6;7;8;9},AA1899&amp;"0123456789"))+1)),"")</f>
        <v/>
      </c>
    </row>
    <row r="1900" spans="28:28" x14ac:dyDescent="0.2">
      <c r="AB1900" s="660" t="str">
        <f>IFERROR(VALUE(RIGHT(AA1900,LEN(AA1900)-MIN(FIND({0;1;2;3;4;5;6;7;8;9},AA1900&amp;"0123456789"))+1)),"")</f>
        <v/>
      </c>
    </row>
    <row r="1901" spans="28:28" x14ac:dyDescent="0.2">
      <c r="AB1901" s="660" t="str">
        <f>IFERROR(VALUE(RIGHT(AA1901,LEN(AA1901)-MIN(FIND({0;1;2;3;4;5;6;7;8;9},AA1901&amp;"0123456789"))+1)),"")</f>
        <v/>
      </c>
    </row>
    <row r="1902" spans="28:28" x14ac:dyDescent="0.2">
      <c r="AB1902" s="660" t="str">
        <f>IFERROR(VALUE(RIGHT(AA1902,LEN(AA1902)-MIN(FIND({0;1;2;3;4;5;6;7;8;9},AA1902&amp;"0123456789"))+1)),"")</f>
        <v/>
      </c>
    </row>
    <row r="1903" spans="28:28" x14ac:dyDescent="0.2">
      <c r="AB1903" s="660" t="str">
        <f>IFERROR(VALUE(RIGHT(AA1903,LEN(AA1903)-MIN(FIND({0;1;2;3;4;5;6;7;8;9},AA1903&amp;"0123456789"))+1)),"")</f>
        <v/>
      </c>
    </row>
  </sheetData>
  <mergeCells count="1">
    <mergeCell ref="X8:X9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U1:AC1903"/>
  <sheetViews>
    <sheetView topLeftCell="W1" workbookViewId="0"/>
  </sheetViews>
  <sheetFormatPr defaultColWidth="0" defaultRowHeight="12.75" x14ac:dyDescent="0.2"/>
  <cols>
    <col min="1" max="20" width="9.140625" style="50" hidden="1" customWidth="1"/>
    <col min="21" max="21" width="15" style="50" hidden="1" customWidth="1"/>
    <col min="22" max="22" width="8.42578125" style="50" hidden="1" customWidth="1"/>
    <col min="23" max="23" width="2.7109375" style="50" customWidth="1"/>
    <col min="24" max="24" width="27.28515625" style="157" bestFit="1" customWidth="1"/>
    <col min="25" max="26" width="2.7109375" style="50" customWidth="1"/>
    <col min="27" max="28" width="20.7109375" style="661" customWidth="1"/>
    <col min="29" max="29" width="2.7109375" style="50" customWidth="1"/>
    <col min="30" max="16384" width="9.140625" style="50" hidden="1"/>
  </cols>
  <sheetData>
    <row r="1" spans="24:28" ht="13.5" thickBot="1" x14ac:dyDescent="0.25">
      <c r="X1" s="609" t="s">
        <v>1888</v>
      </c>
      <c r="AA1" s="659"/>
      <c r="AB1" s="659"/>
    </row>
    <row r="2" spans="24:28" ht="13.5" thickBot="1" x14ac:dyDescent="0.25">
      <c r="X2" s="158"/>
      <c r="AA2" s="660"/>
      <c r="AB2" s="660" t="str">
        <f>IFERROR(VALUE(RIGHT(AA2,LEN(AA2)-MIN(FIND({0;1;2;3;4;5;6;7;8;9},AA2&amp;"0123456789"))+1)),"")</f>
        <v/>
      </c>
    </row>
    <row r="3" spans="24:28" x14ac:dyDescent="0.2">
      <c r="X3" s="159" t="s">
        <v>1904</v>
      </c>
      <c r="AA3" s="660"/>
      <c r="AB3" s="660" t="str">
        <f>IFERROR(VALUE(RIGHT(AA3,LEN(AA3)-MIN(FIND({0;1;2;3;4;5;6;7;8;9},AA3&amp;"0123456789"))+1)),"")</f>
        <v/>
      </c>
    </row>
    <row r="4" spans="24:28" ht="13.5" thickBot="1" x14ac:dyDescent="0.25">
      <c r="X4" s="162"/>
      <c r="AA4" s="660"/>
      <c r="AB4" s="660" t="str">
        <f>IFERROR(VALUE(RIGHT(AA4,LEN(AA4)-MIN(FIND({0;1;2;3;4;5;6;7;8;9},AA4&amp;"0123456789"))+1)),"")</f>
        <v/>
      </c>
    </row>
    <row r="5" spans="24:28" x14ac:dyDescent="0.2">
      <c r="X5" s="160" t="s">
        <v>487</v>
      </c>
      <c r="AA5" s="660"/>
      <c r="AB5" s="660" t="str">
        <f>IFERROR(VALUE(RIGHT(AA5,LEN(AA5)-MIN(FIND({0;1;2;3;4;5;6;7;8;9},AA5&amp;"0123456789"))+1)),"")</f>
        <v/>
      </c>
    </row>
    <row r="6" spans="24:28" ht="13.5" thickBot="1" x14ac:dyDescent="0.25">
      <c r="X6" s="161">
        <f>SUM(AB:AB)</f>
        <v>0</v>
      </c>
      <c r="AA6" s="660"/>
      <c r="AB6" s="660" t="str">
        <f>IFERROR(VALUE(RIGHT(AA6,LEN(AA6)-MIN(FIND({0;1;2;3;4;5;6;7;8;9},AA6&amp;"0123456789"))+1)),"")</f>
        <v/>
      </c>
    </row>
    <row r="7" spans="24:28" ht="13.5" thickBot="1" x14ac:dyDescent="0.25">
      <c r="AA7" s="660"/>
      <c r="AB7" s="660" t="str">
        <f>IFERROR(VALUE(RIGHT(AA7,LEN(AA7)-MIN(FIND({0;1;2;3;4;5;6;7;8;9},AA7&amp;"0123456789"))+1)),"")</f>
        <v/>
      </c>
    </row>
    <row r="8" spans="24:28" x14ac:dyDescent="0.2">
      <c r="X8" s="831" t="s">
        <v>489</v>
      </c>
      <c r="AA8" s="660"/>
      <c r="AB8" s="660" t="str">
        <f>IFERROR(VALUE(RIGHT(AA8,LEN(AA8)-MIN(FIND({0;1;2;3;4;5;6;7;8;9},AA8&amp;"0123456789"))+1)),"")</f>
        <v/>
      </c>
    </row>
    <row r="9" spans="24:28" ht="13.5" thickBot="1" x14ac:dyDescent="0.25">
      <c r="X9" s="832"/>
      <c r="AA9" s="660"/>
      <c r="AB9" s="660" t="str">
        <f>IFERROR(VALUE(RIGHT(AA9,LEN(AA9)-MIN(FIND({0;1;2;3;4;5;6;7;8;9},AA9&amp;"0123456789"))+1)),"")</f>
        <v/>
      </c>
    </row>
    <row r="10" spans="24:28" x14ac:dyDescent="0.2">
      <c r="AA10" s="660"/>
      <c r="AB10" s="660" t="str">
        <f>IFERROR(VALUE(RIGHT(AA10,LEN(AA10)-MIN(FIND({0;1;2;3;4;5;6;7;8;9},AA10&amp;"0123456789"))+1)),"")</f>
        <v/>
      </c>
    </row>
    <row r="11" spans="24:28" x14ac:dyDescent="0.2">
      <c r="AA11" s="660"/>
      <c r="AB11" s="660" t="str">
        <f>IFERROR(VALUE(RIGHT(AA11,LEN(AA11)-MIN(FIND({0;1;2;3;4;5;6;7;8;9},AA11&amp;"0123456789"))+1)),"")</f>
        <v/>
      </c>
    </row>
    <row r="12" spans="24:28" x14ac:dyDescent="0.2">
      <c r="AA12" s="660"/>
      <c r="AB12" s="660" t="str">
        <f>IFERROR(VALUE(RIGHT(AA12,LEN(AA12)-MIN(FIND({0;1;2;3;4;5;6;7;8;9},AA12&amp;"0123456789"))+1)),"")</f>
        <v/>
      </c>
    </row>
    <row r="13" spans="24:28" x14ac:dyDescent="0.2">
      <c r="AA13" s="660"/>
      <c r="AB13" s="660" t="str">
        <f>IFERROR(VALUE(RIGHT(AA13,LEN(AA13)-MIN(FIND({0;1;2;3;4;5;6;7;8;9},AA13&amp;"0123456789"))+1)),"")</f>
        <v/>
      </c>
    </row>
    <row r="14" spans="24:28" x14ac:dyDescent="0.2">
      <c r="AA14" s="660"/>
      <c r="AB14" s="660" t="str">
        <f>IFERROR(VALUE(RIGHT(AA14,LEN(AA14)-MIN(FIND({0;1;2;3;4;5;6;7;8;9},AA14&amp;"0123456789"))+1)),"")</f>
        <v/>
      </c>
    </row>
    <row r="15" spans="24:28" x14ac:dyDescent="0.2">
      <c r="AA15" s="660"/>
      <c r="AB15" s="660" t="str">
        <f>IFERROR(VALUE(RIGHT(AA15,LEN(AA15)-MIN(FIND({0;1;2;3;4;5;6;7;8;9},AA15&amp;"0123456789"))+1)),"")</f>
        <v/>
      </c>
    </row>
    <row r="16" spans="24:28" x14ac:dyDescent="0.2">
      <c r="AA16" s="660"/>
      <c r="AB16" s="660" t="str">
        <f>IFERROR(VALUE(RIGHT(AA16,LEN(AA16)-MIN(FIND({0;1;2;3;4;5;6;7;8;9},AA16&amp;"0123456789"))+1)),"")</f>
        <v/>
      </c>
    </row>
    <row r="17" spans="27:28" x14ac:dyDescent="0.2">
      <c r="AA17" s="660"/>
      <c r="AB17" s="660" t="str">
        <f>IFERROR(VALUE(RIGHT(AA17,LEN(AA17)-MIN(FIND({0;1;2;3;4;5;6;7;8;9},AA17&amp;"0123456789"))+1)),"")</f>
        <v/>
      </c>
    </row>
    <row r="18" spans="27:28" x14ac:dyDescent="0.2">
      <c r="AA18" s="660"/>
      <c r="AB18" s="660" t="str">
        <f>IFERROR(VALUE(RIGHT(AA18,LEN(AA18)-MIN(FIND({0;1;2;3;4;5;6;7;8;9},AA18&amp;"0123456789"))+1)),"")</f>
        <v/>
      </c>
    </row>
    <row r="19" spans="27:28" x14ac:dyDescent="0.2">
      <c r="AA19" s="660"/>
      <c r="AB19" s="660" t="str">
        <f>IFERROR(VALUE(RIGHT(AA19,LEN(AA19)-MIN(FIND({0;1;2;3;4;5;6;7;8;9},AA19&amp;"0123456789"))+1)),"")</f>
        <v/>
      </c>
    </row>
    <row r="20" spans="27:28" x14ac:dyDescent="0.2">
      <c r="AA20" s="660"/>
      <c r="AB20" s="660" t="str">
        <f>IFERROR(VALUE(RIGHT(AA20,LEN(AA20)-MIN(FIND({0;1;2;3;4;5;6;7;8;9},AA20&amp;"0123456789"))+1)),"")</f>
        <v/>
      </c>
    </row>
    <row r="21" spans="27:28" x14ac:dyDescent="0.2">
      <c r="AA21" s="660"/>
      <c r="AB21" s="660" t="str">
        <f>IFERROR(VALUE(RIGHT(AA21,LEN(AA21)-MIN(FIND({0;1;2;3;4;5;6;7;8;9},AA21&amp;"0123456789"))+1)),"")</f>
        <v/>
      </c>
    </row>
    <row r="22" spans="27:28" x14ac:dyDescent="0.2">
      <c r="AA22" s="660"/>
      <c r="AB22" s="660" t="str">
        <f>IFERROR(VALUE(RIGHT(AA22,LEN(AA22)-MIN(FIND({0;1;2;3;4;5;6;7;8;9},AA22&amp;"0123456789"))+1)),"")</f>
        <v/>
      </c>
    </row>
    <row r="23" spans="27:28" x14ac:dyDescent="0.2">
      <c r="AA23" s="660"/>
      <c r="AB23" s="660" t="str">
        <f>IFERROR(VALUE(RIGHT(AA23,LEN(AA23)-MIN(FIND({0;1;2;3;4;5;6;7;8;9},AA23&amp;"0123456789"))+1)),"")</f>
        <v/>
      </c>
    </row>
    <row r="24" spans="27:28" x14ac:dyDescent="0.2">
      <c r="AA24" s="660"/>
      <c r="AB24" s="660" t="str">
        <f>IFERROR(VALUE(RIGHT(AA24,LEN(AA24)-MIN(FIND({0;1;2;3;4;5;6;7;8;9},AA24&amp;"0123456789"))+1)),"")</f>
        <v/>
      </c>
    </row>
    <row r="25" spans="27:28" x14ac:dyDescent="0.2">
      <c r="AA25" s="660"/>
      <c r="AB25" s="660" t="str">
        <f>IFERROR(VALUE(RIGHT(AA25,LEN(AA25)-MIN(FIND({0;1;2;3;4;5;6;7;8;9},AA25&amp;"0123456789"))+1)),"")</f>
        <v/>
      </c>
    </row>
    <row r="26" spans="27:28" x14ac:dyDescent="0.2">
      <c r="AA26" s="660"/>
      <c r="AB26" s="660" t="str">
        <f>IFERROR(VALUE(RIGHT(AA26,LEN(AA26)-MIN(FIND({0;1;2;3;4;5;6;7;8;9},AA26&amp;"0123456789"))+1)),"")</f>
        <v/>
      </c>
    </row>
    <row r="27" spans="27:28" x14ac:dyDescent="0.2">
      <c r="AA27" s="660"/>
      <c r="AB27" s="660" t="str">
        <f>IFERROR(VALUE(RIGHT(AA27,LEN(AA27)-MIN(FIND({0;1;2;3;4;5;6;7;8;9},AA27&amp;"0123456789"))+1)),"")</f>
        <v/>
      </c>
    </row>
    <row r="28" spans="27:28" x14ac:dyDescent="0.2">
      <c r="AA28" s="660"/>
      <c r="AB28" s="660" t="str">
        <f>IFERROR(VALUE(RIGHT(AA28,LEN(AA28)-MIN(FIND({0;1;2;3;4;5;6;7;8;9},AA28&amp;"0123456789"))+1)),"")</f>
        <v/>
      </c>
    </row>
    <row r="29" spans="27:28" x14ac:dyDescent="0.2">
      <c r="AA29" s="660"/>
      <c r="AB29" s="660" t="str">
        <f>IFERROR(VALUE(RIGHT(AA29,LEN(AA29)-MIN(FIND({0;1;2;3;4;5;6;7;8;9},AA29&amp;"0123456789"))+1)),"")</f>
        <v/>
      </c>
    </row>
    <row r="30" spans="27:28" x14ac:dyDescent="0.2">
      <c r="AA30" s="660"/>
      <c r="AB30" s="660" t="str">
        <f>IFERROR(VALUE(RIGHT(AA30,LEN(AA30)-MIN(FIND({0;1;2;3;4;5;6;7;8;9},AA30&amp;"0123456789"))+1)),"")</f>
        <v/>
      </c>
    </row>
    <row r="31" spans="27:28" x14ac:dyDescent="0.2">
      <c r="AA31" s="660"/>
      <c r="AB31" s="660" t="str">
        <f>IFERROR(VALUE(RIGHT(AA31,LEN(AA31)-MIN(FIND({0;1;2;3;4;5;6;7;8;9},AA31&amp;"0123456789"))+1)),"")</f>
        <v/>
      </c>
    </row>
    <row r="32" spans="27:28" x14ac:dyDescent="0.2">
      <c r="AA32" s="660"/>
      <c r="AB32" s="660" t="str">
        <f>IFERROR(VALUE(RIGHT(AA32,LEN(AA32)-MIN(FIND({0;1;2;3;4;5;6;7;8;9},AA32&amp;"0123456789"))+1)),"")</f>
        <v/>
      </c>
    </row>
    <row r="33" spans="27:28" x14ac:dyDescent="0.2">
      <c r="AA33" s="660"/>
      <c r="AB33" s="660" t="str">
        <f>IFERROR(VALUE(RIGHT(AA33,LEN(AA33)-MIN(FIND({0;1;2;3;4;5;6;7;8;9},AA33&amp;"0123456789"))+1)),"")</f>
        <v/>
      </c>
    </row>
    <row r="34" spans="27:28" x14ac:dyDescent="0.2">
      <c r="AA34" s="660"/>
      <c r="AB34" s="660" t="str">
        <f>IFERROR(VALUE(RIGHT(AA34,LEN(AA34)-MIN(FIND({0;1;2;3;4;5;6;7;8;9},AA34&amp;"0123456789"))+1)),"")</f>
        <v/>
      </c>
    </row>
    <row r="35" spans="27:28" x14ac:dyDescent="0.2">
      <c r="AA35" s="660"/>
      <c r="AB35" s="660" t="str">
        <f>IFERROR(VALUE(RIGHT(AA35,LEN(AA35)-MIN(FIND({0;1;2;3;4;5;6;7;8;9},AA35&amp;"0123456789"))+1)),"")</f>
        <v/>
      </c>
    </row>
    <row r="36" spans="27:28" x14ac:dyDescent="0.2">
      <c r="AA36" s="660"/>
      <c r="AB36" s="660" t="str">
        <f>IFERROR(VALUE(RIGHT(AA36,LEN(AA36)-MIN(FIND({0;1;2;3;4;5;6;7;8;9},AA36&amp;"0123456789"))+1)),"")</f>
        <v/>
      </c>
    </row>
    <row r="37" spans="27:28" x14ac:dyDescent="0.2">
      <c r="AA37" s="660"/>
      <c r="AB37" s="660" t="str">
        <f>IFERROR(VALUE(RIGHT(AA37,LEN(AA37)-MIN(FIND({0;1;2;3;4;5;6;7;8;9},AA37&amp;"0123456789"))+1)),"")</f>
        <v/>
      </c>
    </row>
    <row r="38" spans="27:28" x14ac:dyDescent="0.2">
      <c r="AA38" s="660"/>
      <c r="AB38" s="660" t="str">
        <f>IFERROR(VALUE(RIGHT(AA38,LEN(AA38)-MIN(FIND({0;1;2;3;4;5;6;7;8;9},AA38&amp;"0123456789"))+1)),"")</f>
        <v/>
      </c>
    </row>
    <row r="39" spans="27:28" x14ac:dyDescent="0.2">
      <c r="AA39" s="660"/>
      <c r="AB39" s="660" t="str">
        <f>IFERROR(VALUE(RIGHT(AA39,LEN(AA39)-MIN(FIND({0;1;2;3;4;5;6;7;8;9},AA39&amp;"0123456789"))+1)),"")</f>
        <v/>
      </c>
    </row>
    <row r="40" spans="27:28" x14ac:dyDescent="0.2">
      <c r="AA40" s="660"/>
      <c r="AB40" s="660" t="str">
        <f>IFERROR(VALUE(RIGHT(AA40,LEN(AA40)-MIN(FIND({0;1;2;3;4;5;6;7;8;9},AA40&amp;"0123456789"))+1)),"")</f>
        <v/>
      </c>
    </row>
    <row r="41" spans="27:28" x14ac:dyDescent="0.2">
      <c r="AA41" s="660"/>
      <c r="AB41" s="660" t="str">
        <f>IFERROR(VALUE(RIGHT(AA41,LEN(AA41)-MIN(FIND({0;1;2;3;4;5;6;7;8;9},AA41&amp;"0123456789"))+1)),"")</f>
        <v/>
      </c>
    </row>
    <row r="42" spans="27:28" x14ac:dyDescent="0.2">
      <c r="AA42" s="660"/>
      <c r="AB42" s="660" t="str">
        <f>IFERROR(VALUE(RIGHT(AA42,LEN(AA42)-MIN(FIND({0;1;2;3;4;5;6;7;8;9},AA42&amp;"0123456789"))+1)),"")</f>
        <v/>
      </c>
    </row>
    <row r="43" spans="27:28" x14ac:dyDescent="0.2">
      <c r="AA43" s="660"/>
      <c r="AB43" s="660" t="str">
        <f>IFERROR(VALUE(RIGHT(AA43,LEN(AA43)-MIN(FIND({0;1;2;3;4;5;6;7;8;9},AA43&amp;"0123456789"))+1)),"")</f>
        <v/>
      </c>
    </row>
    <row r="44" spans="27:28" x14ac:dyDescent="0.2">
      <c r="AA44" s="660"/>
      <c r="AB44" s="660" t="str">
        <f>IFERROR(VALUE(RIGHT(AA44,LEN(AA44)-MIN(FIND({0;1;2;3;4;5;6;7;8;9},AA44&amp;"0123456789"))+1)),"")</f>
        <v/>
      </c>
    </row>
    <row r="45" spans="27:28" x14ac:dyDescent="0.2">
      <c r="AA45" s="660"/>
      <c r="AB45" s="660" t="str">
        <f>IFERROR(VALUE(RIGHT(AA45,LEN(AA45)-MIN(FIND({0;1;2;3;4;5;6;7;8;9},AA45&amp;"0123456789"))+1)),"")</f>
        <v/>
      </c>
    </row>
    <row r="46" spans="27:28" x14ac:dyDescent="0.2">
      <c r="AA46" s="660"/>
      <c r="AB46" s="660" t="str">
        <f>IFERROR(VALUE(RIGHT(AA46,LEN(AA46)-MIN(FIND({0;1;2;3;4;5;6;7;8;9},AA46&amp;"0123456789"))+1)),"")</f>
        <v/>
      </c>
    </row>
    <row r="47" spans="27:28" x14ac:dyDescent="0.2">
      <c r="AA47" s="660"/>
      <c r="AB47" s="660" t="str">
        <f>IFERROR(VALUE(RIGHT(AA47,LEN(AA47)-MIN(FIND({0;1;2;3;4;5;6;7;8;9},AA47&amp;"0123456789"))+1)),"")</f>
        <v/>
      </c>
    </row>
    <row r="48" spans="27:28" x14ac:dyDescent="0.2">
      <c r="AA48" s="660"/>
      <c r="AB48" s="660" t="str">
        <f>IFERROR(VALUE(RIGHT(AA48,LEN(AA48)-MIN(FIND({0;1;2;3;4;5;6;7;8;9},AA48&amp;"0123456789"))+1)),"")</f>
        <v/>
      </c>
    </row>
    <row r="49" spans="27:28" x14ac:dyDescent="0.2">
      <c r="AA49" s="660"/>
      <c r="AB49" s="660" t="str">
        <f>IFERROR(VALUE(RIGHT(AA49,LEN(AA49)-MIN(FIND({0;1;2;3;4;5;6;7;8;9},AA49&amp;"0123456789"))+1)),"")</f>
        <v/>
      </c>
    </row>
    <row r="50" spans="27:28" x14ac:dyDescent="0.2">
      <c r="AA50" s="660"/>
      <c r="AB50" s="660" t="str">
        <f>IFERROR(VALUE(RIGHT(AA50,LEN(AA50)-MIN(FIND({0;1;2;3;4;5;6;7;8;9},AA50&amp;"0123456789"))+1)),"")</f>
        <v/>
      </c>
    </row>
    <row r="51" spans="27:28" x14ac:dyDescent="0.2">
      <c r="AA51" s="660"/>
      <c r="AB51" s="660" t="str">
        <f>IFERROR(VALUE(RIGHT(AA51,LEN(AA51)-MIN(FIND({0;1;2;3;4;5;6;7;8;9},AA51&amp;"0123456789"))+1)),"")</f>
        <v/>
      </c>
    </row>
    <row r="52" spans="27:28" x14ac:dyDescent="0.2">
      <c r="AA52" s="660"/>
      <c r="AB52" s="660" t="str">
        <f>IFERROR(VALUE(RIGHT(AA52,LEN(AA52)-MIN(FIND({0;1;2;3;4;5;6;7;8;9},AA52&amp;"0123456789"))+1)),"")</f>
        <v/>
      </c>
    </row>
    <row r="53" spans="27:28" x14ac:dyDescent="0.2">
      <c r="AA53" s="660"/>
      <c r="AB53" s="660" t="str">
        <f>IFERROR(VALUE(RIGHT(AA53,LEN(AA53)-MIN(FIND({0;1;2;3;4;5;6;7;8;9},AA53&amp;"0123456789"))+1)),"")</f>
        <v/>
      </c>
    </row>
    <row r="54" spans="27:28" x14ac:dyDescent="0.2">
      <c r="AA54" s="660"/>
      <c r="AB54" s="660" t="str">
        <f>IFERROR(VALUE(RIGHT(AA54,LEN(AA54)-MIN(FIND({0;1;2;3;4;5;6;7;8;9},AA54&amp;"0123456789"))+1)),"")</f>
        <v/>
      </c>
    </row>
    <row r="55" spans="27:28" x14ac:dyDescent="0.2">
      <c r="AA55" s="660"/>
      <c r="AB55" s="660" t="str">
        <f>IFERROR(VALUE(RIGHT(AA55,LEN(AA55)-MIN(FIND({0;1;2;3;4;5;6;7;8;9},AA55&amp;"0123456789"))+1)),"")</f>
        <v/>
      </c>
    </row>
    <row r="56" spans="27:28" x14ac:dyDescent="0.2">
      <c r="AA56" s="660"/>
      <c r="AB56" s="660" t="str">
        <f>IFERROR(VALUE(RIGHT(AA56,LEN(AA56)-MIN(FIND({0;1;2;3;4;5;6;7;8;9},AA56&amp;"0123456789"))+1)),"")</f>
        <v/>
      </c>
    </row>
    <row r="57" spans="27:28" x14ac:dyDescent="0.2">
      <c r="AA57" s="660"/>
      <c r="AB57" s="660" t="str">
        <f>IFERROR(VALUE(RIGHT(AA57,LEN(AA57)-MIN(FIND({0;1;2;3;4;5;6;7;8;9},AA57&amp;"0123456789"))+1)),"")</f>
        <v/>
      </c>
    </row>
    <row r="58" spans="27:28" x14ac:dyDescent="0.2">
      <c r="AA58" s="660"/>
      <c r="AB58" s="660" t="str">
        <f>IFERROR(VALUE(RIGHT(AA58,LEN(AA58)-MIN(FIND({0;1;2;3;4;5;6;7;8;9},AA58&amp;"0123456789"))+1)),"")</f>
        <v/>
      </c>
    </row>
    <row r="59" spans="27:28" x14ac:dyDescent="0.2">
      <c r="AA59" s="660"/>
      <c r="AB59" s="660" t="str">
        <f>IFERROR(VALUE(RIGHT(AA59,LEN(AA59)-MIN(FIND({0;1;2;3;4;5;6;7;8;9},AA59&amp;"0123456789"))+1)),"")</f>
        <v/>
      </c>
    </row>
    <row r="60" spans="27:28" x14ac:dyDescent="0.2">
      <c r="AA60" s="660"/>
      <c r="AB60" s="660" t="str">
        <f>IFERROR(VALUE(RIGHT(AA60,LEN(AA60)-MIN(FIND({0;1;2;3;4;5;6;7;8;9},AA60&amp;"0123456789"))+1)),"")</f>
        <v/>
      </c>
    </row>
    <row r="61" spans="27:28" x14ac:dyDescent="0.2">
      <c r="AA61" s="660"/>
      <c r="AB61" s="660" t="str">
        <f>IFERROR(VALUE(RIGHT(AA61,LEN(AA61)-MIN(FIND({0;1;2;3;4;5;6;7;8;9},AA61&amp;"0123456789"))+1)),"")</f>
        <v/>
      </c>
    </row>
    <row r="62" spans="27:28" x14ac:dyDescent="0.2">
      <c r="AA62" s="660"/>
      <c r="AB62" s="660" t="str">
        <f>IFERROR(VALUE(RIGHT(AA62,LEN(AA62)-MIN(FIND({0;1;2;3;4;5;6;7;8;9},AA62&amp;"0123456789"))+1)),"")</f>
        <v/>
      </c>
    </row>
    <row r="63" spans="27:28" x14ac:dyDescent="0.2">
      <c r="AA63" s="660"/>
      <c r="AB63" s="660" t="str">
        <f>IFERROR(VALUE(RIGHT(AA63,LEN(AA63)-MIN(FIND({0;1;2;3;4;5;6;7;8;9},AA63&amp;"0123456789"))+1)),"")</f>
        <v/>
      </c>
    </row>
    <row r="64" spans="27:28" x14ac:dyDescent="0.2">
      <c r="AA64" s="660"/>
      <c r="AB64" s="660" t="str">
        <f>IFERROR(VALUE(RIGHT(AA64,LEN(AA64)-MIN(FIND({0;1;2;3;4;5;6;7;8;9},AA64&amp;"0123456789"))+1)),"")</f>
        <v/>
      </c>
    </row>
    <row r="65" spans="27:28" x14ac:dyDescent="0.2">
      <c r="AA65" s="660"/>
      <c r="AB65" s="660" t="str">
        <f>IFERROR(VALUE(RIGHT(AA65,LEN(AA65)-MIN(FIND({0;1;2;3;4;5;6;7;8;9},AA65&amp;"0123456789"))+1)),"")</f>
        <v/>
      </c>
    </row>
    <row r="66" spans="27:28" x14ac:dyDescent="0.2">
      <c r="AA66" s="660"/>
      <c r="AB66" s="660" t="str">
        <f>IFERROR(VALUE(RIGHT(AA66,LEN(AA66)-MIN(FIND({0;1;2;3;4;5;6;7;8;9},AA66&amp;"0123456789"))+1)),"")</f>
        <v/>
      </c>
    </row>
    <row r="67" spans="27:28" x14ac:dyDescent="0.2">
      <c r="AA67" s="660"/>
      <c r="AB67" s="660" t="str">
        <f>IFERROR(VALUE(RIGHT(AA67,LEN(AA67)-MIN(FIND({0;1;2;3;4;5;6;7;8;9},AA67&amp;"0123456789"))+1)),"")</f>
        <v/>
      </c>
    </row>
    <row r="68" spans="27:28" x14ac:dyDescent="0.2">
      <c r="AA68" s="660"/>
      <c r="AB68" s="660" t="str">
        <f>IFERROR(VALUE(RIGHT(AA68,LEN(AA68)-MIN(FIND({0;1;2;3;4;5;6;7;8;9},AA68&amp;"0123456789"))+1)),"")</f>
        <v/>
      </c>
    </row>
    <row r="69" spans="27:28" x14ac:dyDescent="0.2">
      <c r="AA69" s="660"/>
      <c r="AB69" s="660" t="str">
        <f>IFERROR(VALUE(RIGHT(AA69,LEN(AA69)-MIN(FIND({0;1;2;3;4;5;6;7;8;9},AA69&amp;"0123456789"))+1)),"")</f>
        <v/>
      </c>
    </row>
    <row r="70" spans="27:28" x14ac:dyDescent="0.2">
      <c r="AA70" s="660"/>
      <c r="AB70" s="660" t="str">
        <f>IFERROR(VALUE(RIGHT(AA70,LEN(AA70)-MIN(FIND({0;1;2;3;4;5;6;7;8;9},AA70&amp;"0123456789"))+1)),"")</f>
        <v/>
      </c>
    </row>
    <row r="71" spans="27:28" x14ac:dyDescent="0.2">
      <c r="AA71" s="660"/>
      <c r="AB71" s="660" t="str">
        <f>IFERROR(VALUE(RIGHT(AA71,LEN(AA71)-MIN(FIND({0;1;2;3;4;5;6;7;8;9},AA71&amp;"0123456789"))+1)),"")</f>
        <v/>
      </c>
    </row>
    <row r="72" spans="27:28" x14ac:dyDescent="0.2">
      <c r="AA72" s="660"/>
      <c r="AB72" s="660" t="str">
        <f>IFERROR(VALUE(RIGHT(AA72,LEN(AA72)-MIN(FIND({0;1;2;3;4;5;6;7;8;9},AA72&amp;"0123456789"))+1)),"")</f>
        <v/>
      </c>
    </row>
    <row r="73" spans="27:28" x14ac:dyDescent="0.2">
      <c r="AA73" s="660"/>
      <c r="AB73" s="660" t="str">
        <f>IFERROR(VALUE(RIGHT(AA73,LEN(AA73)-MIN(FIND({0;1;2;3;4;5;6;7;8;9},AA73&amp;"0123456789"))+1)),"")</f>
        <v/>
      </c>
    </row>
    <row r="74" spans="27:28" x14ac:dyDescent="0.2">
      <c r="AA74" s="660"/>
      <c r="AB74" s="660" t="str">
        <f>IFERROR(VALUE(RIGHT(AA74,LEN(AA74)-MIN(FIND({0;1;2;3;4;5;6;7;8;9},AA74&amp;"0123456789"))+1)),"")</f>
        <v/>
      </c>
    </row>
    <row r="75" spans="27:28" x14ac:dyDescent="0.2">
      <c r="AA75" s="660"/>
      <c r="AB75" s="660" t="str">
        <f>IFERROR(VALUE(RIGHT(AA75,LEN(AA75)-MIN(FIND({0;1;2;3;4;5;6;7;8;9},AA75&amp;"0123456789"))+1)),"")</f>
        <v/>
      </c>
    </row>
    <row r="76" spans="27:28" x14ac:dyDescent="0.2">
      <c r="AA76" s="660"/>
      <c r="AB76" s="660" t="str">
        <f>IFERROR(VALUE(RIGHT(AA76,LEN(AA76)-MIN(FIND({0;1;2;3;4;5;6;7;8;9},AA76&amp;"0123456789"))+1)),"")</f>
        <v/>
      </c>
    </row>
    <row r="77" spans="27:28" x14ac:dyDescent="0.2">
      <c r="AA77" s="660"/>
      <c r="AB77" s="660" t="str">
        <f>IFERROR(VALUE(RIGHT(AA77,LEN(AA77)-MIN(FIND({0;1;2;3;4;5;6;7;8;9},AA77&amp;"0123456789"))+1)),"")</f>
        <v/>
      </c>
    </row>
    <row r="78" spans="27:28" x14ac:dyDescent="0.2">
      <c r="AA78" s="660"/>
      <c r="AB78" s="660" t="str">
        <f>IFERROR(VALUE(RIGHT(AA78,LEN(AA78)-MIN(FIND({0;1;2;3;4;5;6;7;8;9},AA78&amp;"0123456789"))+1)),"")</f>
        <v/>
      </c>
    </row>
    <row r="79" spans="27:28" x14ac:dyDescent="0.2">
      <c r="AA79" s="660"/>
      <c r="AB79" s="660" t="str">
        <f>IFERROR(VALUE(RIGHT(AA79,LEN(AA79)-MIN(FIND({0;1;2;3;4;5;6;7;8;9},AA79&amp;"0123456789"))+1)),"")</f>
        <v/>
      </c>
    </row>
    <row r="80" spans="27:28" x14ac:dyDescent="0.2">
      <c r="AA80" s="660"/>
      <c r="AB80" s="660" t="str">
        <f>IFERROR(VALUE(RIGHT(AA80,LEN(AA80)-MIN(FIND({0;1;2;3;4;5;6;7;8;9},AA80&amp;"0123456789"))+1)),"")</f>
        <v/>
      </c>
    </row>
    <row r="81" spans="27:28" x14ac:dyDescent="0.2">
      <c r="AA81" s="660"/>
      <c r="AB81" s="660" t="str">
        <f>IFERROR(VALUE(RIGHT(AA81,LEN(AA81)-MIN(FIND({0;1;2;3;4;5;6;7;8;9},AA81&amp;"0123456789"))+1)),"")</f>
        <v/>
      </c>
    </row>
    <row r="82" spans="27:28" x14ac:dyDescent="0.2">
      <c r="AA82" s="660"/>
      <c r="AB82" s="660" t="str">
        <f>IFERROR(VALUE(RIGHT(AA82,LEN(AA82)-MIN(FIND({0;1;2;3;4;5;6;7;8;9},AA82&amp;"0123456789"))+1)),"")</f>
        <v/>
      </c>
    </row>
    <row r="83" spans="27:28" x14ac:dyDescent="0.2">
      <c r="AA83" s="660"/>
      <c r="AB83" s="660" t="str">
        <f>IFERROR(VALUE(RIGHT(AA83,LEN(AA83)-MIN(FIND({0;1;2;3;4;5;6;7;8;9},AA83&amp;"0123456789"))+1)),"")</f>
        <v/>
      </c>
    </row>
    <row r="84" spans="27:28" x14ac:dyDescent="0.2">
      <c r="AA84" s="660"/>
      <c r="AB84" s="660" t="str">
        <f>IFERROR(VALUE(RIGHT(AA84,LEN(AA84)-MIN(FIND({0;1;2;3;4;5;6;7;8;9},AA84&amp;"0123456789"))+1)),"")</f>
        <v/>
      </c>
    </row>
    <row r="85" spans="27:28" x14ac:dyDescent="0.2">
      <c r="AA85" s="660"/>
      <c r="AB85" s="660" t="str">
        <f>IFERROR(VALUE(RIGHT(AA85,LEN(AA85)-MIN(FIND({0;1;2;3;4;5;6;7;8;9},AA85&amp;"0123456789"))+1)),"")</f>
        <v/>
      </c>
    </row>
    <row r="86" spans="27:28" x14ac:dyDescent="0.2">
      <c r="AA86" s="660"/>
      <c r="AB86" s="660" t="str">
        <f>IFERROR(VALUE(RIGHT(AA86,LEN(AA86)-MIN(FIND({0;1;2;3;4;5;6;7;8;9},AA86&amp;"0123456789"))+1)),"")</f>
        <v/>
      </c>
    </row>
    <row r="87" spans="27:28" x14ac:dyDescent="0.2">
      <c r="AA87" s="660"/>
      <c r="AB87" s="660" t="str">
        <f>IFERROR(VALUE(RIGHT(AA87,LEN(AA87)-MIN(FIND({0;1;2;3;4;5;6;7;8;9},AA87&amp;"0123456789"))+1)),"")</f>
        <v/>
      </c>
    </row>
    <row r="88" spans="27:28" x14ac:dyDescent="0.2">
      <c r="AA88" s="660"/>
      <c r="AB88" s="660" t="str">
        <f>IFERROR(VALUE(RIGHT(AA88,LEN(AA88)-MIN(FIND({0;1;2;3;4;5;6;7;8;9},AA88&amp;"0123456789"))+1)),"")</f>
        <v/>
      </c>
    </row>
    <row r="89" spans="27:28" x14ac:dyDescent="0.2">
      <c r="AA89" s="660"/>
      <c r="AB89" s="660" t="str">
        <f>IFERROR(VALUE(RIGHT(AA89,LEN(AA89)-MIN(FIND({0;1;2;3;4;5;6;7;8;9},AA89&amp;"0123456789"))+1)),"")</f>
        <v/>
      </c>
    </row>
    <row r="90" spans="27:28" x14ac:dyDescent="0.2">
      <c r="AA90" s="660"/>
      <c r="AB90" s="660" t="str">
        <f>IFERROR(VALUE(RIGHT(AA90,LEN(AA90)-MIN(FIND({0;1;2;3;4;5;6;7;8;9},AA90&amp;"0123456789"))+1)),"")</f>
        <v/>
      </c>
    </row>
    <row r="91" spans="27:28" x14ac:dyDescent="0.2">
      <c r="AA91" s="660"/>
      <c r="AB91" s="660" t="str">
        <f>IFERROR(VALUE(RIGHT(AA91,LEN(AA91)-MIN(FIND({0;1;2;3;4;5;6;7;8;9},AA91&amp;"0123456789"))+1)),"")</f>
        <v/>
      </c>
    </row>
    <row r="92" spans="27:28" x14ac:dyDescent="0.2">
      <c r="AA92" s="660"/>
      <c r="AB92" s="660" t="str">
        <f>IFERROR(VALUE(RIGHT(AA92,LEN(AA92)-MIN(FIND({0;1;2;3;4;5;6;7;8;9},AA92&amp;"0123456789"))+1)),"")</f>
        <v/>
      </c>
    </row>
    <row r="93" spans="27:28" x14ac:dyDescent="0.2">
      <c r="AA93" s="660"/>
      <c r="AB93" s="660" t="str">
        <f>IFERROR(VALUE(RIGHT(AA93,LEN(AA93)-MIN(FIND({0;1;2;3;4;5;6;7;8;9},AA93&amp;"0123456789"))+1)),"")</f>
        <v/>
      </c>
    </row>
    <row r="94" spans="27:28" x14ac:dyDescent="0.2">
      <c r="AA94" s="660"/>
      <c r="AB94" s="660" t="str">
        <f>IFERROR(VALUE(RIGHT(AA94,LEN(AA94)-MIN(FIND({0;1;2;3;4;5;6;7;8;9},AA94&amp;"0123456789"))+1)),"")</f>
        <v/>
      </c>
    </row>
    <row r="95" spans="27:28" x14ac:dyDescent="0.2">
      <c r="AA95" s="660"/>
      <c r="AB95" s="660" t="str">
        <f>IFERROR(VALUE(RIGHT(AA95,LEN(AA95)-MIN(FIND({0;1;2;3;4;5;6;7;8;9},AA95&amp;"0123456789"))+1)),"")</f>
        <v/>
      </c>
    </row>
    <row r="96" spans="27:28" x14ac:dyDescent="0.2">
      <c r="AA96" s="660"/>
      <c r="AB96" s="660" t="str">
        <f>IFERROR(VALUE(RIGHT(AA96,LEN(AA96)-MIN(FIND({0;1;2;3;4;5;6;7;8;9},AA96&amp;"0123456789"))+1)),"")</f>
        <v/>
      </c>
    </row>
    <row r="97" spans="27:28" x14ac:dyDescent="0.2">
      <c r="AA97" s="660"/>
      <c r="AB97" s="660" t="str">
        <f>IFERROR(VALUE(RIGHT(AA97,LEN(AA97)-MIN(FIND({0;1;2;3;4;5;6;7;8;9},AA97&amp;"0123456789"))+1)),"")</f>
        <v/>
      </c>
    </row>
    <row r="98" spans="27:28" x14ac:dyDescent="0.2">
      <c r="AA98" s="660"/>
      <c r="AB98" s="660" t="str">
        <f>IFERROR(VALUE(RIGHT(AA98,LEN(AA98)-MIN(FIND({0;1;2;3;4;5;6;7;8;9},AA98&amp;"0123456789"))+1)),"")</f>
        <v/>
      </c>
    </row>
    <row r="99" spans="27:28" x14ac:dyDescent="0.2">
      <c r="AA99" s="660"/>
      <c r="AB99" s="660" t="str">
        <f>IFERROR(VALUE(RIGHT(AA99,LEN(AA99)-MIN(FIND({0;1;2;3;4;5;6;7;8;9},AA99&amp;"0123456789"))+1)),"")</f>
        <v/>
      </c>
    </row>
    <row r="100" spans="27:28" x14ac:dyDescent="0.2">
      <c r="AA100" s="660"/>
      <c r="AB100" s="660" t="str">
        <f>IFERROR(VALUE(RIGHT(AA100,LEN(AA100)-MIN(FIND({0;1;2;3;4;5;6;7;8;9},AA100&amp;"0123456789"))+1)),"")</f>
        <v/>
      </c>
    </row>
    <row r="101" spans="27:28" x14ac:dyDescent="0.2">
      <c r="AA101" s="660"/>
      <c r="AB101" s="660" t="str">
        <f>IFERROR(VALUE(RIGHT(AA101,LEN(AA101)-MIN(FIND({0;1;2;3;4;5;6;7;8;9},AA101&amp;"0123456789"))+1)),"")</f>
        <v/>
      </c>
    </row>
    <row r="102" spans="27:28" x14ac:dyDescent="0.2">
      <c r="AA102" s="660"/>
      <c r="AB102" s="660" t="str">
        <f>IFERROR(VALUE(RIGHT(AA102,LEN(AA102)-MIN(FIND({0;1;2;3;4;5;6;7;8;9},AA102&amp;"0123456789"))+1)),"")</f>
        <v/>
      </c>
    </row>
    <row r="103" spans="27:28" x14ac:dyDescent="0.2">
      <c r="AA103" s="660"/>
      <c r="AB103" s="660" t="str">
        <f>IFERROR(VALUE(RIGHT(AA103,LEN(AA103)-MIN(FIND({0;1;2;3;4;5;6;7;8;9},AA103&amp;"0123456789"))+1)),"")</f>
        <v/>
      </c>
    </row>
    <row r="104" spans="27:28" x14ac:dyDescent="0.2">
      <c r="AA104" s="660"/>
      <c r="AB104" s="660" t="str">
        <f>IFERROR(VALUE(RIGHT(AA104,LEN(AA104)-MIN(FIND({0;1;2;3;4;5;6;7;8;9},AA104&amp;"0123456789"))+1)),"")</f>
        <v/>
      </c>
    </row>
    <row r="105" spans="27:28" x14ac:dyDescent="0.2">
      <c r="AA105" s="660"/>
      <c r="AB105" s="660" t="str">
        <f>IFERROR(VALUE(RIGHT(AA105,LEN(AA105)-MIN(FIND({0;1;2;3;4;5;6;7;8;9},AA105&amp;"0123456789"))+1)),"")</f>
        <v/>
      </c>
    </row>
    <row r="106" spans="27:28" x14ac:dyDescent="0.2">
      <c r="AA106" s="660"/>
      <c r="AB106" s="660" t="str">
        <f>IFERROR(VALUE(RIGHT(AA106,LEN(AA106)-MIN(FIND({0;1;2;3;4;5;6;7;8;9},AA106&amp;"0123456789"))+1)),"")</f>
        <v/>
      </c>
    </row>
    <row r="107" spans="27:28" x14ac:dyDescent="0.2">
      <c r="AA107" s="660"/>
      <c r="AB107" s="660" t="str">
        <f>IFERROR(VALUE(RIGHT(AA107,LEN(AA107)-MIN(FIND({0;1;2;3;4;5;6;7;8;9},AA107&amp;"0123456789"))+1)),"")</f>
        <v/>
      </c>
    </row>
    <row r="108" spans="27:28" x14ac:dyDescent="0.2">
      <c r="AA108" s="660"/>
      <c r="AB108" s="660" t="str">
        <f>IFERROR(VALUE(RIGHT(AA108,LEN(AA108)-MIN(FIND({0;1;2;3;4;5;6;7;8;9},AA108&amp;"0123456789"))+1)),"")</f>
        <v/>
      </c>
    </row>
    <row r="109" spans="27:28" x14ac:dyDescent="0.2">
      <c r="AA109" s="660"/>
      <c r="AB109" s="660" t="str">
        <f>IFERROR(VALUE(RIGHT(AA109,LEN(AA109)-MIN(FIND({0;1;2;3;4;5;6;7;8;9},AA109&amp;"0123456789"))+1)),"")</f>
        <v/>
      </c>
    </row>
    <row r="110" spans="27:28" x14ac:dyDescent="0.2">
      <c r="AA110" s="660"/>
      <c r="AB110" s="660" t="str">
        <f>IFERROR(VALUE(RIGHT(AA110,LEN(AA110)-MIN(FIND({0;1;2;3;4;5;6;7;8;9},AA110&amp;"0123456789"))+1)),"")</f>
        <v/>
      </c>
    </row>
    <row r="111" spans="27:28" x14ac:dyDescent="0.2">
      <c r="AA111" s="660"/>
      <c r="AB111" s="660" t="str">
        <f>IFERROR(VALUE(RIGHT(AA111,LEN(AA111)-MIN(FIND({0;1;2;3;4;5;6;7;8;9},AA111&amp;"0123456789"))+1)),"")</f>
        <v/>
      </c>
    </row>
    <row r="112" spans="27:28" x14ac:dyDescent="0.2">
      <c r="AA112" s="660"/>
      <c r="AB112" s="660" t="str">
        <f>IFERROR(VALUE(RIGHT(AA112,LEN(AA112)-MIN(FIND({0;1;2;3;4;5;6;7;8;9},AA112&amp;"0123456789"))+1)),"")</f>
        <v/>
      </c>
    </row>
    <row r="113" spans="27:28" x14ac:dyDescent="0.2">
      <c r="AA113" s="660"/>
      <c r="AB113" s="660" t="str">
        <f>IFERROR(VALUE(RIGHT(AA113,LEN(AA113)-MIN(FIND({0;1;2;3;4;5;6;7;8;9},AA113&amp;"0123456789"))+1)),"")</f>
        <v/>
      </c>
    </row>
    <row r="114" spans="27:28" x14ac:dyDescent="0.2">
      <c r="AA114" s="660"/>
      <c r="AB114" s="660" t="str">
        <f>IFERROR(VALUE(RIGHT(AA114,LEN(AA114)-MIN(FIND({0;1;2;3;4;5;6;7;8;9},AA114&amp;"0123456789"))+1)),"")</f>
        <v/>
      </c>
    </row>
    <row r="115" spans="27:28" x14ac:dyDescent="0.2">
      <c r="AA115" s="660"/>
      <c r="AB115" s="660" t="str">
        <f>IFERROR(VALUE(RIGHT(AA115,LEN(AA115)-MIN(FIND({0;1;2;3;4;5;6;7;8;9},AA115&amp;"0123456789"))+1)),"")</f>
        <v/>
      </c>
    </row>
    <row r="116" spans="27:28" x14ac:dyDescent="0.2">
      <c r="AA116" s="660"/>
      <c r="AB116" s="660" t="str">
        <f>IFERROR(VALUE(RIGHT(AA116,LEN(AA116)-MIN(FIND({0;1;2;3;4;5;6;7;8;9},AA116&amp;"0123456789"))+1)),"")</f>
        <v/>
      </c>
    </row>
    <row r="117" spans="27:28" x14ac:dyDescent="0.2">
      <c r="AA117" s="660"/>
      <c r="AB117" s="660" t="str">
        <f>IFERROR(VALUE(RIGHT(AA117,LEN(AA117)-MIN(FIND({0;1;2;3;4;5;6;7;8;9},AA117&amp;"0123456789"))+1)),"")</f>
        <v/>
      </c>
    </row>
    <row r="118" spans="27:28" x14ac:dyDescent="0.2">
      <c r="AA118" s="660"/>
      <c r="AB118" s="660" t="str">
        <f>IFERROR(VALUE(RIGHT(AA118,LEN(AA118)-MIN(FIND({0;1;2;3;4;5;6;7;8;9},AA118&amp;"0123456789"))+1)),"")</f>
        <v/>
      </c>
    </row>
    <row r="119" spans="27:28" x14ac:dyDescent="0.2">
      <c r="AA119" s="660"/>
      <c r="AB119" s="660" t="str">
        <f>IFERROR(VALUE(RIGHT(AA119,LEN(AA119)-MIN(FIND({0;1;2;3;4;5;6;7;8;9},AA119&amp;"0123456789"))+1)),"")</f>
        <v/>
      </c>
    </row>
    <row r="120" spans="27:28" x14ac:dyDescent="0.2">
      <c r="AA120" s="660"/>
      <c r="AB120" s="660" t="str">
        <f>IFERROR(VALUE(RIGHT(AA120,LEN(AA120)-MIN(FIND({0;1;2;3;4;5;6;7;8;9},AA120&amp;"0123456789"))+1)),"")</f>
        <v/>
      </c>
    </row>
    <row r="121" spans="27:28" x14ac:dyDescent="0.2">
      <c r="AA121" s="660"/>
      <c r="AB121" s="660" t="str">
        <f>IFERROR(VALUE(RIGHT(AA121,LEN(AA121)-MIN(FIND({0;1;2;3;4;5;6;7;8;9},AA121&amp;"0123456789"))+1)),"")</f>
        <v/>
      </c>
    </row>
    <row r="122" spans="27:28" x14ac:dyDescent="0.2">
      <c r="AA122" s="660"/>
      <c r="AB122" s="660" t="str">
        <f>IFERROR(VALUE(RIGHT(AA122,LEN(AA122)-MIN(FIND({0;1;2;3;4;5;6;7;8;9},AA122&amp;"0123456789"))+1)),"")</f>
        <v/>
      </c>
    </row>
    <row r="123" spans="27:28" x14ac:dyDescent="0.2">
      <c r="AA123" s="660"/>
      <c r="AB123" s="660" t="str">
        <f>IFERROR(VALUE(RIGHT(AA123,LEN(AA123)-MIN(FIND({0;1;2;3;4;5;6;7;8;9},AA123&amp;"0123456789"))+1)),"")</f>
        <v/>
      </c>
    </row>
    <row r="124" spans="27:28" x14ac:dyDescent="0.2">
      <c r="AA124" s="660"/>
      <c r="AB124" s="660" t="str">
        <f>IFERROR(VALUE(RIGHT(AA124,LEN(AA124)-MIN(FIND({0;1;2;3;4;5;6;7;8;9},AA124&amp;"0123456789"))+1)),"")</f>
        <v/>
      </c>
    </row>
    <row r="125" spans="27:28" x14ac:dyDescent="0.2">
      <c r="AA125" s="660"/>
      <c r="AB125" s="660" t="str">
        <f>IFERROR(VALUE(RIGHT(AA125,LEN(AA125)-MIN(FIND({0;1;2;3;4;5;6;7;8;9},AA125&amp;"0123456789"))+1)),"")</f>
        <v/>
      </c>
    </row>
    <row r="126" spans="27:28" x14ac:dyDescent="0.2">
      <c r="AA126" s="660"/>
      <c r="AB126" s="660" t="str">
        <f>IFERROR(VALUE(RIGHT(AA126,LEN(AA126)-MIN(FIND({0;1;2;3;4;5;6;7;8;9},AA126&amp;"0123456789"))+1)),"")</f>
        <v/>
      </c>
    </row>
    <row r="127" spans="27:28" x14ac:dyDescent="0.2">
      <c r="AA127" s="660"/>
      <c r="AB127" s="660" t="str">
        <f>IFERROR(VALUE(RIGHT(AA127,LEN(AA127)-MIN(FIND({0;1;2;3;4;5;6;7;8;9},AA127&amp;"0123456789"))+1)),"")</f>
        <v/>
      </c>
    </row>
    <row r="128" spans="27:28" x14ac:dyDescent="0.2">
      <c r="AA128" s="660"/>
      <c r="AB128" s="660" t="str">
        <f>IFERROR(VALUE(RIGHT(AA128,LEN(AA128)-MIN(FIND({0;1;2;3;4;5;6;7;8;9},AA128&amp;"0123456789"))+1)),"")</f>
        <v/>
      </c>
    </row>
    <row r="129" spans="27:28" x14ac:dyDescent="0.2">
      <c r="AA129" s="660"/>
      <c r="AB129" s="660" t="str">
        <f>IFERROR(VALUE(RIGHT(AA129,LEN(AA129)-MIN(FIND({0;1;2;3;4;5;6;7;8;9},AA129&amp;"0123456789"))+1)),"")</f>
        <v/>
      </c>
    </row>
    <row r="130" spans="27:28" x14ac:dyDescent="0.2">
      <c r="AA130" s="660"/>
      <c r="AB130" s="660" t="str">
        <f>IFERROR(VALUE(RIGHT(AA130,LEN(AA130)-MIN(FIND({0;1;2;3;4;5;6;7;8;9},AA130&amp;"0123456789"))+1)),"")</f>
        <v/>
      </c>
    </row>
    <row r="131" spans="27:28" x14ac:dyDescent="0.2">
      <c r="AA131" s="660"/>
      <c r="AB131" s="660" t="str">
        <f>IFERROR(VALUE(RIGHT(AA131,LEN(AA131)-MIN(FIND({0;1;2;3;4;5;6;7;8;9},AA131&amp;"0123456789"))+1)),"")</f>
        <v/>
      </c>
    </row>
    <row r="132" spans="27:28" x14ac:dyDescent="0.2">
      <c r="AA132" s="660"/>
      <c r="AB132" s="660" t="str">
        <f>IFERROR(VALUE(RIGHT(AA132,LEN(AA132)-MIN(FIND({0;1;2;3;4;5;6;7;8;9},AA132&amp;"0123456789"))+1)),"")</f>
        <v/>
      </c>
    </row>
    <row r="133" spans="27:28" x14ac:dyDescent="0.2">
      <c r="AA133" s="660"/>
      <c r="AB133" s="660" t="str">
        <f>IFERROR(VALUE(RIGHT(AA133,LEN(AA133)-MIN(FIND({0;1;2;3;4;5;6;7;8;9},AA133&amp;"0123456789"))+1)),"")</f>
        <v/>
      </c>
    </row>
    <row r="134" spans="27:28" x14ac:dyDescent="0.2">
      <c r="AA134" s="660"/>
      <c r="AB134" s="660" t="str">
        <f>IFERROR(VALUE(RIGHT(AA134,LEN(AA134)-MIN(FIND({0;1;2;3;4;5;6;7;8;9},AA134&amp;"0123456789"))+1)),"")</f>
        <v/>
      </c>
    </row>
    <row r="135" spans="27:28" x14ac:dyDescent="0.2">
      <c r="AA135" s="660"/>
      <c r="AB135" s="660" t="str">
        <f>IFERROR(VALUE(RIGHT(AA135,LEN(AA135)-MIN(FIND({0;1;2;3;4;5;6;7;8;9},AA135&amp;"0123456789"))+1)),"")</f>
        <v/>
      </c>
    </row>
    <row r="136" spans="27:28" x14ac:dyDescent="0.2">
      <c r="AA136" s="660"/>
      <c r="AB136" s="660" t="str">
        <f>IFERROR(VALUE(RIGHT(AA136,LEN(AA136)-MIN(FIND({0;1;2;3;4;5;6;7;8;9},AA136&amp;"0123456789"))+1)),"")</f>
        <v/>
      </c>
    </row>
    <row r="137" spans="27:28" x14ac:dyDescent="0.2">
      <c r="AA137" s="660"/>
      <c r="AB137" s="660" t="str">
        <f>IFERROR(VALUE(RIGHT(AA137,LEN(AA137)-MIN(FIND({0;1;2;3;4;5;6;7;8;9},AA137&amp;"0123456789"))+1)),"")</f>
        <v/>
      </c>
    </row>
    <row r="138" spans="27:28" x14ac:dyDescent="0.2">
      <c r="AA138" s="660"/>
      <c r="AB138" s="660" t="str">
        <f>IFERROR(VALUE(RIGHT(AA138,LEN(AA138)-MIN(FIND({0;1;2;3;4;5;6;7;8;9},AA138&amp;"0123456789"))+1)),"")</f>
        <v/>
      </c>
    </row>
    <row r="139" spans="27:28" x14ac:dyDescent="0.2">
      <c r="AA139" s="660"/>
      <c r="AB139" s="660" t="str">
        <f>IFERROR(VALUE(RIGHT(AA139,LEN(AA139)-MIN(FIND({0;1;2;3;4;5;6;7;8;9},AA139&amp;"0123456789"))+1)),"")</f>
        <v/>
      </c>
    </row>
    <row r="140" spans="27:28" x14ac:dyDescent="0.2">
      <c r="AA140" s="660"/>
      <c r="AB140" s="660" t="str">
        <f>IFERROR(VALUE(RIGHT(AA140,LEN(AA140)-MIN(FIND({0;1;2;3;4;5;6;7;8;9},AA140&amp;"0123456789"))+1)),"")</f>
        <v/>
      </c>
    </row>
    <row r="141" spans="27:28" x14ac:dyDescent="0.2">
      <c r="AA141" s="660"/>
      <c r="AB141" s="660" t="str">
        <f>IFERROR(VALUE(RIGHT(AA141,LEN(AA141)-MIN(FIND({0;1;2;3;4;5;6;7;8;9},AA141&amp;"0123456789"))+1)),"")</f>
        <v/>
      </c>
    </row>
    <row r="142" spans="27:28" x14ac:dyDescent="0.2">
      <c r="AA142" s="660"/>
      <c r="AB142" s="660" t="str">
        <f>IFERROR(VALUE(RIGHT(AA142,LEN(AA142)-MIN(FIND({0;1;2;3;4;5;6;7;8;9},AA142&amp;"0123456789"))+1)),"")</f>
        <v/>
      </c>
    </row>
    <row r="143" spans="27:28" x14ac:dyDescent="0.2">
      <c r="AA143" s="660"/>
      <c r="AB143" s="660" t="str">
        <f>IFERROR(VALUE(RIGHT(AA143,LEN(AA143)-MIN(FIND({0;1;2;3;4;5;6;7;8;9},AA143&amp;"0123456789"))+1)),"")</f>
        <v/>
      </c>
    </row>
    <row r="144" spans="27:28" x14ac:dyDescent="0.2">
      <c r="AA144" s="660"/>
      <c r="AB144" s="660" t="str">
        <f>IFERROR(VALUE(RIGHT(AA144,LEN(AA144)-MIN(FIND({0;1;2;3;4;5;6;7;8;9},AA144&amp;"0123456789"))+1)),"")</f>
        <v/>
      </c>
    </row>
    <row r="145" spans="27:28" x14ac:dyDescent="0.2">
      <c r="AA145" s="660"/>
      <c r="AB145" s="660" t="str">
        <f>IFERROR(VALUE(RIGHT(AA145,LEN(AA145)-MIN(FIND({0;1;2;3;4;5;6;7;8;9},AA145&amp;"0123456789"))+1)),"")</f>
        <v/>
      </c>
    </row>
    <row r="146" spans="27:28" x14ac:dyDescent="0.2">
      <c r="AA146" s="660"/>
      <c r="AB146" s="660" t="str">
        <f>IFERROR(VALUE(RIGHT(AA146,LEN(AA146)-MIN(FIND({0;1;2;3;4;5;6;7;8;9},AA146&amp;"0123456789"))+1)),"")</f>
        <v/>
      </c>
    </row>
    <row r="147" spans="27:28" x14ac:dyDescent="0.2">
      <c r="AA147" s="660"/>
      <c r="AB147" s="660" t="str">
        <f>IFERROR(VALUE(RIGHT(AA147,LEN(AA147)-MIN(FIND({0;1;2;3;4;5;6;7;8;9},AA147&amp;"0123456789"))+1)),"")</f>
        <v/>
      </c>
    </row>
    <row r="148" spans="27:28" x14ac:dyDescent="0.2">
      <c r="AA148" s="660"/>
      <c r="AB148" s="660" t="str">
        <f>IFERROR(VALUE(RIGHT(AA148,LEN(AA148)-MIN(FIND({0;1;2;3;4;5;6;7;8;9},AA148&amp;"0123456789"))+1)),"")</f>
        <v/>
      </c>
    </row>
    <row r="149" spans="27:28" x14ac:dyDescent="0.2">
      <c r="AA149" s="660"/>
      <c r="AB149" s="660" t="str">
        <f>IFERROR(VALUE(RIGHT(AA149,LEN(AA149)-MIN(FIND({0;1;2;3;4;5;6;7;8;9},AA149&amp;"0123456789"))+1)),"")</f>
        <v/>
      </c>
    </row>
    <row r="150" spans="27:28" x14ac:dyDescent="0.2">
      <c r="AA150" s="660"/>
      <c r="AB150" s="660" t="str">
        <f>IFERROR(VALUE(RIGHT(AA150,LEN(AA150)-MIN(FIND({0;1;2;3;4;5;6;7;8;9},AA150&amp;"0123456789"))+1)),"")</f>
        <v/>
      </c>
    </row>
    <row r="151" spans="27:28" x14ac:dyDescent="0.2">
      <c r="AA151" s="660"/>
      <c r="AB151" s="660" t="str">
        <f>IFERROR(VALUE(RIGHT(AA151,LEN(AA151)-MIN(FIND({0;1;2;3;4;5;6;7;8;9},AA151&amp;"0123456789"))+1)),"")</f>
        <v/>
      </c>
    </row>
    <row r="152" spans="27:28" x14ac:dyDescent="0.2">
      <c r="AA152" s="660"/>
      <c r="AB152" s="660" t="str">
        <f>IFERROR(VALUE(RIGHT(AA152,LEN(AA152)-MIN(FIND({0;1;2;3;4;5;6;7;8;9},AA152&amp;"0123456789"))+1)),"")</f>
        <v/>
      </c>
    </row>
    <row r="153" spans="27:28" x14ac:dyDescent="0.2">
      <c r="AA153" s="660"/>
      <c r="AB153" s="660" t="str">
        <f>IFERROR(VALUE(RIGHT(AA153,LEN(AA153)-MIN(FIND({0;1;2;3;4;5;6;7;8;9},AA153&amp;"0123456789"))+1)),"")</f>
        <v/>
      </c>
    </row>
    <row r="154" spans="27:28" x14ac:dyDescent="0.2">
      <c r="AA154" s="660"/>
      <c r="AB154" s="660" t="str">
        <f>IFERROR(VALUE(RIGHT(AA154,LEN(AA154)-MIN(FIND({0;1;2;3;4;5;6;7;8;9},AA154&amp;"0123456789"))+1)),"")</f>
        <v/>
      </c>
    </row>
    <row r="155" spans="27:28" x14ac:dyDescent="0.2">
      <c r="AA155" s="660"/>
      <c r="AB155" s="660" t="str">
        <f>IFERROR(VALUE(RIGHT(AA155,LEN(AA155)-MIN(FIND({0;1;2;3;4;5;6;7;8;9},AA155&amp;"0123456789"))+1)),"")</f>
        <v/>
      </c>
    </row>
    <row r="156" spans="27:28" x14ac:dyDescent="0.2">
      <c r="AA156" s="660"/>
      <c r="AB156" s="660" t="str">
        <f>IFERROR(VALUE(RIGHT(AA156,LEN(AA156)-MIN(FIND({0;1;2;3;4;5;6;7;8;9},AA156&amp;"0123456789"))+1)),"")</f>
        <v/>
      </c>
    </row>
    <row r="157" spans="27:28" x14ac:dyDescent="0.2">
      <c r="AA157" s="660"/>
      <c r="AB157" s="660" t="str">
        <f>IFERROR(VALUE(RIGHT(AA157,LEN(AA157)-MIN(FIND({0;1;2;3;4;5;6;7;8;9},AA157&amp;"0123456789"))+1)),"")</f>
        <v/>
      </c>
    </row>
    <row r="158" spans="27:28" x14ac:dyDescent="0.2">
      <c r="AA158" s="660"/>
      <c r="AB158" s="660" t="str">
        <f>IFERROR(VALUE(RIGHT(AA158,LEN(AA158)-MIN(FIND({0;1;2;3;4;5;6;7;8;9},AA158&amp;"0123456789"))+1)),"")</f>
        <v/>
      </c>
    </row>
    <row r="159" spans="27:28" x14ac:dyDescent="0.2">
      <c r="AA159" s="660"/>
      <c r="AB159" s="660" t="str">
        <f>IFERROR(VALUE(RIGHT(AA159,LEN(AA159)-MIN(FIND({0;1;2;3;4;5;6;7;8;9},AA159&amp;"0123456789"))+1)),"")</f>
        <v/>
      </c>
    </row>
    <row r="160" spans="27:28" x14ac:dyDescent="0.2">
      <c r="AA160" s="660"/>
      <c r="AB160" s="660" t="str">
        <f>IFERROR(VALUE(RIGHT(AA160,LEN(AA160)-MIN(FIND({0;1;2;3;4;5;6;7;8;9},AA160&amp;"0123456789"))+1)),"")</f>
        <v/>
      </c>
    </row>
    <row r="161" spans="27:28" x14ac:dyDescent="0.2">
      <c r="AA161" s="660"/>
      <c r="AB161" s="660" t="str">
        <f>IFERROR(VALUE(RIGHT(AA161,LEN(AA161)-MIN(FIND({0;1;2;3;4;5;6;7;8;9},AA161&amp;"0123456789"))+1)),"")</f>
        <v/>
      </c>
    </row>
    <row r="162" spans="27:28" x14ac:dyDescent="0.2">
      <c r="AA162" s="660"/>
      <c r="AB162" s="660" t="str">
        <f>IFERROR(VALUE(RIGHT(AA162,LEN(AA162)-MIN(FIND({0;1;2;3;4;5;6;7;8;9},AA162&amp;"0123456789"))+1)),"")</f>
        <v/>
      </c>
    </row>
    <row r="163" spans="27:28" x14ac:dyDescent="0.2">
      <c r="AA163" s="660"/>
      <c r="AB163" s="660" t="str">
        <f>IFERROR(VALUE(RIGHT(AA163,LEN(AA163)-MIN(FIND({0;1;2;3;4;5;6;7;8;9},AA163&amp;"0123456789"))+1)),"")</f>
        <v/>
      </c>
    </row>
    <row r="164" spans="27:28" x14ac:dyDescent="0.2">
      <c r="AA164" s="660"/>
      <c r="AB164" s="660" t="str">
        <f>IFERROR(VALUE(RIGHT(AA164,LEN(AA164)-MIN(FIND({0;1;2;3;4;5;6;7;8;9},AA164&amp;"0123456789"))+1)),"")</f>
        <v/>
      </c>
    </row>
    <row r="165" spans="27:28" x14ac:dyDescent="0.2">
      <c r="AA165" s="660"/>
      <c r="AB165" s="660" t="str">
        <f>IFERROR(VALUE(RIGHT(AA165,LEN(AA165)-MIN(FIND({0;1;2;3;4;5;6;7;8;9},AA165&amp;"0123456789"))+1)),"")</f>
        <v/>
      </c>
    </row>
    <row r="166" spans="27:28" x14ac:dyDescent="0.2">
      <c r="AA166" s="660"/>
      <c r="AB166" s="660" t="str">
        <f>IFERROR(VALUE(RIGHT(AA166,LEN(AA166)-MIN(FIND({0;1;2;3;4;5;6;7;8;9},AA166&amp;"0123456789"))+1)),"")</f>
        <v/>
      </c>
    </row>
    <row r="167" spans="27:28" x14ac:dyDescent="0.2">
      <c r="AA167" s="660"/>
      <c r="AB167" s="660" t="str">
        <f>IFERROR(VALUE(RIGHT(AA167,LEN(AA167)-MIN(FIND({0;1;2;3;4;5;6;7;8;9},AA167&amp;"0123456789"))+1)),"")</f>
        <v/>
      </c>
    </row>
    <row r="168" spans="27:28" x14ac:dyDescent="0.2">
      <c r="AA168" s="660"/>
      <c r="AB168" s="660" t="str">
        <f>IFERROR(VALUE(RIGHT(AA168,LEN(AA168)-MIN(FIND({0;1;2;3;4;5;6;7;8;9},AA168&amp;"0123456789"))+1)),"")</f>
        <v/>
      </c>
    </row>
    <row r="169" spans="27:28" x14ac:dyDescent="0.2">
      <c r="AA169" s="660"/>
      <c r="AB169" s="660" t="str">
        <f>IFERROR(VALUE(RIGHT(AA169,LEN(AA169)-MIN(FIND({0;1;2;3;4;5;6;7;8;9},AA169&amp;"0123456789"))+1)),"")</f>
        <v/>
      </c>
    </row>
    <row r="170" spans="27:28" x14ac:dyDescent="0.2">
      <c r="AA170" s="660"/>
      <c r="AB170" s="660" t="str">
        <f>IFERROR(VALUE(RIGHT(AA170,LEN(AA170)-MIN(FIND({0;1;2;3;4;5;6;7;8;9},AA170&amp;"0123456789"))+1)),"")</f>
        <v/>
      </c>
    </row>
    <row r="171" spans="27:28" x14ac:dyDescent="0.2">
      <c r="AA171" s="660"/>
      <c r="AB171" s="660" t="str">
        <f>IFERROR(VALUE(RIGHT(AA171,LEN(AA171)-MIN(FIND({0;1;2;3;4;5;6;7;8;9},AA171&amp;"0123456789"))+1)),"")</f>
        <v/>
      </c>
    </row>
    <row r="172" spans="27:28" x14ac:dyDescent="0.2">
      <c r="AA172" s="660"/>
      <c r="AB172" s="660" t="str">
        <f>IFERROR(VALUE(RIGHT(AA172,LEN(AA172)-MIN(FIND({0;1;2;3;4;5;6;7;8;9},AA172&amp;"0123456789"))+1)),"")</f>
        <v/>
      </c>
    </row>
    <row r="173" spans="27:28" x14ac:dyDescent="0.2">
      <c r="AA173" s="660"/>
      <c r="AB173" s="660" t="str">
        <f>IFERROR(VALUE(RIGHT(AA173,LEN(AA173)-MIN(FIND({0;1;2;3;4;5;6;7;8;9},AA173&amp;"0123456789"))+1)),"")</f>
        <v/>
      </c>
    </row>
    <row r="174" spans="27:28" x14ac:dyDescent="0.2">
      <c r="AA174" s="660"/>
      <c r="AB174" s="660" t="str">
        <f>IFERROR(VALUE(RIGHT(AA174,LEN(AA174)-MIN(FIND({0;1;2;3;4;5;6;7;8;9},AA174&amp;"0123456789"))+1)),"")</f>
        <v/>
      </c>
    </row>
    <row r="175" spans="27:28" x14ac:dyDescent="0.2">
      <c r="AA175" s="660"/>
      <c r="AB175" s="660" t="str">
        <f>IFERROR(VALUE(RIGHT(AA175,LEN(AA175)-MIN(FIND({0;1;2;3;4;5;6;7;8;9},AA175&amp;"0123456789"))+1)),"")</f>
        <v/>
      </c>
    </row>
    <row r="176" spans="27:28" x14ac:dyDescent="0.2">
      <c r="AA176" s="660"/>
      <c r="AB176" s="660" t="str">
        <f>IFERROR(VALUE(RIGHT(AA176,LEN(AA176)-MIN(FIND({0;1;2;3;4;5;6;7;8;9},AA176&amp;"0123456789"))+1)),"")</f>
        <v/>
      </c>
    </row>
    <row r="177" spans="27:28" x14ac:dyDescent="0.2">
      <c r="AA177" s="660"/>
      <c r="AB177" s="660" t="str">
        <f>IFERROR(VALUE(RIGHT(AA177,LEN(AA177)-MIN(FIND({0;1;2;3;4;5;6;7;8;9},AA177&amp;"0123456789"))+1)),"")</f>
        <v/>
      </c>
    </row>
    <row r="178" spans="27:28" x14ac:dyDescent="0.2">
      <c r="AA178" s="660"/>
      <c r="AB178" s="660" t="str">
        <f>IFERROR(VALUE(RIGHT(AA178,LEN(AA178)-MIN(FIND({0;1;2;3;4;5;6;7;8;9},AA178&amp;"0123456789"))+1)),"")</f>
        <v/>
      </c>
    </row>
    <row r="179" spans="27:28" x14ac:dyDescent="0.2">
      <c r="AA179" s="660"/>
      <c r="AB179" s="660" t="str">
        <f>IFERROR(VALUE(RIGHT(AA179,LEN(AA179)-MIN(FIND({0;1;2;3;4;5;6;7;8;9},AA179&amp;"0123456789"))+1)),"")</f>
        <v/>
      </c>
    </row>
    <row r="180" spans="27:28" x14ac:dyDescent="0.2">
      <c r="AA180" s="660"/>
      <c r="AB180" s="660" t="str">
        <f>IFERROR(VALUE(RIGHT(AA180,LEN(AA180)-MIN(FIND({0;1;2;3;4;5;6;7;8;9},AA180&amp;"0123456789"))+1)),"")</f>
        <v/>
      </c>
    </row>
    <row r="181" spans="27:28" x14ac:dyDescent="0.2">
      <c r="AA181" s="660"/>
      <c r="AB181" s="660" t="str">
        <f>IFERROR(VALUE(RIGHT(AA181,LEN(AA181)-MIN(FIND({0;1;2;3;4;5;6;7;8;9},AA181&amp;"0123456789"))+1)),"")</f>
        <v/>
      </c>
    </row>
    <row r="182" spans="27:28" x14ac:dyDescent="0.2">
      <c r="AA182" s="660"/>
      <c r="AB182" s="660" t="str">
        <f>IFERROR(VALUE(RIGHT(AA182,LEN(AA182)-MIN(FIND({0;1;2;3;4;5;6;7;8;9},AA182&amp;"0123456789"))+1)),"")</f>
        <v/>
      </c>
    </row>
    <row r="183" spans="27:28" x14ac:dyDescent="0.2">
      <c r="AA183" s="660"/>
      <c r="AB183" s="660" t="str">
        <f>IFERROR(VALUE(RIGHT(AA183,LEN(AA183)-MIN(FIND({0;1;2;3;4;5;6;7;8;9},AA183&amp;"0123456789"))+1)),"")</f>
        <v/>
      </c>
    </row>
    <row r="184" spans="27:28" x14ac:dyDescent="0.2">
      <c r="AA184" s="660"/>
      <c r="AB184" s="660" t="str">
        <f>IFERROR(VALUE(RIGHT(AA184,LEN(AA184)-MIN(FIND({0;1;2;3;4;5;6;7;8;9},AA184&amp;"0123456789"))+1)),"")</f>
        <v/>
      </c>
    </row>
    <row r="185" spans="27:28" x14ac:dyDescent="0.2">
      <c r="AA185" s="660"/>
      <c r="AB185" s="660" t="str">
        <f>IFERROR(VALUE(RIGHT(AA185,LEN(AA185)-MIN(FIND({0;1;2;3;4;5;6;7;8;9},AA185&amp;"0123456789"))+1)),"")</f>
        <v/>
      </c>
    </row>
    <row r="186" spans="27:28" x14ac:dyDescent="0.2">
      <c r="AA186" s="660"/>
      <c r="AB186" s="660" t="str">
        <f>IFERROR(VALUE(RIGHT(AA186,LEN(AA186)-MIN(FIND({0;1;2;3;4;5;6;7;8;9},AA186&amp;"0123456789"))+1)),"")</f>
        <v/>
      </c>
    </row>
    <row r="187" spans="27:28" x14ac:dyDescent="0.2">
      <c r="AA187" s="660"/>
      <c r="AB187" s="660" t="str">
        <f>IFERROR(VALUE(RIGHT(AA187,LEN(AA187)-MIN(FIND({0;1;2;3;4;5;6;7;8;9},AA187&amp;"0123456789"))+1)),"")</f>
        <v/>
      </c>
    </row>
    <row r="188" spans="27:28" x14ac:dyDescent="0.2">
      <c r="AA188" s="660"/>
      <c r="AB188" s="660" t="str">
        <f>IFERROR(VALUE(RIGHT(AA188,LEN(AA188)-MIN(FIND({0;1;2;3;4;5;6;7;8;9},AA188&amp;"0123456789"))+1)),"")</f>
        <v/>
      </c>
    </row>
    <row r="189" spans="27:28" x14ac:dyDescent="0.2">
      <c r="AA189" s="660"/>
      <c r="AB189" s="660" t="str">
        <f>IFERROR(VALUE(RIGHT(AA189,LEN(AA189)-MIN(FIND({0;1;2;3;4;5;6;7;8;9},AA189&amp;"0123456789"))+1)),"")</f>
        <v/>
      </c>
    </row>
    <row r="190" spans="27:28" x14ac:dyDescent="0.2">
      <c r="AA190" s="660"/>
      <c r="AB190" s="660" t="str">
        <f>IFERROR(VALUE(RIGHT(AA190,LEN(AA190)-MIN(FIND({0;1;2;3;4;5;6;7;8;9},AA190&amp;"0123456789"))+1)),"")</f>
        <v/>
      </c>
    </row>
    <row r="191" spans="27:28" x14ac:dyDescent="0.2">
      <c r="AA191" s="660"/>
      <c r="AB191" s="660" t="str">
        <f>IFERROR(VALUE(RIGHT(AA191,LEN(AA191)-MIN(FIND({0;1;2;3;4;5;6;7;8;9},AA191&amp;"0123456789"))+1)),"")</f>
        <v/>
      </c>
    </row>
    <row r="192" spans="27:28" x14ac:dyDescent="0.2">
      <c r="AA192" s="660"/>
      <c r="AB192" s="660" t="str">
        <f>IFERROR(VALUE(RIGHT(AA192,LEN(AA192)-MIN(FIND({0;1;2;3;4;5;6;7;8;9},AA192&amp;"0123456789"))+1)),"")</f>
        <v/>
      </c>
    </row>
    <row r="193" spans="27:28" x14ac:dyDescent="0.2">
      <c r="AA193" s="660"/>
      <c r="AB193" s="660" t="str">
        <f>IFERROR(VALUE(RIGHT(AA193,LEN(AA193)-MIN(FIND({0;1;2;3;4;5;6;7;8;9},AA193&amp;"0123456789"))+1)),"")</f>
        <v/>
      </c>
    </row>
    <row r="194" spans="27:28" x14ac:dyDescent="0.2">
      <c r="AA194" s="660"/>
      <c r="AB194" s="660" t="str">
        <f>IFERROR(VALUE(RIGHT(AA194,LEN(AA194)-MIN(FIND({0;1;2;3;4;5;6;7;8;9},AA194&amp;"0123456789"))+1)),"")</f>
        <v/>
      </c>
    </row>
    <row r="195" spans="27:28" x14ac:dyDescent="0.2">
      <c r="AA195" s="660"/>
      <c r="AB195" s="660" t="str">
        <f>IFERROR(VALUE(RIGHT(AA195,LEN(AA195)-MIN(FIND({0;1;2;3;4;5;6;7;8;9},AA195&amp;"0123456789"))+1)),"")</f>
        <v/>
      </c>
    </row>
    <row r="196" spans="27:28" x14ac:dyDescent="0.2">
      <c r="AA196" s="660"/>
      <c r="AB196" s="660" t="str">
        <f>IFERROR(VALUE(RIGHT(AA196,LEN(AA196)-MIN(FIND({0;1;2;3;4;5;6;7;8;9},AA196&amp;"0123456789"))+1)),"")</f>
        <v/>
      </c>
    </row>
    <row r="197" spans="27:28" x14ac:dyDescent="0.2">
      <c r="AA197" s="660"/>
      <c r="AB197" s="660" t="str">
        <f>IFERROR(VALUE(RIGHT(AA197,LEN(AA197)-MIN(FIND({0;1;2;3;4;5;6;7;8;9},AA197&amp;"0123456789"))+1)),"")</f>
        <v/>
      </c>
    </row>
    <row r="198" spans="27:28" x14ac:dyDescent="0.2">
      <c r="AA198" s="660"/>
      <c r="AB198" s="660" t="str">
        <f>IFERROR(VALUE(RIGHT(AA198,LEN(AA198)-MIN(FIND({0;1;2;3;4;5;6;7;8;9},AA198&amp;"0123456789"))+1)),"")</f>
        <v/>
      </c>
    </row>
    <row r="199" spans="27:28" x14ac:dyDescent="0.2">
      <c r="AA199" s="660"/>
      <c r="AB199" s="660" t="str">
        <f>IFERROR(VALUE(RIGHT(AA199,LEN(AA199)-MIN(FIND({0;1;2;3;4;5;6;7;8;9},AA199&amp;"0123456789"))+1)),"")</f>
        <v/>
      </c>
    </row>
    <row r="200" spans="27:28" x14ac:dyDescent="0.2">
      <c r="AA200" s="660"/>
      <c r="AB200" s="660" t="str">
        <f>IFERROR(VALUE(RIGHT(AA200,LEN(AA200)-MIN(FIND({0;1;2;3;4;5;6;7;8;9},AA200&amp;"0123456789"))+1)),"")</f>
        <v/>
      </c>
    </row>
    <row r="201" spans="27:28" x14ac:dyDescent="0.2">
      <c r="AA201" s="660"/>
      <c r="AB201" s="660" t="str">
        <f>IFERROR(VALUE(RIGHT(AA201,LEN(AA201)-MIN(FIND({0;1;2;3;4;5;6;7;8;9},AA201&amp;"0123456789"))+1)),"")</f>
        <v/>
      </c>
    </row>
    <row r="202" spans="27:28" x14ac:dyDescent="0.2">
      <c r="AA202" s="660"/>
      <c r="AB202" s="660" t="str">
        <f>IFERROR(VALUE(RIGHT(AA202,LEN(AA202)-MIN(FIND({0;1;2;3;4;5;6;7;8;9},AA202&amp;"0123456789"))+1)),"")</f>
        <v/>
      </c>
    </row>
    <row r="203" spans="27:28" x14ac:dyDescent="0.2">
      <c r="AA203" s="660"/>
      <c r="AB203" s="660" t="str">
        <f>IFERROR(VALUE(RIGHT(AA203,LEN(AA203)-MIN(FIND({0;1;2;3;4;5;6;7;8;9},AA203&amp;"0123456789"))+1)),"")</f>
        <v/>
      </c>
    </row>
    <row r="204" spans="27:28" x14ac:dyDescent="0.2">
      <c r="AA204" s="660"/>
      <c r="AB204" s="660" t="str">
        <f>IFERROR(VALUE(RIGHT(AA204,LEN(AA204)-MIN(FIND({0;1;2;3;4;5;6;7;8;9},AA204&amp;"0123456789"))+1)),"")</f>
        <v/>
      </c>
    </row>
    <row r="205" spans="27:28" x14ac:dyDescent="0.2">
      <c r="AA205" s="660"/>
      <c r="AB205" s="660" t="str">
        <f>IFERROR(VALUE(RIGHT(AA205,LEN(AA205)-MIN(FIND({0;1;2;3;4;5;6;7;8;9},AA205&amp;"0123456789"))+1)),"")</f>
        <v/>
      </c>
    </row>
    <row r="206" spans="27:28" x14ac:dyDescent="0.2">
      <c r="AA206" s="660"/>
      <c r="AB206" s="660" t="str">
        <f>IFERROR(VALUE(RIGHT(AA206,LEN(AA206)-MIN(FIND({0;1;2;3;4;5;6;7;8;9},AA206&amp;"0123456789"))+1)),"")</f>
        <v/>
      </c>
    </row>
    <row r="207" spans="27:28" x14ac:dyDescent="0.2">
      <c r="AA207" s="660"/>
      <c r="AB207" s="660" t="str">
        <f>IFERROR(VALUE(RIGHT(AA207,LEN(AA207)-MIN(FIND({0;1;2;3;4;5;6;7;8;9},AA207&amp;"0123456789"))+1)),"")</f>
        <v/>
      </c>
    </row>
    <row r="208" spans="27:28" x14ac:dyDescent="0.2">
      <c r="AA208" s="660"/>
      <c r="AB208" s="660" t="str">
        <f>IFERROR(VALUE(RIGHT(AA208,LEN(AA208)-MIN(FIND({0;1;2;3;4;5;6;7;8;9},AA208&amp;"0123456789"))+1)),"")</f>
        <v/>
      </c>
    </row>
    <row r="209" spans="27:28" x14ac:dyDescent="0.2">
      <c r="AA209" s="660"/>
      <c r="AB209" s="660" t="str">
        <f>IFERROR(VALUE(RIGHT(AA209,LEN(AA209)-MIN(FIND({0;1;2;3;4;5;6;7;8;9},AA209&amp;"0123456789"))+1)),"")</f>
        <v/>
      </c>
    </row>
    <row r="210" spans="27:28" x14ac:dyDescent="0.2">
      <c r="AA210" s="660"/>
      <c r="AB210" s="660" t="str">
        <f>IFERROR(VALUE(RIGHT(AA210,LEN(AA210)-MIN(FIND({0;1;2;3;4;5;6;7;8;9},AA210&amp;"0123456789"))+1)),"")</f>
        <v/>
      </c>
    </row>
    <row r="211" spans="27:28" x14ac:dyDescent="0.2">
      <c r="AA211" s="660"/>
      <c r="AB211" s="660" t="str">
        <f>IFERROR(VALUE(RIGHT(AA211,LEN(AA211)-MIN(FIND({0;1;2;3;4;5;6;7;8;9},AA211&amp;"0123456789"))+1)),"")</f>
        <v/>
      </c>
    </row>
    <row r="212" spans="27:28" x14ac:dyDescent="0.2">
      <c r="AA212" s="660"/>
      <c r="AB212" s="660" t="str">
        <f>IFERROR(VALUE(RIGHT(AA212,LEN(AA212)-MIN(FIND({0;1;2;3;4;5;6;7;8;9},AA212&amp;"0123456789"))+1)),"")</f>
        <v/>
      </c>
    </row>
    <row r="213" spans="27:28" x14ac:dyDescent="0.2">
      <c r="AA213" s="660"/>
      <c r="AB213" s="660" t="str">
        <f>IFERROR(VALUE(RIGHT(AA213,LEN(AA213)-MIN(FIND({0;1;2;3;4;5;6;7;8;9},AA213&amp;"0123456789"))+1)),"")</f>
        <v/>
      </c>
    </row>
    <row r="214" spans="27:28" x14ac:dyDescent="0.2">
      <c r="AA214" s="660"/>
      <c r="AB214" s="660" t="str">
        <f>IFERROR(VALUE(RIGHT(AA214,LEN(AA214)-MIN(FIND({0;1;2;3;4;5;6;7;8;9},AA214&amp;"0123456789"))+1)),"")</f>
        <v/>
      </c>
    </row>
    <row r="215" spans="27:28" x14ac:dyDescent="0.2">
      <c r="AA215" s="660"/>
      <c r="AB215" s="660" t="str">
        <f>IFERROR(VALUE(RIGHT(AA215,LEN(AA215)-MIN(FIND({0;1;2;3;4;5;6;7;8;9},AA215&amp;"0123456789"))+1)),"")</f>
        <v/>
      </c>
    </row>
    <row r="216" spans="27:28" x14ac:dyDescent="0.2">
      <c r="AA216" s="660"/>
      <c r="AB216" s="660" t="str">
        <f>IFERROR(VALUE(RIGHT(AA216,LEN(AA216)-MIN(FIND({0;1;2;3;4;5;6;7;8;9},AA216&amp;"0123456789"))+1)),"")</f>
        <v/>
      </c>
    </row>
    <row r="217" spans="27:28" x14ac:dyDescent="0.2">
      <c r="AA217" s="660"/>
      <c r="AB217" s="660" t="str">
        <f>IFERROR(VALUE(RIGHT(AA217,LEN(AA217)-MIN(FIND({0;1;2;3;4;5;6;7;8;9},AA217&amp;"0123456789"))+1)),"")</f>
        <v/>
      </c>
    </row>
    <row r="218" spans="27:28" x14ac:dyDescent="0.2">
      <c r="AA218" s="660"/>
      <c r="AB218" s="660" t="str">
        <f>IFERROR(VALUE(RIGHT(AA218,LEN(AA218)-MIN(FIND({0;1;2;3;4;5;6;7;8;9},AA218&amp;"0123456789"))+1)),"")</f>
        <v/>
      </c>
    </row>
    <row r="219" spans="27:28" x14ac:dyDescent="0.2">
      <c r="AA219" s="660"/>
      <c r="AB219" s="660" t="str">
        <f>IFERROR(VALUE(RIGHT(AA219,LEN(AA219)-MIN(FIND({0;1;2;3;4;5;6;7;8;9},AA219&amp;"0123456789"))+1)),"")</f>
        <v/>
      </c>
    </row>
    <row r="220" spans="27:28" x14ac:dyDescent="0.2">
      <c r="AA220" s="660"/>
      <c r="AB220" s="660" t="str">
        <f>IFERROR(VALUE(RIGHT(AA220,LEN(AA220)-MIN(FIND({0;1;2;3;4;5;6;7;8;9},AA220&amp;"0123456789"))+1)),"")</f>
        <v/>
      </c>
    </row>
    <row r="221" spans="27:28" x14ac:dyDescent="0.2">
      <c r="AA221" s="660"/>
      <c r="AB221" s="660" t="str">
        <f>IFERROR(VALUE(RIGHT(AA221,LEN(AA221)-MIN(FIND({0;1;2;3;4;5;6;7;8;9},AA221&amp;"0123456789"))+1)),"")</f>
        <v/>
      </c>
    </row>
    <row r="222" spans="27:28" x14ac:dyDescent="0.2">
      <c r="AA222" s="660"/>
      <c r="AB222" s="660" t="str">
        <f>IFERROR(VALUE(RIGHT(AA222,LEN(AA222)-MIN(FIND({0;1;2;3;4;5;6;7;8;9},AA222&amp;"0123456789"))+1)),"")</f>
        <v/>
      </c>
    </row>
    <row r="223" spans="27:28" x14ac:dyDescent="0.2">
      <c r="AA223" s="660"/>
      <c r="AB223" s="660" t="str">
        <f>IFERROR(VALUE(RIGHT(AA223,LEN(AA223)-MIN(FIND({0;1;2;3;4;5;6;7;8;9},AA223&amp;"0123456789"))+1)),"")</f>
        <v/>
      </c>
    </row>
    <row r="224" spans="27:28" x14ac:dyDescent="0.2">
      <c r="AA224" s="660"/>
      <c r="AB224" s="660" t="str">
        <f>IFERROR(VALUE(RIGHT(AA224,LEN(AA224)-MIN(FIND({0;1;2;3;4;5;6;7;8;9},AA224&amp;"0123456789"))+1)),"")</f>
        <v/>
      </c>
    </row>
    <row r="225" spans="27:28" x14ac:dyDescent="0.2">
      <c r="AA225" s="660"/>
      <c r="AB225" s="660" t="str">
        <f>IFERROR(VALUE(RIGHT(AA225,LEN(AA225)-MIN(FIND({0;1;2;3;4;5;6;7;8;9},AA225&amp;"0123456789"))+1)),"")</f>
        <v/>
      </c>
    </row>
    <row r="226" spans="27:28" x14ac:dyDescent="0.2">
      <c r="AA226" s="660"/>
      <c r="AB226" s="660" t="str">
        <f>IFERROR(VALUE(RIGHT(AA226,LEN(AA226)-MIN(FIND({0;1;2;3;4;5;6;7;8;9},AA226&amp;"0123456789"))+1)),"")</f>
        <v/>
      </c>
    </row>
    <row r="227" spans="27:28" x14ac:dyDescent="0.2">
      <c r="AA227" s="660"/>
      <c r="AB227" s="660" t="str">
        <f>IFERROR(VALUE(RIGHT(AA227,LEN(AA227)-MIN(FIND({0;1;2;3;4;5;6;7;8;9},AA227&amp;"0123456789"))+1)),"")</f>
        <v/>
      </c>
    </row>
    <row r="228" spans="27:28" x14ac:dyDescent="0.2">
      <c r="AA228" s="660"/>
      <c r="AB228" s="660" t="str">
        <f>IFERROR(VALUE(RIGHT(AA228,LEN(AA228)-MIN(FIND({0;1;2;3;4;5;6;7;8;9},AA228&amp;"0123456789"))+1)),"")</f>
        <v/>
      </c>
    </row>
    <row r="229" spans="27:28" x14ac:dyDescent="0.2">
      <c r="AA229" s="660"/>
      <c r="AB229" s="660" t="str">
        <f>IFERROR(VALUE(RIGHT(AA229,LEN(AA229)-MIN(FIND({0;1;2;3;4;5;6;7;8;9},AA229&amp;"0123456789"))+1)),"")</f>
        <v/>
      </c>
    </row>
    <row r="230" spans="27:28" x14ac:dyDescent="0.2">
      <c r="AA230" s="660"/>
      <c r="AB230" s="660" t="str">
        <f>IFERROR(VALUE(RIGHT(AA230,LEN(AA230)-MIN(FIND({0;1;2;3;4;5;6;7;8;9},AA230&amp;"0123456789"))+1)),"")</f>
        <v/>
      </c>
    </row>
    <row r="231" spans="27:28" x14ac:dyDescent="0.2">
      <c r="AA231" s="660"/>
      <c r="AB231" s="660" t="str">
        <f>IFERROR(VALUE(RIGHT(AA231,LEN(AA231)-MIN(FIND({0;1;2;3;4;5;6;7;8;9},AA231&amp;"0123456789"))+1)),"")</f>
        <v/>
      </c>
    </row>
    <row r="232" spans="27:28" x14ac:dyDescent="0.2">
      <c r="AA232" s="660"/>
      <c r="AB232" s="660" t="str">
        <f>IFERROR(VALUE(RIGHT(AA232,LEN(AA232)-MIN(FIND({0;1;2;3;4;5;6;7;8;9},AA232&amp;"0123456789"))+1)),"")</f>
        <v/>
      </c>
    </row>
    <row r="233" spans="27:28" x14ac:dyDescent="0.2">
      <c r="AA233" s="660"/>
      <c r="AB233" s="660" t="str">
        <f>IFERROR(VALUE(RIGHT(AA233,LEN(AA233)-MIN(FIND({0;1;2;3;4;5;6;7;8;9},AA233&amp;"0123456789"))+1)),"")</f>
        <v/>
      </c>
    </row>
    <row r="234" spans="27:28" x14ac:dyDescent="0.2">
      <c r="AA234" s="660"/>
      <c r="AB234" s="660" t="str">
        <f>IFERROR(VALUE(RIGHT(AA234,LEN(AA234)-MIN(FIND({0;1;2;3;4;5;6;7;8;9},AA234&amp;"0123456789"))+1)),"")</f>
        <v/>
      </c>
    </row>
    <row r="235" spans="27:28" x14ac:dyDescent="0.2">
      <c r="AA235" s="660"/>
      <c r="AB235" s="660" t="str">
        <f>IFERROR(VALUE(RIGHT(AA235,LEN(AA235)-MIN(FIND({0;1;2;3;4;5;6;7;8;9},AA235&amp;"0123456789"))+1)),"")</f>
        <v/>
      </c>
    </row>
    <row r="236" spans="27:28" x14ac:dyDescent="0.2">
      <c r="AA236" s="660"/>
      <c r="AB236" s="660" t="str">
        <f>IFERROR(VALUE(RIGHT(AA236,LEN(AA236)-MIN(FIND({0;1;2;3;4;5;6;7;8;9},AA236&amp;"0123456789"))+1)),"")</f>
        <v/>
      </c>
    </row>
    <row r="237" spans="27:28" x14ac:dyDescent="0.2">
      <c r="AB237" s="660" t="str">
        <f>IFERROR(VALUE(RIGHT(AA237,LEN(AA237)-MIN(FIND({0;1;2;3;4;5;6;7;8;9},AA237&amp;"0123456789"))+1)),"")</f>
        <v/>
      </c>
    </row>
    <row r="238" spans="27:28" x14ac:dyDescent="0.2">
      <c r="AB238" s="660" t="str">
        <f>IFERROR(VALUE(RIGHT(AA238,LEN(AA238)-MIN(FIND({0;1;2;3;4;5;6;7;8;9},AA238&amp;"0123456789"))+1)),"")</f>
        <v/>
      </c>
    </row>
    <row r="239" spans="27:28" x14ac:dyDescent="0.2">
      <c r="AB239" s="660" t="str">
        <f>IFERROR(VALUE(RIGHT(AA239,LEN(AA239)-MIN(FIND({0;1;2;3;4;5;6;7;8;9},AA239&amp;"0123456789"))+1)),"")</f>
        <v/>
      </c>
    </row>
    <row r="240" spans="27:28" x14ac:dyDescent="0.2">
      <c r="AB240" s="660" t="str">
        <f>IFERROR(VALUE(RIGHT(AA240,LEN(AA240)-MIN(FIND({0;1;2;3;4;5;6;7;8;9},AA240&amp;"0123456789"))+1)),"")</f>
        <v/>
      </c>
    </row>
    <row r="241" spans="28:28" x14ac:dyDescent="0.2">
      <c r="AB241" s="660" t="str">
        <f>IFERROR(VALUE(RIGHT(AA241,LEN(AA241)-MIN(FIND({0;1;2;3;4;5;6;7;8;9},AA241&amp;"0123456789"))+1)),"")</f>
        <v/>
      </c>
    </row>
    <row r="242" spans="28:28" x14ac:dyDescent="0.2">
      <c r="AB242" s="660" t="str">
        <f>IFERROR(VALUE(RIGHT(AA242,LEN(AA242)-MIN(FIND({0;1;2;3;4;5;6;7;8;9},AA242&amp;"0123456789"))+1)),"")</f>
        <v/>
      </c>
    </row>
    <row r="243" spans="28:28" x14ac:dyDescent="0.2">
      <c r="AB243" s="660" t="str">
        <f>IFERROR(VALUE(RIGHT(AA243,LEN(AA243)-MIN(FIND({0;1;2;3;4;5;6;7;8;9},AA243&amp;"0123456789"))+1)),"")</f>
        <v/>
      </c>
    </row>
    <row r="244" spans="28:28" x14ac:dyDescent="0.2">
      <c r="AB244" s="660" t="str">
        <f>IFERROR(VALUE(RIGHT(AA244,LEN(AA244)-MIN(FIND({0;1;2;3;4;5;6;7;8;9},AA244&amp;"0123456789"))+1)),"")</f>
        <v/>
      </c>
    </row>
    <row r="245" spans="28:28" x14ac:dyDescent="0.2">
      <c r="AB245" s="660" t="str">
        <f>IFERROR(VALUE(RIGHT(AA245,LEN(AA245)-MIN(FIND({0;1;2;3;4;5;6;7;8;9},AA245&amp;"0123456789"))+1)),"")</f>
        <v/>
      </c>
    </row>
    <row r="246" spans="28:28" x14ac:dyDescent="0.2">
      <c r="AB246" s="660" t="str">
        <f>IFERROR(VALUE(RIGHT(AA246,LEN(AA246)-MIN(FIND({0;1;2;3;4;5;6;7;8;9},AA246&amp;"0123456789"))+1)),"")</f>
        <v/>
      </c>
    </row>
    <row r="247" spans="28:28" x14ac:dyDescent="0.2">
      <c r="AB247" s="660" t="str">
        <f>IFERROR(VALUE(RIGHT(AA247,LEN(AA247)-MIN(FIND({0;1;2;3;4;5;6;7;8;9},AA247&amp;"0123456789"))+1)),"")</f>
        <v/>
      </c>
    </row>
    <row r="248" spans="28:28" x14ac:dyDescent="0.2">
      <c r="AB248" s="660" t="str">
        <f>IFERROR(VALUE(RIGHT(AA248,LEN(AA248)-MIN(FIND({0;1;2;3;4;5;6;7;8;9},AA248&amp;"0123456789"))+1)),"")</f>
        <v/>
      </c>
    </row>
    <row r="249" spans="28:28" x14ac:dyDescent="0.2">
      <c r="AB249" s="660" t="str">
        <f>IFERROR(VALUE(RIGHT(AA249,LEN(AA249)-MIN(FIND({0;1;2;3;4;5;6;7;8;9},AA249&amp;"0123456789"))+1)),"")</f>
        <v/>
      </c>
    </row>
    <row r="250" spans="28:28" x14ac:dyDescent="0.2">
      <c r="AB250" s="660" t="str">
        <f>IFERROR(VALUE(RIGHT(AA250,LEN(AA250)-MIN(FIND({0;1;2;3;4;5;6;7;8;9},AA250&amp;"0123456789"))+1)),"")</f>
        <v/>
      </c>
    </row>
    <row r="251" spans="28:28" x14ac:dyDescent="0.2">
      <c r="AB251" s="660" t="str">
        <f>IFERROR(VALUE(RIGHT(AA251,LEN(AA251)-MIN(FIND({0;1;2;3;4;5;6;7;8;9},AA251&amp;"0123456789"))+1)),"")</f>
        <v/>
      </c>
    </row>
    <row r="252" spans="28:28" x14ac:dyDescent="0.2">
      <c r="AB252" s="660" t="str">
        <f>IFERROR(VALUE(RIGHT(AA252,LEN(AA252)-MIN(FIND({0;1;2;3;4;5;6;7;8;9},AA252&amp;"0123456789"))+1)),"")</f>
        <v/>
      </c>
    </row>
    <row r="253" spans="28:28" x14ac:dyDescent="0.2">
      <c r="AB253" s="660" t="str">
        <f>IFERROR(VALUE(RIGHT(AA253,LEN(AA253)-MIN(FIND({0;1;2;3;4;5;6;7;8;9},AA253&amp;"0123456789"))+1)),"")</f>
        <v/>
      </c>
    </row>
    <row r="254" spans="28:28" x14ac:dyDescent="0.2">
      <c r="AB254" s="660" t="str">
        <f>IFERROR(VALUE(RIGHT(AA254,LEN(AA254)-MIN(FIND({0;1;2;3;4;5;6;7;8;9},AA254&amp;"0123456789"))+1)),"")</f>
        <v/>
      </c>
    </row>
    <row r="255" spans="28:28" x14ac:dyDescent="0.2">
      <c r="AB255" s="660" t="str">
        <f>IFERROR(VALUE(RIGHT(AA255,LEN(AA255)-MIN(FIND({0;1;2;3;4;5;6;7;8;9},AA255&amp;"0123456789"))+1)),"")</f>
        <v/>
      </c>
    </row>
    <row r="256" spans="28:28" x14ac:dyDescent="0.2">
      <c r="AB256" s="660" t="str">
        <f>IFERROR(VALUE(RIGHT(AA256,LEN(AA256)-MIN(FIND({0;1;2;3;4;5;6;7;8;9},AA256&amp;"0123456789"))+1)),"")</f>
        <v/>
      </c>
    </row>
    <row r="257" spans="28:28" x14ac:dyDescent="0.2">
      <c r="AB257" s="660" t="str">
        <f>IFERROR(VALUE(RIGHT(AA257,LEN(AA257)-MIN(FIND({0;1;2;3;4;5;6;7;8;9},AA257&amp;"0123456789"))+1)),"")</f>
        <v/>
      </c>
    </row>
    <row r="258" spans="28:28" x14ac:dyDescent="0.2">
      <c r="AB258" s="660" t="str">
        <f>IFERROR(VALUE(RIGHT(AA258,LEN(AA258)-MIN(FIND({0;1;2;3;4;5;6;7;8;9},AA258&amp;"0123456789"))+1)),"")</f>
        <v/>
      </c>
    </row>
    <row r="259" spans="28:28" x14ac:dyDescent="0.2">
      <c r="AB259" s="660" t="str">
        <f>IFERROR(VALUE(RIGHT(AA259,LEN(AA259)-MIN(FIND({0;1;2;3;4;5;6;7;8;9},AA259&amp;"0123456789"))+1)),"")</f>
        <v/>
      </c>
    </row>
    <row r="260" spans="28:28" x14ac:dyDescent="0.2">
      <c r="AB260" s="660" t="str">
        <f>IFERROR(VALUE(RIGHT(AA260,LEN(AA260)-MIN(FIND({0;1;2;3;4;5;6;7;8;9},AA260&amp;"0123456789"))+1)),"")</f>
        <v/>
      </c>
    </row>
    <row r="261" spans="28:28" x14ac:dyDescent="0.2">
      <c r="AB261" s="660" t="str">
        <f>IFERROR(VALUE(RIGHT(AA261,LEN(AA261)-MIN(FIND({0;1;2;3;4;5;6;7;8;9},AA261&amp;"0123456789"))+1)),"")</f>
        <v/>
      </c>
    </row>
    <row r="262" spans="28:28" x14ac:dyDescent="0.2">
      <c r="AB262" s="660" t="str">
        <f>IFERROR(VALUE(RIGHT(AA262,LEN(AA262)-MIN(FIND({0;1;2;3;4;5;6;7;8;9},AA262&amp;"0123456789"))+1)),"")</f>
        <v/>
      </c>
    </row>
    <row r="263" spans="28:28" x14ac:dyDescent="0.2">
      <c r="AB263" s="660" t="str">
        <f>IFERROR(VALUE(RIGHT(AA263,LEN(AA263)-MIN(FIND({0;1;2;3;4;5;6;7;8;9},AA263&amp;"0123456789"))+1)),"")</f>
        <v/>
      </c>
    </row>
    <row r="264" spans="28:28" x14ac:dyDescent="0.2">
      <c r="AB264" s="660" t="str">
        <f>IFERROR(VALUE(RIGHT(AA264,LEN(AA264)-MIN(FIND({0;1;2;3;4;5;6;7;8;9},AA264&amp;"0123456789"))+1)),"")</f>
        <v/>
      </c>
    </row>
    <row r="265" spans="28:28" x14ac:dyDescent="0.2">
      <c r="AB265" s="660" t="str">
        <f>IFERROR(VALUE(RIGHT(AA265,LEN(AA265)-MIN(FIND({0;1;2;3;4;5;6;7;8;9},AA265&amp;"0123456789"))+1)),"")</f>
        <v/>
      </c>
    </row>
    <row r="266" spans="28:28" x14ac:dyDescent="0.2">
      <c r="AB266" s="660" t="str">
        <f>IFERROR(VALUE(RIGHT(AA266,LEN(AA266)-MIN(FIND({0;1;2;3;4;5;6;7;8;9},AA266&amp;"0123456789"))+1)),"")</f>
        <v/>
      </c>
    </row>
    <row r="267" spans="28:28" x14ac:dyDescent="0.2">
      <c r="AB267" s="660" t="str">
        <f>IFERROR(VALUE(RIGHT(AA267,LEN(AA267)-MIN(FIND({0;1;2;3;4;5;6;7;8;9},AA267&amp;"0123456789"))+1)),"")</f>
        <v/>
      </c>
    </row>
    <row r="268" spans="28:28" x14ac:dyDescent="0.2">
      <c r="AB268" s="660" t="str">
        <f>IFERROR(VALUE(RIGHT(AA268,LEN(AA268)-MIN(FIND({0;1;2;3;4;5;6;7;8;9},AA268&amp;"0123456789"))+1)),"")</f>
        <v/>
      </c>
    </row>
    <row r="269" spans="28:28" x14ac:dyDescent="0.2">
      <c r="AB269" s="660" t="str">
        <f>IFERROR(VALUE(RIGHT(AA269,LEN(AA269)-MIN(FIND({0;1;2;3;4;5;6;7;8;9},AA269&amp;"0123456789"))+1)),"")</f>
        <v/>
      </c>
    </row>
    <row r="270" spans="28:28" x14ac:dyDescent="0.2">
      <c r="AB270" s="660" t="str">
        <f>IFERROR(VALUE(RIGHT(AA270,LEN(AA270)-MIN(FIND({0;1;2;3;4;5;6;7;8;9},AA270&amp;"0123456789"))+1)),"")</f>
        <v/>
      </c>
    </row>
    <row r="271" spans="28:28" x14ac:dyDescent="0.2">
      <c r="AB271" s="660" t="str">
        <f>IFERROR(VALUE(RIGHT(AA271,LEN(AA271)-MIN(FIND({0;1;2;3;4;5;6;7;8;9},AA271&amp;"0123456789"))+1)),"")</f>
        <v/>
      </c>
    </row>
    <row r="272" spans="28:28" x14ac:dyDescent="0.2">
      <c r="AB272" s="660" t="str">
        <f>IFERROR(VALUE(RIGHT(AA272,LEN(AA272)-MIN(FIND({0;1;2;3;4;5;6;7;8;9},AA272&amp;"0123456789"))+1)),"")</f>
        <v/>
      </c>
    </row>
    <row r="273" spans="28:28" x14ac:dyDescent="0.2">
      <c r="AB273" s="660" t="str">
        <f>IFERROR(VALUE(RIGHT(AA273,LEN(AA273)-MIN(FIND({0;1;2;3;4;5;6;7;8;9},AA273&amp;"0123456789"))+1)),"")</f>
        <v/>
      </c>
    </row>
    <row r="274" spans="28:28" x14ac:dyDescent="0.2">
      <c r="AB274" s="660" t="str">
        <f>IFERROR(VALUE(RIGHT(AA274,LEN(AA274)-MIN(FIND({0;1;2;3;4;5;6;7;8;9},AA274&amp;"0123456789"))+1)),"")</f>
        <v/>
      </c>
    </row>
    <row r="275" spans="28:28" x14ac:dyDescent="0.2">
      <c r="AB275" s="660" t="str">
        <f>IFERROR(VALUE(RIGHT(AA275,LEN(AA275)-MIN(FIND({0;1;2;3;4;5;6;7;8;9},AA275&amp;"0123456789"))+1)),"")</f>
        <v/>
      </c>
    </row>
    <row r="276" spans="28:28" x14ac:dyDescent="0.2">
      <c r="AB276" s="660" t="str">
        <f>IFERROR(VALUE(RIGHT(AA276,LEN(AA276)-MIN(FIND({0;1;2;3;4;5;6;7;8;9},AA276&amp;"0123456789"))+1)),"")</f>
        <v/>
      </c>
    </row>
    <row r="277" spans="28:28" x14ac:dyDescent="0.2">
      <c r="AB277" s="660" t="str">
        <f>IFERROR(VALUE(RIGHT(AA277,LEN(AA277)-MIN(FIND({0;1;2;3;4;5;6;7;8;9},AA277&amp;"0123456789"))+1)),"")</f>
        <v/>
      </c>
    </row>
    <row r="278" spans="28:28" x14ac:dyDescent="0.2">
      <c r="AB278" s="660" t="str">
        <f>IFERROR(VALUE(RIGHT(AA278,LEN(AA278)-MIN(FIND({0;1;2;3;4;5;6;7;8;9},AA278&amp;"0123456789"))+1)),"")</f>
        <v/>
      </c>
    </row>
    <row r="279" spans="28:28" x14ac:dyDescent="0.2">
      <c r="AB279" s="660" t="str">
        <f>IFERROR(VALUE(RIGHT(AA279,LEN(AA279)-MIN(FIND({0;1;2;3;4;5;6;7;8;9},AA279&amp;"0123456789"))+1)),"")</f>
        <v/>
      </c>
    </row>
    <row r="280" spans="28:28" x14ac:dyDescent="0.2">
      <c r="AB280" s="660" t="str">
        <f>IFERROR(VALUE(RIGHT(AA280,LEN(AA280)-MIN(FIND({0;1;2;3;4;5;6;7;8;9},AA280&amp;"0123456789"))+1)),"")</f>
        <v/>
      </c>
    </row>
    <row r="281" spans="28:28" x14ac:dyDescent="0.2">
      <c r="AB281" s="660" t="str">
        <f>IFERROR(VALUE(RIGHT(AA281,LEN(AA281)-MIN(FIND({0;1;2;3;4;5;6;7;8;9},AA281&amp;"0123456789"))+1)),"")</f>
        <v/>
      </c>
    </row>
    <row r="282" spans="28:28" x14ac:dyDescent="0.2">
      <c r="AB282" s="660" t="str">
        <f>IFERROR(VALUE(RIGHT(AA282,LEN(AA282)-MIN(FIND({0;1;2;3;4;5;6;7;8;9},AA282&amp;"0123456789"))+1)),"")</f>
        <v/>
      </c>
    </row>
    <row r="283" spans="28:28" x14ac:dyDescent="0.2">
      <c r="AB283" s="660" t="str">
        <f>IFERROR(VALUE(RIGHT(AA283,LEN(AA283)-MIN(FIND({0;1;2;3;4;5;6;7;8;9},AA283&amp;"0123456789"))+1)),"")</f>
        <v/>
      </c>
    </row>
    <row r="284" spans="28:28" x14ac:dyDescent="0.2">
      <c r="AB284" s="660" t="str">
        <f>IFERROR(VALUE(RIGHT(AA284,LEN(AA284)-MIN(FIND({0;1;2;3;4;5;6;7;8;9},AA284&amp;"0123456789"))+1)),"")</f>
        <v/>
      </c>
    </row>
    <row r="285" spans="28:28" x14ac:dyDescent="0.2">
      <c r="AB285" s="660" t="str">
        <f>IFERROR(VALUE(RIGHT(AA285,LEN(AA285)-MIN(FIND({0;1;2;3;4;5;6;7;8;9},AA285&amp;"0123456789"))+1)),"")</f>
        <v/>
      </c>
    </row>
    <row r="286" spans="28:28" x14ac:dyDescent="0.2">
      <c r="AB286" s="660" t="str">
        <f>IFERROR(VALUE(RIGHT(AA286,LEN(AA286)-MIN(FIND({0;1;2;3;4;5;6;7;8;9},AA286&amp;"0123456789"))+1)),"")</f>
        <v/>
      </c>
    </row>
    <row r="287" spans="28:28" x14ac:dyDescent="0.2">
      <c r="AB287" s="660" t="str">
        <f>IFERROR(VALUE(RIGHT(AA287,LEN(AA287)-MIN(FIND({0;1;2;3;4;5;6;7;8;9},AA287&amp;"0123456789"))+1)),"")</f>
        <v/>
      </c>
    </row>
    <row r="288" spans="28:28" x14ac:dyDescent="0.2">
      <c r="AB288" s="660" t="str">
        <f>IFERROR(VALUE(RIGHT(AA288,LEN(AA288)-MIN(FIND({0;1;2;3;4;5;6;7;8;9},AA288&amp;"0123456789"))+1)),"")</f>
        <v/>
      </c>
    </row>
    <row r="289" spans="28:28" x14ac:dyDescent="0.2">
      <c r="AB289" s="660" t="str">
        <f>IFERROR(VALUE(RIGHT(AA289,LEN(AA289)-MIN(FIND({0;1;2;3;4;5;6;7;8;9},AA289&amp;"0123456789"))+1)),"")</f>
        <v/>
      </c>
    </row>
    <row r="290" spans="28:28" x14ac:dyDescent="0.2">
      <c r="AB290" s="660" t="str">
        <f>IFERROR(VALUE(RIGHT(AA290,LEN(AA290)-MIN(FIND({0;1;2;3;4;5;6;7;8;9},AA290&amp;"0123456789"))+1)),"")</f>
        <v/>
      </c>
    </row>
    <row r="291" spans="28:28" x14ac:dyDescent="0.2">
      <c r="AB291" s="660" t="str">
        <f>IFERROR(VALUE(RIGHT(AA291,LEN(AA291)-MIN(FIND({0;1;2;3;4;5;6;7;8;9},AA291&amp;"0123456789"))+1)),"")</f>
        <v/>
      </c>
    </row>
    <row r="292" spans="28:28" x14ac:dyDescent="0.2">
      <c r="AB292" s="660" t="str">
        <f>IFERROR(VALUE(RIGHT(AA292,LEN(AA292)-MIN(FIND({0;1;2;3;4;5;6;7;8;9},AA292&amp;"0123456789"))+1)),"")</f>
        <v/>
      </c>
    </row>
    <row r="293" spans="28:28" x14ac:dyDescent="0.2">
      <c r="AB293" s="660" t="str">
        <f>IFERROR(VALUE(RIGHT(AA293,LEN(AA293)-MIN(FIND({0;1;2;3;4;5;6;7;8;9},AA293&amp;"0123456789"))+1)),"")</f>
        <v/>
      </c>
    </row>
    <row r="294" spans="28:28" x14ac:dyDescent="0.2">
      <c r="AB294" s="660" t="str">
        <f>IFERROR(VALUE(RIGHT(AA294,LEN(AA294)-MIN(FIND({0;1;2;3;4;5;6;7;8;9},AA294&amp;"0123456789"))+1)),"")</f>
        <v/>
      </c>
    </row>
    <row r="295" spans="28:28" x14ac:dyDescent="0.2">
      <c r="AB295" s="660" t="str">
        <f>IFERROR(VALUE(RIGHT(AA295,LEN(AA295)-MIN(FIND({0;1;2;3;4;5;6;7;8;9},AA295&amp;"0123456789"))+1)),"")</f>
        <v/>
      </c>
    </row>
    <row r="296" spans="28:28" x14ac:dyDescent="0.2">
      <c r="AB296" s="660" t="str">
        <f>IFERROR(VALUE(RIGHT(AA296,LEN(AA296)-MIN(FIND({0;1;2;3;4;5;6;7;8;9},AA296&amp;"0123456789"))+1)),"")</f>
        <v/>
      </c>
    </row>
    <row r="297" spans="28:28" x14ac:dyDescent="0.2">
      <c r="AB297" s="660" t="str">
        <f>IFERROR(VALUE(RIGHT(AA297,LEN(AA297)-MIN(FIND({0;1;2;3;4;5;6;7;8;9},AA297&amp;"0123456789"))+1)),"")</f>
        <v/>
      </c>
    </row>
    <row r="298" spans="28:28" x14ac:dyDescent="0.2">
      <c r="AB298" s="660" t="str">
        <f>IFERROR(VALUE(RIGHT(AA298,LEN(AA298)-MIN(FIND({0;1;2;3;4;5;6;7;8;9},AA298&amp;"0123456789"))+1)),"")</f>
        <v/>
      </c>
    </row>
    <row r="299" spans="28:28" x14ac:dyDescent="0.2">
      <c r="AB299" s="660" t="str">
        <f>IFERROR(VALUE(RIGHT(AA299,LEN(AA299)-MIN(FIND({0;1;2;3;4;5;6;7;8;9},AA299&amp;"0123456789"))+1)),"")</f>
        <v/>
      </c>
    </row>
    <row r="300" spans="28:28" x14ac:dyDescent="0.2">
      <c r="AB300" s="660" t="str">
        <f>IFERROR(VALUE(RIGHT(AA300,LEN(AA300)-MIN(FIND({0;1;2;3;4;5;6;7;8;9},AA300&amp;"0123456789"))+1)),"")</f>
        <v/>
      </c>
    </row>
    <row r="301" spans="28:28" x14ac:dyDescent="0.2">
      <c r="AB301" s="660" t="str">
        <f>IFERROR(VALUE(RIGHT(AA301,LEN(AA301)-MIN(FIND({0;1;2;3;4;5;6;7;8;9},AA301&amp;"0123456789"))+1)),"")</f>
        <v/>
      </c>
    </row>
    <row r="302" spans="28:28" x14ac:dyDescent="0.2">
      <c r="AB302" s="660" t="str">
        <f>IFERROR(VALUE(RIGHT(AA302,LEN(AA302)-MIN(FIND({0;1;2;3;4;5;6;7;8;9},AA302&amp;"0123456789"))+1)),"")</f>
        <v/>
      </c>
    </row>
    <row r="303" spans="28:28" x14ac:dyDescent="0.2">
      <c r="AB303" s="660" t="str">
        <f>IFERROR(VALUE(RIGHT(AA303,LEN(AA303)-MIN(FIND({0;1;2;3;4;5;6;7;8;9},AA303&amp;"0123456789"))+1)),"")</f>
        <v/>
      </c>
    </row>
    <row r="304" spans="28:28" x14ac:dyDescent="0.2">
      <c r="AB304" s="660" t="str">
        <f>IFERROR(VALUE(RIGHT(AA304,LEN(AA304)-MIN(FIND({0;1;2;3;4;5;6;7;8;9},AA304&amp;"0123456789"))+1)),"")</f>
        <v/>
      </c>
    </row>
    <row r="305" spans="28:28" x14ac:dyDescent="0.2">
      <c r="AB305" s="660" t="str">
        <f>IFERROR(VALUE(RIGHT(AA305,LEN(AA305)-MIN(FIND({0;1;2;3;4;5;6;7;8;9},AA305&amp;"0123456789"))+1)),"")</f>
        <v/>
      </c>
    </row>
    <row r="306" spans="28:28" x14ac:dyDescent="0.2">
      <c r="AB306" s="660" t="str">
        <f>IFERROR(VALUE(RIGHT(AA306,LEN(AA306)-MIN(FIND({0;1;2;3;4;5;6;7;8;9},AA306&amp;"0123456789"))+1)),"")</f>
        <v/>
      </c>
    </row>
    <row r="307" spans="28:28" x14ac:dyDescent="0.2">
      <c r="AB307" s="660" t="str">
        <f>IFERROR(VALUE(RIGHT(AA307,LEN(AA307)-MIN(FIND({0;1;2;3;4;5;6;7;8;9},AA307&amp;"0123456789"))+1)),"")</f>
        <v/>
      </c>
    </row>
    <row r="308" spans="28:28" x14ac:dyDescent="0.2">
      <c r="AB308" s="660" t="str">
        <f>IFERROR(VALUE(RIGHT(AA308,LEN(AA308)-MIN(FIND({0;1;2;3;4;5;6;7;8;9},AA308&amp;"0123456789"))+1)),"")</f>
        <v/>
      </c>
    </row>
    <row r="309" spans="28:28" x14ac:dyDescent="0.2">
      <c r="AB309" s="660" t="str">
        <f>IFERROR(VALUE(RIGHT(AA309,LEN(AA309)-MIN(FIND({0;1;2;3;4;5;6;7;8;9},AA309&amp;"0123456789"))+1)),"")</f>
        <v/>
      </c>
    </row>
    <row r="310" spans="28:28" x14ac:dyDescent="0.2">
      <c r="AB310" s="660" t="str">
        <f>IFERROR(VALUE(RIGHT(AA310,LEN(AA310)-MIN(FIND({0;1;2;3;4;5;6;7;8;9},AA310&amp;"0123456789"))+1)),"")</f>
        <v/>
      </c>
    </row>
    <row r="311" spans="28:28" x14ac:dyDescent="0.2">
      <c r="AB311" s="660" t="str">
        <f>IFERROR(VALUE(RIGHT(AA311,LEN(AA311)-MIN(FIND({0;1;2;3;4;5;6;7;8;9},AA311&amp;"0123456789"))+1)),"")</f>
        <v/>
      </c>
    </row>
    <row r="312" spans="28:28" x14ac:dyDescent="0.2">
      <c r="AB312" s="660" t="str">
        <f>IFERROR(VALUE(RIGHT(AA312,LEN(AA312)-MIN(FIND({0;1;2;3;4;5;6;7;8;9},AA312&amp;"0123456789"))+1)),"")</f>
        <v/>
      </c>
    </row>
    <row r="313" spans="28:28" x14ac:dyDescent="0.2">
      <c r="AB313" s="660" t="str">
        <f>IFERROR(VALUE(RIGHT(AA313,LEN(AA313)-MIN(FIND({0;1;2;3;4;5;6;7;8;9},AA313&amp;"0123456789"))+1)),"")</f>
        <v/>
      </c>
    </row>
    <row r="314" spans="28:28" x14ac:dyDescent="0.2">
      <c r="AB314" s="660" t="str">
        <f>IFERROR(VALUE(RIGHT(AA314,LEN(AA314)-MIN(FIND({0;1;2;3;4;5;6;7;8;9},AA314&amp;"0123456789"))+1)),"")</f>
        <v/>
      </c>
    </row>
    <row r="315" spans="28:28" x14ac:dyDescent="0.2">
      <c r="AB315" s="660" t="str">
        <f>IFERROR(VALUE(RIGHT(AA315,LEN(AA315)-MIN(FIND({0;1;2;3;4;5;6;7;8;9},AA315&amp;"0123456789"))+1)),"")</f>
        <v/>
      </c>
    </row>
    <row r="316" spans="28:28" x14ac:dyDescent="0.2">
      <c r="AB316" s="660" t="str">
        <f>IFERROR(VALUE(RIGHT(AA316,LEN(AA316)-MIN(FIND({0;1;2;3;4;5;6;7;8;9},AA316&amp;"0123456789"))+1)),"")</f>
        <v/>
      </c>
    </row>
    <row r="317" spans="28:28" x14ac:dyDescent="0.2">
      <c r="AB317" s="660" t="str">
        <f>IFERROR(VALUE(RIGHT(AA317,LEN(AA317)-MIN(FIND({0;1;2;3;4;5;6;7;8;9},AA317&amp;"0123456789"))+1)),"")</f>
        <v/>
      </c>
    </row>
    <row r="318" spans="28:28" x14ac:dyDescent="0.2">
      <c r="AB318" s="660" t="str">
        <f>IFERROR(VALUE(RIGHT(AA318,LEN(AA318)-MIN(FIND({0;1;2;3;4;5;6;7;8;9},AA318&amp;"0123456789"))+1)),"")</f>
        <v/>
      </c>
    </row>
    <row r="319" spans="28:28" x14ac:dyDescent="0.2">
      <c r="AB319" s="660" t="str">
        <f>IFERROR(VALUE(RIGHT(AA319,LEN(AA319)-MIN(FIND({0;1;2;3;4;5;6;7;8;9},AA319&amp;"0123456789"))+1)),"")</f>
        <v/>
      </c>
    </row>
    <row r="320" spans="28:28" x14ac:dyDescent="0.2">
      <c r="AB320" s="660" t="str">
        <f>IFERROR(VALUE(RIGHT(AA320,LEN(AA320)-MIN(FIND({0;1;2;3;4;5;6;7;8;9},AA320&amp;"0123456789"))+1)),"")</f>
        <v/>
      </c>
    </row>
    <row r="321" spans="28:28" x14ac:dyDescent="0.2">
      <c r="AB321" s="660" t="str">
        <f>IFERROR(VALUE(RIGHT(AA321,LEN(AA321)-MIN(FIND({0;1;2;3;4;5;6;7;8;9},AA321&amp;"0123456789"))+1)),"")</f>
        <v/>
      </c>
    </row>
    <row r="322" spans="28:28" x14ac:dyDescent="0.2">
      <c r="AB322" s="660" t="str">
        <f>IFERROR(VALUE(RIGHT(AA322,LEN(AA322)-MIN(FIND({0;1;2;3;4;5;6;7;8;9},AA322&amp;"0123456789"))+1)),"")</f>
        <v/>
      </c>
    </row>
    <row r="323" spans="28:28" x14ac:dyDescent="0.2">
      <c r="AB323" s="660" t="str">
        <f>IFERROR(VALUE(RIGHT(AA323,LEN(AA323)-MIN(FIND({0;1;2;3;4;5;6;7;8;9},AA323&amp;"0123456789"))+1)),"")</f>
        <v/>
      </c>
    </row>
    <row r="324" spans="28:28" x14ac:dyDescent="0.2">
      <c r="AB324" s="660" t="str">
        <f>IFERROR(VALUE(RIGHT(AA324,LEN(AA324)-MIN(FIND({0;1;2;3;4;5;6;7;8;9},AA324&amp;"0123456789"))+1)),"")</f>
        <v/>
      </c>
    </row>
    <row r="325" spans="28:28" x14ac:dyDescent="0.2">
      <c r="AB325" s="660" t="str">
        <f>IFERROR(VALUE(RIGHT(AA325,LEN(AA325)-MIN(FIND({0;1;2;3;4;5;6;7;8;9},AA325&amp;"0123456789"))+1)),"")</f>
        <v/>
      </c>
    </row>
    <row r="326" spans="28:28" x14ac:dyDescent="0.2">
      <c r="AB326" s="660" t="str">
        <f>IFERROR(VALUE(RIGHT(AA326,LEN(AA326)-MIN(FIND({0;1;2;3;4;5;6;7;8;9},AA326&amp;"0123456789"))+1)),"")</f>
        <v/>
      </c>
    </row>
    <row r="327" spans="28:28" x14ac:dyDescent="0.2">
      <c r="AB327" s="660" t="str">
        <f>IFERROR(VALUE(RIGHT(AA327,LEN(AA327)-MIN(FIND({0;1;2;3;4;5;6;7;8;9},AA327&amp;"0123456789"))+1)),"")</f>
        <v/>
      </c>
    </row>
    <row r="328" spans="28:28" x14ac:dyDescent="0.2">
      <c r="AB328" s="660" t="str">
        <f>IFERROR(VALUE(RIGHT(AA328,LEN(AA328)-MIN(FIND({0;1;2;3;4;5;6;7;8;9},AA328&amp;"0123456789"))+1)),"")</f>
        <v/>
      </c>
    </row>
    <row r="329" spans="28:28" x14ac:dyDescent="0.2">
      <c r="AB329" s="660" t="str">
        <f>IFERROR(VALUE(RIGHT(AA329,LEN(AA329)-MIN(FIND({0;1;2;3;4;5;6;7;8;9},AA329&amp;"0123456789"))+1)),"")</f>
        <v/>
      </c>
    </row>
    <row r="330" spans="28:28" x14ac:dyDescent="0.2">
      <c r="AB330" s="660" t="str">
        <f>IFERROR(VALUE(RIGHT(AA330,LEN(AA330)-MIN(FIND({0;1;2;3;4;5;6;7;8;9},AA330&amp;"0123456789"))+1)),"")</f>
        <v/>
      </c>
    </row>
    <row r="331" spans="28:28" x14ac:dyDescent="0.2">
      <c r="AB331" s="660" t="str">
        <f>IFERROR(VALUE(RIGHT(AA331,LEN(AA331)-MIN(FIND({0;1;2;3;4;5;6;7;8;9},AA331&amp;"0123456789"))+1)),"")</f>
        <v/>
      </c>
    </row>
    <row r="332" spans="28:28" x14ac:dyDescent="0.2">
      <c r="AB332" s="660" t="str">
        <f>IFERROR(VALUE(RIGHT(AA332,LEN(AA332)-MIN(FIND({0;1;2;3;4;5;6;7;8;9},AA332&amp;"0123456789"))+1)),"")</f>
        <v/>
      </c>
    </row>
    <row r="333" spans="28:28" x14ac:dyDescent="0.2">
      <c r="AB333" s="660" t="str">
        <f>IFERROR(VALUE(RIGHT(AA333,LEN(AA333)-MIN(FIND({0;1;2;3;4;5;6;7;8;9},AA333&amp;"0123456789"))+1)),"")</f>
        <v/>
      </c>
    </row>
    <row r="334" spans="28:28" x14ac:dyDescent="0.2">
      <c r="AB334" s="660" t="str">
        <f>IFERROR(VALUE(RIGHT(AA334,LEN(AA334)-MIN(FIND({0;1;2;3;4;5;6;7;8;9},AA334&amp;"0123456789"))+1)),"")</f>
        <v/>
      </c>
    </row>
    <row r="335" spans="28:28" x14ac:dyDescent="0.2">
      <c r="AB335" s="660" t="str">
        <f>IFERROR(VALUE(RIGHT(AA335,LEN(AA335)-MIN(FIND({0;1;2;3;4;5;6;7;8;9},AA335&amp;"0123456789"))+1)),"")</f>
        <v/>
      </c>
    </row>
    <row r="336" spans="28:28" x14ac:dyDescent="0.2">
      <c r="AB336" s="660" t="str">
        <f>IFERROR(VALUE(RIGHT(AA336,LEN(AA336)-MIN(FIND({0;1;2;3;4;5;6;7;8;9},AA336&amp;"0123456789"))+1)),"")</f>
        <v/>
      </c>
    </row>
    <row r="337" spans="28:28" x14ac:dyDescent="0.2">
      <c r="AB337" s="660" t="str">
        <f>IFERROR(VALUE(RIGHT(AA337,LEN(AA337)-MIN(FIND({0;1;2;3;4;5;6;7;8;9},AA337&amp;"0123456789"))+1)),"")</f>
        <v/>
      </c>
    </row>
    <row r="338" spans="28:28" x14ac:dyDescent="0.2">
      <c r="AB338" s="660" t="str">
        <f>IFERROR(VALUE(RIGHT(AA338,LEN(AA338)-MIN(FIND({0;1;2;3;4;5;6;7;8;9},AA338&amp;"0123456789"))+1)),"")</f>
        <v/>
      </c>
    </row>
    <row r="339" spans="28:28" x14ac:dyDescent="0.2">
      <c r="AB339" s="660" t="str">
        <f>IFERROR(VALUE(RIGHT(AA339,LEN(AA339)-MIN(FIND({0;1;2;3;4;5;6;7;8;9},AA339&amp;"0123456789"))+1)),"")</f>
        <v/>
      </c>
    </row>
    <row r="340" spans="28:28" x14ac:dyDescent="0.2">
      <c r="AB340" s="660" t="str">
        <f>IFERROR(VALUE(RIGHT(AA340,LEN(AA340)-MIN(FIND({0;1;2;3;4;5;6;7;8;9},AA340&amp;"0123456789"))+1)),"")</f>
        <v/>
      </c>
    </row>
    <row r="341" spans="28:28" x14ac:dyDescent="0.2">
      <c r="AB341" s="660" t="str">
        <f>IFERROR(VALUE(RIGHT(AA341,LEN(AA341)-MIN(FIND({0;1;2;3;4;5;6;7;8;9},AA341&amp;"0123456789"))+1)),"")</f>
        <v/>
      </c>
    </row>
    <row r="342" spans="28:28" x14ac:dyDescent="0.2">
      <c r="AB342" s="660" t="str">
        <f>IFERROR(VALUE(RIGHT(AA342,LEN(AA342)-MIN(FIND({0;1;2;3;4;5;6;7;8;9},AA342&amp;"0123456789"))+1)),"")</f>
        <v/>
      </c>
    </row>
    <row r="343" spans="28:28" x14ac:dyDescent="0.2">
      <c r="AB343" s="660" t="str">
        <f>IFERROR(VALUE(RIGHT(AA343,LEN(AA343)-MIN(FIND({0;1;2;3;4;5;6;7;8;9},AA343&amp;"0123456789"))+1)),"")</f>
        <v/>
      </c>
    </row>
    <row r="344" spans="28:28" x14ac:dyDescent="0.2">
      <c r="AB344" s="660" t="str">
        <f>IFERROR(VALUE(RIGHT(AA344,LEN(AA344)-MIN(FIND({0;1;2;3;4;5;6;7;8;9},AA344&amp;"0123456789"))+1)),"")</f>
        <v/>
      </c>
    </row>
    <row r="345" spans="28:28" x14ac:dyDescent="0.2">
      <c r="AB345" s="660" t="str">
        <f>IFERROR(VALUE(RIGHT(AA345,LEN(AA345)-MIN(FIND({0;1;2;3;4;5;6;7;8;9},AA345&amp;"0123456789"))+1)),"")</f>
        <v/>
      </c>
    </row>
    <row r="346" spans="28:28" x14ac:dyDescent="0.2">
      <c r="AB346" s="660" t="str">
        <f>IFERROR(VALUE(RIGHT(AA346,LEN(AA346)-MIN(FIND({0;1;2;3;4;5;6;7;8;9},AA346&amp;"0123456789"))+1)),"")</f>
        <v/>
      </c>
    </row>
    <row r="347" spans="28:28" x14ac:dyDescent="0.2">
      <c r="AB347" s="660" t="str">
        <f>IFERROR(VALUE(RIGHT(AA347,LEN(AA347)-MIN(FIND({0;1;2;3;4;5;6;7;8;9},AA347&amp;"0123456789"))+1)),"")</f>
        <v/>
      </c>
    </row>
    <row r="348" spans="28:28" x14ac:dyDescent="0.2">
      <c r="AB348" s="660" t="str">
        <f>IFERROR(VALUE(RIGHT(AA348,LEN(AA348)-MIN(FIND({0;1;2;3;4;5;6;7;8;9},AA348&amp;"0123456789"))+1)),"")</f>
        <v/>
      </c>
    </row>
    <row r="349" spans="28:28" x14ac:dyDescent="0.2">
      <c r="AB349" s="660" t="str">
        <f>IFERROR(VALUE(RIGHT(AA349,LEN(AA349)-MIN(FIND({0;1;2;3;4;5;6;7;8;9},AA349&amp;"0123456789"))+1)),"")</f>
        <v/>
      </c>
    </row>
    <row r="350" spans="28:28" x14ac:dyDescent="0.2">
      <c r="AB350" s="660" t="str">
        <f>IFERROR(VALUE(RIGHT(AA350,LEN(AA350)-MIN(FIND({0;1;2;3;4;5;6;7;8;9},AA350&amp;"0123456789"))+1)),"")</f>
        <v/>
      </c>
    </row>
    <row r="351" spans="28:28" x14ac:dyDescent="0.2">
      <c r="AB351" s="660" t="str">
        <f>IFERROR(VALUE(RIGHT(AA351,LEN(AA351)-MIN(FIND({0;1;2;3;4;5;6;7;8;9},AA351&amp;"0123456789"))+1)),"")</f>
        <v/>
      </c>
    </row>
    <row r="352" spans="28:28" x14ac:dyDescent="0.2">
      <c r="AB352" s="660" t="str">
        <f>IFERROR(VALUE(RIGHT(AA352,LEN(AA352)-MIN(FIND({0;1;2;3;4;5;6;7;8;9},AA352&amp;"0123456789"))+1)),"")</f>
        <v/>
      </c>
    </row>
    <row r="353" spans="28:28" x14ac:dyDescent="0.2">
      <c r="AB353" s="660" t="str">
        <f>IFERROR(VALUE(RIGHT(AA353,LEN(AA353)-MIN(FIND({0;1;2;3;4;5;6;7;8;9},AA353&amp;"0123456789"))+1)),"")</f>
        <v/>
      </c>
    </row>
    <row r="354" spans="28:28" x14ac:dyDescent="0.2">
      <c r="AB354" s="660" t="str">
        <f>IFERROR(VALUE(RIGHT(AA354,LEN(AA354)-MIN(FIND({0;1;2;3;4;5;6;7;8;9},AA354&amp;"0123456789"))+1)),"")</f>
        <v/>
      </c>
    </row>
    <row r="355" spans="28:28" x14ac:dyDescent="0.2">
      <c r="AB355" s="660" t="str">
        <f>IFERROR(VALUE(RIGHT(AA355,LEN(AA355)-MIN(FIND({0;1;2;3;4;5;6;7;8;9},AA355&amp;"0123456789"))+1)),"")</f>
        <v/>
      </c>
    </row>
    <row r="356" spans="28:28" x14ac:dyDescent="0.2">
      <c r="AB356" s="660" t="str">
        <f>IFERROR(VALUE(RIGHT(AA356,LEN(AA356)-MIN(FIND({0;1;2;3;4;5;6;7;8;9},AA356&amp;"0123456789"))+1)),"")</f>
        <v/>
      </c>
    </row>
    <row r="357" spans="28:28" x14ac:dyDescent="0.2">
      <c r="AB357" s="660" t="str">
        <f>IFERROR(VALUE(RIGHT(AA357,LEN(AA357)-MIN(FIND({0;1;2;3;4;5;6;7;8;9},AA357&amp;"0123456789"))+1)),"")</f>
        <v/>
      </c>
    </row>
    <row r="358" spans="28:28" x14ac:dyDescent="0.2">
      <c r="AB358" s="660" t="str">
        <f>IFERROR(VALUE(RIGHT(AA358,LEN(AA358)-MIN(FIND({0;1;2;3;4;5;6;7;8;9},AA358&amp;"0123456789"))+1)),"")</f>
        <v/>
      </c>
    </row>
    <row r="359" spans="28:28" x14ac:dyDescent="0.2">
      <c r="AB359" s="660" t="str">
        <f>IFERROR(VALUE(RIGHT(AA359,LEN(AA359)-MIN(FIND({0;1;2;3;4;5;6;7;8;9},AA359&amp;"0123456789"))+1)),"")</f>
        <v/>
      </c>
    </row>
    <row r="360" spans="28:28" x14ac:dyDescent="0.2">
      <c r="AB360" s="660" t="str">
        <f>IFERROR(VALUE(RIGHT(AA360,LEN(AA360)-MIN(FIND({0;1;2;3;4;5;6;7;8;9},AA360&amp;"0123456789"))+1)),"")</f>
        <v/>
      </c>
    </row>
    <row r="361" spans="28:28" x14ac:dyDescent="0.2">
      <c r="AB361" s="660" t="str">
        <f>IFERROR(VALUE(RIGHT(AA361,LEN(AA361)-MIN(FIND({0;1;2;3;4;5;6;7;8;9},AA361&amp;"0123456789"))+1)),"")</f>
        <v/>
      </c>
    </row>
    <row r="362" spans="28:28" x14ac:dyDescent="0.2">
      <c r="AB362" s="660" t="str">
        <f>IFERROR(VALUE(RIGHT(AA362,LEN(AA362)-MIN(FIND({0;1;2;3;4;5;6;7;8;9},AA362&amp;"0123456789"))+1)),"")</f>
        <v/>
      </c>
    </row>
    <row r="363" spans="28:28" x14ac:dyDescent="0.2">
      <c r="AB363" s="660" t="str">
        <f>IFERROR(VALUE(RIGHT(AA363,LEN(AA363)-MIN(FIND({0;1;2;3;4;5;6;7;8;9},AA363&amp;"0123456789"))+1)),"")</f>
        <v/>
      </c>
    </row>
    <row r="364" spans="28:28" x14ac:dyDescent="0.2">
      <c r="AB364" s="660" t="str">
        <f>IFERROR(VALUE(RIGHT(AA364,LEN(AA364)-MIN(FIND({0;1;2;3;4;5;6;7;8;9},AA364&amp;"0123456789"))+1)),"")</f>
        <v/>
      </c>
    </row>
    <row r="365" spans="28:28" x14ac:dyDescent="0.2">
      <c r="AB365" s="660" t="str">
        <f>IFERROR(VALUE(RIGHT(AA365,LEN(AA365)-MIN(FIND({0;1;2;3;4;5;6;7;8;9},AA365&amp;"0123456789"))+1)),"")</f>
        <v/>
      </c>
    </row>
    <row r="366" spans="28:28" x14ac:dyDescent="0.2">
      <c r="AB366" s="660" t="str">
        <f>IFERROR(VALUE(RIGHT(AA366,LEN(AA366)-MIN(FIND({0;1;2;3;4;5;6;7;8;9},AA366&amp;"0123456789"))+1)),"")</f>
        <v/>
      </c>
    </row>
    <row r="367" spans="28:28" x14ac:dyDescent="0.2">
      <c r="AB367" s="660" t="str">
        <f>IFERROR(VALUE(RIGHT(AA367,LEN(AA367)-MIN(FIND({0;1;2;3;4;5;6;7;8;9},AA367&amp;"0123456789"))+1)),"")</f>
        <v/>
      </c>
    </row>
    <row r="368" spans="28:28" x14ac:dyDescent="0.2">
      <c r="AB368" s="660" t="str">
        <f>IFERROR(VALUE(RIGHT(AA368,LEN(AA368)-MIN(FIND({0;1;2;3;4;5;6;7;8;9},AA368&amp;"0123456789"))+1)),"")</f>
        <v/>
      </c>
    </row>
    <row r="369" spans="28:28" x14ac:dyDescent="0.2">
      <c r="AB369" s="660" t="str">
        <f>IFERROR(VALUE(RIGHT(AA369,LEN(AA369)-MIN(FIND({0;1;2;3;4;5;6;7;8;9},AA369&amp;"0123456789"))+1)),"")</f>
        <v/>
      </c>
    </row>
    <row r="370" spans="28:28" x14ac:dyDescent="0.2">
      <c r="AB370" s="660" t="str">
        <f>IFERROR(VALUE(RIGHT(AA370,LEN(AA370)-MIN(FIND({0;1;2;3;4;5;6;7;8;9},AA370&amp;"0123456789"))+1)),"")</f>
        <v/>
      </c>
    </row>
    <row r="371" spans="28:28" x14ac:dyDescent="0.2">
      <c r="AB371" s="660" t="str">
        <f>IFERROR(VALUE(RIGHT(AA371,LEN(AA371)-MIN(FIND({0;1;2;3;4;5;6;7;8;9},AA371&amp;"0123456789"))+1)),"")</f>
        <v/>
      </c>
    </row>
    <row r="372" spans="28:28" x14ac:dyDescent="0.2">
      <c r="AB372" s="660" t="str">
        <f>IFERROR(VALUE(RIGHT(AA372,LEN(AA372)-MIN(FIND({0;1;2;3;4;5;6;7;8;9},AA372&amp;"0123456789"))+1)),"")</f>
        <v/>
      </c>
    </row>
    <row r="373" spans="28:28" x14ac:dyDescent="0.2">
      <c r="AB373" s="660" t="str">
        <f>IFERROR(VALUE(RIGHT(AA373,LEN(AA373)-MIN(FIND({0;1;2;3;4;5;6;7;8;9},AA373&amp;"0123456789"))+1)),"")</f>
        <v/>
      </c>
    </row>
    <row r="374" spans="28:28" x14ac:dyDescent="0.2">
      <c r="AB374" s="660" t="str">
        <f>IFERROR(VALUE(RIGHT(AA374,LEN(AA374)-MIN(FIND({0;1;2;3;4;5;6;7;8;9},AA374&amp;"0123456789"))+1)),"")</f>
        <v/>
      </c>
    </row>
    <row r="375" spans="28:28" x14ac:dyDescent="0.2">
      <c r="AB375" s="660" t="str">
        <f>IFERROR(VALUE(RIGHT(AA375,LEN(AA375)-MIN(FIND({0;1;2;3;4;5;6;7;8;9},AA375&amp;"0123456789"))+1)),"")</f>
        <v/>
      </c>
    </row>
    <row r="376" spans="28:28" x14ac:dyDescent="0.2">
      <c r="AB376" s="660" t="str">
        <f>IFERROR(VALUE(RIGHT(AA376,LEN(AA376)-MIN(FIND({0;1;2;3;4;5;6;7;8;9},AA376&amp;"0123456789"))+1)),"")</f>
        <v/>
      </c>
    </row>
    <row r="377" spans="28:28" x14ac:dyDescent="0.2">
      <c r="AB377" s="660" t="str">
        <f>IFERROR(VALUE(RIGHT(AA377,LEN(AA377)-MIN(FIND({0;1;2;3;4;5;6;7;8;9},AA377&amp;"0123456789"))+1)),"")</f>
        <v/>
      </c>
    </row>
    <row r="378" spans="28:28" x14ac:dyDescent="0.2">
      <c r="AB378" s="660" t="str">
        <f>IFERROR(VALUE(RIGHT(AA378,LEN(AA378)-MIN(FIND({0;1;2;3;4;5;6;7;8;9},AA378&amp;"0123456789"))+1)),"")</f>
        <v/>
      </c>
    </row>
    <row r="379" spans="28:28" x14ac:dyDescent="0.2">
      <c r="AB379" s="660" t="str">
        <f>IFERROR(VALUE(RIGHT(AA379,LEN(AA379)-MIN(FIND({0;1;2;3;4;5;6;7;8;9},AA379&amp;"0123456789"))+1)),"")</f>
        <v/>
      </c>
    </row>
    <row r="380" spans="28:28" x14ac:dyDescent="0.2">
      <c r="AB380" s="660" t="str">
        <f>IFERROR(VALUE(RIGHT(AA380,LEN(AA380)-MIN(FIND({0;1;2;3;4;5;6;7;8;9},AA380&amp;"0123456789"))+1)),"")</f>
        <v/>
      </c>
    </row>
    <row r="381" spans="28:28" x14ac:dyDescent="0.2">
      <c r="AB381" s="660" t="str">
        <f>IFERROR(VALUE(RIGHT(AA381,LEN(AA381)-MIN(FIND({0;1;2;3;4;5;6;7;8;9},AA381&amp;"0123456789"))+1)),"")</f>
        <v/>
      </c>
    </row>
    <row r="382" spans="28:28" x14ac:dyDescent="0.2">
      <c r="AB382" s="660" t="str">
        <f>IFERROR(VALUE(RIGHT(AA382,LEN(AA382)-MIN(FIND({0;1;2;3;4;5;6;7;8;9},AA382&amp;"0123456789"))+1)),"")</f>
        <v/>
      </c>
    </row>
    <row r="383" spans="28:28" x14ac:dyDescent="0.2">
      <c r="AB383" s="660" t="str">
        <f>IFERROR(VALUE(RIGHT(AA383,LEN(AA383)-MIN(FIND({0;1;2;3;4;5;6;7;8;9},AA383&amp;"0123456789"))+1)),"")</f>
        <v/>
      </c>
    </row>
    <row r="384" spans="28:28" x14ac:dyDescent="0.2">
      <c r="AB384" s="660" t="str">
        <f>IFERROR(VALUE(RIGHT(AA384,LEN(AA384)-MIN(FIND({0;1;2;3;4;5;6;7;8;9},AA384&amp;"0123456789"))+1)),"")</f>
        <v/>
      </c>
    </row>
    <row r="385" spans="28:28" x14ac:dyDescent="0.2">
      <c r="AB385" s="660" t="str">
        <f>IFERROR(VALUE(RIGHT(AA385,LEN(AA385)-MIN(FIND({0;1;2;3;4;5;6;7;8;9},AA385&amp;"0123456789"))+1)),"")</f>
        <v/>
      </c>
    </row>
    <row r="386" spans="28:28" x14ac:dyDescent="0.2">
      <c r="AB386" s="660" t="str">
        <f>IFERROR(VALUE(RIGHT(AA386,LEN(AA386)-MIN(FIND({0;1;2;3;4;5;6;7;8;9},AA386&amp;"0123456789"))+1)),"")</f>
        <v/>
      </c>
    </row>
    <row r="387" spans="28:28" x14ac:dyDescent="0.2">
      <c r="AB387" s="660" t="str">
        <f>IFERROR(VALUE(RIGHT(AA387,LEN(AA387)-MIN(FIND({0;1;2;3;4;5;6;7;8;9},AA387&amp;"0123456789"))+1)),"")</f>
        <v/>
      </c>
    </row>
    <row r="388" spans="28:28" x14ac:dyDescent="0.2">
      <c r="AB388" s="660" t="str">
        <f>IFERROR(VALUE(RIGHT(AA388,LEN(AA388)-MIN(FIND({0;1;2;3;4;5;6;7;8;9},AA388&amp;"0123456789"))+1)),"")</f>
        <v/>
      </c>
    </row>
    <row r="389" spans="28:28" x14ac:dyDescent="0.2">
      <c r="AB389" s="660" t="str">
        <f>IFERROR(VALUE(RIGHT(AA389,LEN(AA389)-MIN(FIND({0;1;2;3;4;5;6;7;8;9},AA389&amp;"0123456789"))+1)),"")</f>
        <v/>
      </c>
    </row>
    <row r="390" spans="28:28" x14ac:dyDescent="0.2">
      <c r="AB390" s="660" t="str">
        <f>IFERROR(VALUE(RIGHT(AA390,LEN(AA390)-MIN(FIND({0;1;2;3;4;5;6;7;8;9},AA390&amp;"0123456789"))+1)),"")</f>
        <v/>
      </c>
    </row>
    <row r="391" spans="28:28" x14ac:dyDescent="0.2">
      <c r="AB391" s="660" t="str">
        <f>IFERROR(VALUE(RIGHT(AA391,LEN(AA391)-MIN(FIND({0;1;2;3;4;5;6;7;8;9},AA391&amp;"0123456789"))+1)),"")</f>
        <v/>
      </c>
    </row>
    <row r="392" spans="28:28" x14ac:dyDescent="0.2">
      <c r="AB392" s="660" t="str">
        <f>IFERROR(VALUE(RIGHT(AA392,LEN(AA392)-MIN(FIND({0;1;2;3;4;5;6;7;8;9},AA392&amp;"0123456789"))+1)),"")</f>
        <v/>
      </c>
    </row>
    <row r="393" spans="28:28" x14ac:dyDescent="0.2">
      <c r="AB393" s="660" t="str">
        <f>IFERROR(VALUE(RIGHT(AA393,LEN(AA393)-MIN(FIND({0;1;2;3;4;5;6;7;8;9},AA393&amp;"0123456789"))+1)),"")</f>
        <v/>
      </c>
    </row>
    <row r="394" spans="28:28" x14ac:dyDescent="0.2">
      <c r="AB394" s="660" t="str">
        <f>IFERROR(VALUE(RIGHT(AA394,LEN(AA394)-MIN(FIND({0;1;2;3;4;5;6;7;8;9},AA394&amp;"0123456789"))+1)),"")</f>
        <v/>
      </c>
    </row>
    <row r="395" spans="28:28" x14ac:dyDescent="0.2">
      <c r="AB395" s="660" t="str">
        <f>IFERROR(VALUE(RIGHT(AA395,LEN(AA395)-MIN(FIND({0;1;2;3;4;5;6;7;8;9},AA395&amp;"0123456789"))+1)),"")</f>
        <v/>
      </c>
    </row>
    <row r="396" spans="28:28" x14ac:dyDescent="0.2">
      <c r="AB396" s="660" t="str">
        <f>IFERROR(VALUE(RIGHT(AA396,LEN(AA396)-MIN(FIND({0;1;2;3;4;5;6;7;8;9},AA396&amp;"0123456789"))+1)),"")</f>
        <v/>
      </c>
    </row>
    <row r="397" spans="28:28" x14ac:dyDescent="0.2">
      <c r="AB397" s="660" t="str">
        <f>IFERROR(VALUE(RIGHT(AA397,LEN(AA397)-MIN(FIND({0;1;2;3;4;5;6;7;8;9},AA397&amp;"0123456789"))+1)),"")</f>
        <v/>
      </c>
    </row>
    <row r="398" spans="28:28" x14ac:dyDescent="0.2">
      <c r="AB398" s="660" t="str">
        <f>IFERROR(VALUE(RIGHT(AA398,LEN(AA398)-MIN(FIND({0;1;2;3;4;5;6;7;8;9},AA398&amp;"0123456789"))+1)),"")</f>
        <v/>
      </c>
    </row>
    <row r="399" spans="28:28" x14ac:dyDescent="0.2">
      <c r="AB399" s="660" t="str">
        <f>IFERROR(VALUE(RIGHT(AA399,LEN(AA399)-MIN(FIND({0;1;2;3;4;5;6;7;8;9},AA399&amp;"0123456789"))+1)),"")</f>
        <v/>
      </c>
    </row>
    <row r="400" spans="28:28" x14ac:dyDescent="0.2">
      <c r="AB400" s="660" t="str">
        <f>IFERROR(VALUE(RIGHT(AA400,LEN(AA400)-MIN(FIND({0;1;2;3;4;5;6;7;8;9},AA400&amp;"0123456789"))+1)),"")</f>
        <v/>
      </c>
    </row>
    <row r="401" spans="28:28" x14ac:dyDescent="0.2">
      <c r="AB401" s="660" t="str">
        <f>IFERROR(VALUE(RIGHT(AA401,LEN(AA401)-MIN(FIND({0;1;2;3;4;5;6;7;8;9},AA401&amp;"0123456789"))+1)),"")</f>
        <v/>
      </c>
    </row>
    <row r="402" spans="28:28" x14ac:dyDescent="0.2">
      <c r="AB402" s="660" t="str">
        <f>IFERROR(VALUE(RIGHT(AA402,LEN(AA402)-MIN(FIND({0;1;2;3;4;5;6;7;8;9},AA402&amp;"0123456789"))+1)),"")</f>
        <v/>
      </c>
    </row>
    <row r="403" spans="28:28" x14ac:dyDescent="0.2">
      <c r="AB403" s="660" t="str">
        <f>IFERROR(VALUE(RIGHT(AA403,LEN(AA403)-MIN(FIND({0;1;2;3;4;5;6;7;8;9},AA403&amp;"0123456789"))+1)),"")</f>
        <v/>
      </c>
    </row>
    <row r="404" spans="28:28" x14ac:dyDescent="0.2">
      <c r="AB404" s="660" t="str">
        <f>IFERROR(VALUE(RIGHT(AA404,LEN(AA404)-MIN(FIND({0;1;2;3;4;5;6;7;8;9},AA404&amp;"0123456789"))+1)),"")</f>
        <v/>
      </c>
    </row>
    <row r="405" spans="28:28" x14ac:dyDescent="0.2">
      <c r="AB405" s="660" t="str">
        <f>IFERROR(VALUE(RIGHT(AA405,LEN(AA405)-MIN(FIND({0;1;2;3;4;5;6;7;8;9},AA405&amp;"0123456789"))+1)),"")</f>
        <v/>
      </c>
    </row>
    <row r="406" spans="28:28" x14ac:dyDescent="0.2">
      <c r="AB406" s="660" t="str">
        <f>IFERROR(VALUE(RIGHT(AA406,LEN(AA406)-MIN(FIND({0;1;2;3;4;5;6;7;8;9},AA406&amp;"0123456789"))+1)),"")</f>
        <v/>
      </c>
    </row>
    <row r="407" spans="28:28" x14ac:dyDescent="0.2">
      <c r="AB407" s="660" t="str">
        <f>IFERROR(VALUE(RIGHT(AA407,LEN(AA407)-MIN(FIND({0;1;2;3;4;5;6;7;8;9},AA407&amp;"0123456789"))+1)),"")</f>
        <v/>
      </c>
    </row>
    <row r="408" spans="28:28" x14ac:dyDescent="0.2">
      <c r="AB408" s="660" t="str">
        <f>IFERROR(VALUE(RIGHT(AA408,LEN(AA408)-MIN(FIND({0;1;2;3;4;5;6;7;8;9},AA408&amp;"0123456789"))+1)),"")</f>
        <v/>
      </c>
    </row>
    <row r="409" spans="28:28" x14ac:dyDescent="0.2">
      <c r="AB409" s="660" t="str">
        <f>IFERROR(VALUE(RIGHT(AA409,LEN(AA409)-MIN(FIND({0;1;2;3;4;5;6;7;8;9},AA409&amp;"0123456789"))+1)),"")</f>
        <v/>
      </c>
    </row>
    <row r="410" spans="28:28" x14ac:dyDescent="0.2">
      <c r="AB410" s="660" t="str">
        <f>IFERROR(VALUE(RIGHT(AA410,LEN(AA410)-MIN(FIND({0;1;2;3;4;5;6;7;8;9},AA410&amp;"0123456789"))+1)),"")</f>
        <v/>
      </c>
    </row>
    <row r="411" spans="28:28" x14ac:dyDescent="0.2">
      <c r="AB411" s="660" t="str">
        <f>IFERROR(VALUE(RIGHT(AA411,LEN(AA411)-MIN(FIND({0;1;2;3;4;5;6;7;8;9},AA411&amp;"0123456789"))+1)),"")</f>
        <v/>
      </c>
    </row>
    <row r="412" spans="28:28" x14ac:dyDescent="0.2">
      <c r="AB412" s="660" t="str">
        <f>IFERROR(VALUE(RIGHT(AA412,LEN(AA412)-MIN(FIND({0;1;2;3;4;5;6;7;8;9},AA412&amp;"0123456789"))+1)),"")</f>
        <v/>
      </c>
    </row>
    <row r="413" spans="28:28" x14ac:dyDescent="0.2">
      <c r="AB413" s="660" t="str">
        <f>IFERROR(VALUE(RIGHT(AA413,LEN(AA413)-MIN(FIND({0;1;2;3;4;5;6;7;8;9},AA413&amp;"0123456789"))+1)),"")</f>
        <v/>
      </c>
    </row>
    <row r="414" spans="28:28" x14ac:dyDescent="0.2">
      <c r="AB414" s="660" t="str">
        <f>IFERROR(VALUE(RIGHT(AA414,LEN(AA414)-MIN(FIND({0;1;2;3;4;5;6;7;8;9},AA414&amp;"0123456789"))+1)),"")</f>
        <v/>
      </c>
    </row>
    <row r="415" spans="28:28" x14ac:dyDescent="0.2">
      <c r="AB415" s="660" t="str">
        <f>IFERROR(VALUE(RIGHT(AA415,LEN(AA415)-MIN(FIND({0;1;2;3;4;5;6;7;8;9},AA415&amp;"0123456789"))+1)),"")</f>
        <v/>
      </c>
    </row>
    <row r="416" spans="28:28" x14ac:dyDescent="0.2">
      <c r="AB416" s="660" t="str">
        <f>IFERROR(VALUE(RIGHT(AA416,LEN(AA416)-MIN(FIND({0;1;2;3;4;5;6;7;8;9},AA416&amp;"0123456789"))+1)),"")</f>
        <v/>
      </c>
    </row>
    <row r="417" spans="28:28" x14ac:dyDescent="0.2">
      <c r="AB417" s="660" t="str">
        <f>IFERROR(VALUE(RIGHT(AA417,LEN(AA417)-MIN(FIND({0;1;2;3;4;5;6;7;8;9},AA417&amp;"0123456789"))+1)),"")</f>
        <v/>
      </c>
    </row>
    <row r="418" spans="28:28" x14ac:dyDescent="0.2">
      <c r="AB418" s="660" t="str">
        <f>IFERROR(VALUE(RIGHT(AA418,LEN(AA418)-MIN(FIND({0;1;2;3;4;5;6;7;8;9},AA418&amp;"0123456789"))+1)),"")</f>
        <v/>
      </c>
    </row>
    <row r="419" spans="28:28" x14ac:dyDescent="0.2">
      <c r="AB419" s="660" t="str">
        <f>IFERROR(VALUE(RIGHT(AA419,LEN(AA419)-MIN(FIND({0;1;2;3;4;5;6;7;8;9},AA419&amp;"0123456789"))+1)),"")</f>
        <v/>
      </c>
    </row>
    <row r="420" spans="28:28" x14ac:dyDescent="0.2">
      <c r="AB420" s="660" t="str">
        <f>IFERROR(VALUE(RIGHT(AA420,LEN(AA420)-MIN(FIND({0;1;2;3;4;5;6;7;8;9},AA420&amp;"0123456789"))+1)),"")</f>
        <v/>
      </c>
    </row>
    <row r="421" spans="28:28" x14ac:dyDescent="0.2">
      <c r="AB421" s="660" t="str">
        <f>IFERROR(VALUE(RIGHT(AA421,LEN(AA421)-MIN(FIND({0;1;2;3;4;5;6;7;8;9},AA421&amp;"0123456789"))+1)),"")</f>
        <v/>
      </c>
    </row>
    <row r="422" spans="28:28" x14ac:dyDescent="0.2">
      <c r="AB422" s="660" t="str">
        <f>IFERROR(VALUE(RIGHT(AA422,LEN(AA422)-MIN(FIND({0;1;2;3;4;5;6;7;8;9},AA422&amp;"0123456789"))+1)),"")</f>
        <v/>
      </c>
    </row>
    <row r="423" spans="28:28" x14ac:dyDescent="0.2">
      <c r="AB423" s="660" t="str">
        <f>IFERROR(VALUE(RIGHT(AA423,LEN(AA423)-MIN(FIND({0;1;2;3;4;5;6;7;8;9},AA423&amp;"0123456789"))+1)),"")</f>
        <v/>
      </c>
    </row>
    <row r="424" spans="28:28" x14ac:dyDescent="0.2">
      <c r="AB424" s="660" t="str">
        <f>IFERROR(VALUE(RIGHT(AA424,LEN(AA424)-MIN(FIND({0;1;2;3;4;5;6;7;8;9},AA424&amp;"0123456789"))+1)),"")</f>
        <v/>
      </c>
    </row>
    <row r="425" spans="28:28" x14ac:dyDescent="0.2">
      <c r="AB425" s="660" t="str">
        <f>IFERROR(VALUE(RIGHT(AA425,LEN(AA425)-MIN(FIND({0;1;2;3;4;5;6;7;8;9},AA425&amp;"0123456789"))+1)),"")</f>
        <v/>
      </c>
    </row>
    <row r="426" spans="28:28" x14ac:dyDescent="0.2">
      <c r="AB426" s="660" t="str">
        <f>IFERROR(VALUE(RIGHT(AA426,LEN(AA426)-MIN(FIND({0;1;2;3;4;5;6;7;8;9},AA426&amp;"0123456789"))+1)),"")</f>
        <v/>
      </c>
    </row>
    <row r="427" spans="28:28" x14ac:dyDescent="0.2">
      <c r="AB427" s="660" t="str">
        <f>IFERROR(VALUE(RIGHT(AA427,LEN(AA427)-MIN(FIND({0;1;2;3;4;5;6;7;8;9},AA427&amp;"0123456789"))+1)),"")</f>
        <v/>
      </c>
    </row>
    <row r="428" spans="28:28" x14ac:dyDescent="0.2">
      <c r="AB428" s="660" t="str">
        <f>IFERROR(VALUE(RIGHT(AA428,LEN(AA428)-MIN(FIND({0;1;2;3;4;5;6;7;8;9},AA428&amp;"0123456789"))+1)),"")</f>
        <v/>
      </c>
    </row>
    <row r="429" spans="28:28" x14ac:dyDescent="0.2">
      <c r="AB429" s="660" t="str">
        <f>IFERROR(VALUE(RIGHT(AA429,LEN(AA429)-MIN(FIND({0;1;2;3;4;5;6;7;8;9},AA429&amp;"0123456789"))+1)),"")</f>
        <v/>
      </c>
    </row>
    <row r="430" spans="28:28" x14ac:dyDescent="0.2">
      <c r="AB430" s="660" t="str">
        <f>IFERROR(VALUE(RIGHT(AA430,LEN(AA430)-MIN(FIND({0;1;2;3;4;5;6;7;8;9},AA430&amp;"0123456789"))+1)),"")</f>
        <v/>
      </c>
    </row>
    <row r="431" spans="28:28" x14ac:dyDescent="0.2">
      <c r="AB431" s="660" t="str">
        <f>IFERROR(VALUE(RIGHT(AA431,LEN(AA431)-MIN(FIND({0;1;2;3;4;5;6;7;8;9},AA431&amp;"0123456789"))+1)),"")</f>
        <v/>
      </c>
    </row>
    <row r="432" spans="28:28" x14ac:dyDescent="0.2">
      <c r="AB432" s="660" t="str">
        <f>IFERROR(VALUE(RIGHT(AA432,LEN(AA432)-MIN(FIND({0;1;2;3;4;5;6;7;8;9},AA432&amp;"0123456789"))+1)),"")</f>
        <v/>
      </c>
    </row>
    <row r="433" spans="28:28" x14ac:dyDescent="0.2">
      <c r="AB433" s="660" t="str">
        <f>IFERROR(VALUE(RIGHT(AA433,LEN(AA433)-MIN(FIND({0;1;2;3;4;5;6;7;8;9},AA433&amp;"0123456789"))+1)),"")</f>
        <v/>
      </c>
    </row>
    <row r="434" spans="28:28" x14ac:dyDescent="0.2">
      <c r="AB434" s="660" t="str">
        <f>IFERROR(VALUE(RIGHT(AA434,LEN(AA434)-MIN(FIND({0;1;2;3;4;5;6;7;8;9},AA434&amp;"0123456789"))+1)),"")</f>
        <v/>
      </c>
    </row>
    <row r="435" spans="28:28" x14ac:dyDescent="0.2">
      <c r="AB435" s="660" t="str">
        <f>IFERROR(VALUE(RIGHT(AA435,LEN(AA435)-MIN(FIND({0;1;2;3;4;5;6;7;8;9},AA435&amp;"0123456789"))+1)),"")</f>
        <v/>
      </c>
    </row>
    <row r="436" spans="28:28" x14ac:dyDescent="0.2">
      <c r="AB436" s="660" t="str">
        <f>IFERROR(VALUE(RIGHT(AA436,LEN(AA436)-MIN(FIND({0;1;2;3;4;5;6;7;8;9},AA436&amp;"0123456789"))+1)),"")</f>
        <v/>
      </c>
    </row>
    <row r="437" spans="28:28" x14ac:dyDescent="0.2">
      <c r="AB437" s="660" t="str">
        <f>IFERROR(VALUE(RIGHT(AA437,LEN(AA437)-MIN(FIND({0;1;2;3;4;5;6;7;8;9},AA437&amp;"0123456789"))+1)),"")</f>
        <v/>
      </c>
    </row>
    <row r="438" spans="28:28" x14ac:dyDescent="0.2">
      <c r="AB438" s="660" t="str">
        <f>IFERROR(VALUE(RIGHT(AA438,LEN(AA438)-MIN(FIND({0;1;2;3;4;5;6;7;8;9},AA438&amp;"0123456789"))+1)),"")</f>
        <v/>
      </c>
    </row>
    <row r="439" spans="28:28" x14ac:dyDescent="0.2">
      <c r="AB439" s="660" t="str">
        <f>IFERROR(VALUE(RIGHT(AA439,LEN(AA439)-MIN(FIND({0;1;2;3;4;5;6;7;8;9},AA439&amp;"0123456789"))+1)),"")</f>
        <v/>
      </c>
    </row>
    <row r="440" spans="28:28" x14ac:dyDescent="0.2">
      <c r="AB440" s="660" t="str">
        <f>IFERROR(VALUE(RIGHT(AA440,LEN(AA440)-MIN(FIND({0;1;2;3;4;5;6;7;8;9},AA440&amp;"0123456789"))+1)),"")</f>
        <v/>
      </c>
    </row>
    <row r="441" spans="28:28" x14ac:dyDescent="0.2">
      <c r="AB441" s="660" t="str">
        <f>IFERROR(VALUE(RIGHT(AA441,LEN(AA441)-MIN(FIND({0;1;2;3;4;5;6;7;8;9},AA441&amp;"0123456789"))+1)),"")</f>
        <v/>
      </c>
    </row>
    <row r="442" spans="28:28" x14ac:dyDescent="0.2">
      <c r="AB442" s="660" t="str">
        <f>IFERROR(VALUE(RIGHT(AA442,LEN(AA442)-MIN(FIND({0;1;2;3;4;5;6;7;8;9},AA442&amp;"0123456789"))+1)),"")</f>
        <v/>
      </c>
    </row>
    <row r="443" spans="28:28" x14ac:dyDescent="0.2">
      <c r="AB443" s="660" t="str">
        <f>IFERROR(VALUE(RIGHT(AA443,LEN(AA443)-MIN(FIND({0;1;2;3;4;5;6;7;8;9},AA443&amp;"0123456789"))+1)),"")</f>
        <v/>
      </c>
    </row>
    <row r="444" spans="28:28" x14ac:dyDescent="0.2">
      <c r="AB444" s="660" t="str">
        <f>IFERROR(VALUE(RIGHT(AA444,LEN(AA444)-MIN(FIND({0;1;2;3;4;5;6;7;8;9},AA444&amp;"0123456789"))+1)),"")</f>
        <v/>
      </c>
    </row>
    <row r="445" spans="28:28" x14ac:dyDescent="0.2">
      <c r="AB445" s="660" t="str">
        <f>IFERROR(VALUE(RIGHT(AA445,LEN(AA445)-MIN(FIND({0;1;2;3;4;5;6;7;8;9},AA445&amp;"0123456789"))+1)),"")</f>
        <v/>
      </c>
    </row>
    <row r="446" spans="28:28" x14ac:dyDescent="0.2">
      <c r="AB446" s="660" t="str">
        <f>IFERROR(VALUE(RIGHT(AA446,LEN(AA446)-MIN(FIND({0;1;2;3;4;5;6;7;8;9},AA446&amp;"0123456789"))+1)),"")</f>
        <v/>
      </c>
    </row>
    <row r="447" spans="28:28" x14ac:dyDescent="0.2">
      <c r="AB447" s="660" t="str">
        <f>IFERROR(VALUE(RIGHT(AA447,LEN(AA447)-MIN(FIND({0;1;2;3;4;5;6;7;8;9},AA447&amp;"0123456789"))+1)),"")</f>
        <v/>
      </c>
    </row>
    <row r="448" spans="28:28" x14ac:dyDescent="0.2">
      <c r="AB448" s="660" t="str">
        <f>IFERROR(VALUE(RIGHT(AA448,LEN(AA448)-MIN(FIND({0;1;2;3;4;5;6;7;8;9},AA448&amp;"0123456789"))+1)),"")</f>
        <v/>
      </c>
    </row>
    <row r="449" spans="28:28" x14ac:dyDescent="0.2">
      <c r="AB449" s="660" t="str">
        <f>IFERROR(VALUE(RIGHT(AA449,LEN(AA449)-MIN(FIND({0;1;2;3;4;5;6;7;8;9},AA449&amp;"0123456789"))+1)),"")</f>
        <v/>
      </c>
    </row>
    <row r="450" spans="28:28" x14ac:dyDescent="0.2">
      <c r="AB450" s="660" t="str">
        <f>IFERROR(VALUE(RIGHT(AA450,LEN(AA450)-MIN(FIND({0;1;2;3;4;5;6;7;8;9},AA450&amp;"0123456789"))+1)),"")</f>
        <v/>
      </c>
    </row>
    <row r="451" spans="28:28" x14ac:dyDescent="0.2">
      <c r="AB451" s="660" t="str">
        <f>IFERROR(VALUE(RIGHT(AA451,LEN(AA451)-MIN(FIND({0;1;2;3;4;5;6;7;8;9},AA451&amp;"0123456789"))+1)),"")</f>
        <v/>
      </c>
    </row>
    <row r="452" spans="28:28" x14ac:dyDescent="0.2">
      <c r="AB452" s="660" t="str">
        <f>IFERROR(VALUE(RIGHT(AA452,LEN(AA452)-MIN(FIND({0;1;2;3;4;5;6;7;8;9},AA452&amp;"0123456789"))+1)),"")</f>
        <v/>
      </c>
    </row>
    <row r="453" spans="28:28" x14ac:dyDescent="0.2">
      <c r="AB453" s="660" t="str">
        <f>IFERROR(VALUE(RIGHT(AA453,LEN(AA453)-MIN(FIND({0;1;2;3;4;5;6;7;8;9},AA453&amp;"0123456789"))+1)),"")</f>
        <v/>
      </c>
    </row>
    <row r="454" spans="28:28" x14ac:dyDescent="0.2">
      <c r="AB454" s="660" t="str">
        <f>IFERROR(VALUE(RIGHT(AA454,LEN(AA454)-MIN(FIND({0;1;2;3;4;5;6;7;8;9},AA454&amp;"0123456789"))+1)),"")</f>
        <v/>
      </c>
    </row>
    <row r="455" spans="28:28" x14ac:dyDescent="0.2">
      <c r="AB455" s="660" t="str">
        <f>IFERROR(VALUE(RIGHT(AA455,LEN(AA455)-MIN(FIND({0;1;2;3;4;5;6;7;8;9},AA455&amp;"0123456789"))+1)),"")</f>
        <v/>
      </c>
    </row>
    <row r="456" spans="28:28" x14ac:dyDescent="0.2">
      <c r="AB456" s="660" t="str">
        <f>IFERROR(VALUE(RIGHT(AA456,LEN(AA456)-MIN(FIND({0;1;2;3;4;5;6;7;8;9},AA456&amp;"0123456789"))+1)),"")</f>
        <v/>
      </c>
    </row>
    <row r="457" spans="28:28" x14ac:dyDescent="0.2">
      <c r="AB457" s="660" t="str">
        <f>IFERROR(VALUE(RIGHT(AA457,LEN(AA457)-MIN(FIND({0;1;2;3;4;5;6;7;8;9},AA457&amp;"0123456789"))+1)),"")</f>
        <v/>
      </c>
    </row>
    <row r="458" spans="28:28" x14ac:dyDescent="0.2">
      <c r="AB458" s="660" t="str">
        <f>IFERROR(VALUE(RIGHT(AA458,LEN(AA458)-MIN(FIND({0;1;2;3;4;5;6;7;8;9},AA458&amp;"0123456789"))+1)),"")</f>
        <v/>
      </c>
    </row>
    <row r="459" spans="28:28" x14ac:dyDescent="0.2">
      <c r="AB459" s="660" t="str">
        <f>IFERROR(VALUE(RIGHT(AA459,LEN(AA459)-MIN(FIND({0;1;2;3;4;5;6;7;8;9},AA459&amp;"0123456789"))+1)),"")</f>
        <v/>
      </c>
    </row>
    <row r="460" spans="28:28" x14ac:dyDescent="0.2">
      <c r="AB460" s="660" t="str">
        <f>IFERROR(VALUE(RIGHT(AA460,LEN(AA460)-MIN(FIND({0;1;2;3;4;5;6;7;8;9},AA460&amp;"0123456789"))+1)),"")</f>
        <v/>
      </c>
    </row>
    <row r="461" spans="28:28" x14ac:dyDescent="0.2">
      <c r="AB461" s="660" t="str">
        <f>IFERROR(VALUE(RIGHT(AA461,LEN(AA461)-MIN(FIND({0;1;2;3;4;5;6;7;8;9},AA461&amp;"0123456789"))+1)),"")</f>
        <v/>
      </c>
    </row>
    <row r="462" spans="28:28" x14ac:dyDescent="0.2">
      <c r="AB462" s="660" t="str">
        <f>IFERROR(VALUE(RIGHT(AA462,LEN(AA462)-MIN(FIND({0;1;2;3;4;5;6;7;8;9},AA462&amp;"0123456789"))+1)),"")</f>
        <v/>
      </c>
    </row>
    <row r="463" spans="28:28" x14ac:dyDescent="0.2">
      <c r="AB463" s="660" t="str">
        <f>IFERROR(VALUE(RIGHT(AA463,LEN(AA463)-MIN(FIND({0;1;2;3;4;5;6;7;8;9},AA463&amp;"0123456789"))+1)),"")</f>
        <v/>
      </c>
    </row>
    <row r="464" spans="28:28" x14ac:dyDescent="0.2">
      <c r="AB464" s="660" t="str">
        <f>IFERROR(VALUE(RIGHT(AA464,LEN(AA464)-MIN(FIND({0;1;2;3;4;5;6;7;8;9},AA464&amp;"0123456789"))+1)),"")</f>
        <v/>
      </c>
    </row>
    <row r="465" spans="28:28" x14ac:dyDescent="0.2">
      <c r="AB465" s="660" t="str">
        <f>IFERROR(VALUE(RIGHT(AA465,LEN(AA465)-MIN(FIND({0;1;2;3;4;5;6;7;8;9},AA465&amp;"0123456789"))+1)),"")</f>
        <v/>
      </c>
    </row>
    <row r="466" spans="28:28" x14ac:dyDescent="0.2">
      <c r="AB466" s="660" t="str">
        <f>IFERROR(VALUE(RIGHT(AA466,LEN(AA466)-MIN(FIND({0;1;2;3;4;5;6;7;8;9},AA466&amp;"0123456789"))+1)),"")</f>
        <v/>
      </c>
    </row>
    <row r="467" spans="28:28" x14ac:dyDescent="0.2">
      <c r="AB467" s="660" t="str">
        <f>IFERROR(VALUE(RIGHT(AA467,LEN(AA467)-MIN(FIND({0;1;2;3;4;5;6;7;8;9},AA467&amp;"0123456789"))+1)),"")</f>
        <v/>
      </c>
    </row>
    <row r="468" spans="28:28" x14ac:dyDescent="0.2">
      <c r="AB468" s="660" t="str">
        <f>IFERROR(VALUE(RIGHT(AA468,LEN(AA468)-MIN(FIND({0;1;2;3;4;5;6;7;8;9},AA468&amp;"0123456789"))+1)),"")</f>
        <v/>
      </c>
    </row>
    <row r="469" spans="28:28" x14ac:dyDescent="0.2">
      <c r="AB469" s="660" t="str">
        <f>IFERROR(VALUE(RIGHT(AA469,LEN(AA469)-MIN(FIND({0;1;2;3;4;5;6;7;8;9},AA469&amp;"0123456789"))+1)),"")</f>
        <v/>
      </c>
    </row>
    <row r="470" spans="28:28" x14ac:dyDescent="0.2">
      <c r="AB470" s="660" t="str">
        <f>IFERROR(VALUE(RIGHT(AA470,LEN(AA470)-MIN(FIND({0;1;2;3;4;5;6;7;8;9},AA470&amp;"0123456789"))+1)),"")</f>
        <v/>
      </c>
    </row>
    <row r="471" spans="28:28" x14ac:dyDescent="0.2">
      <c r="AB471" s="660" t="str">
        <f>IFERROR(VALUE(RIGHT(AA471,LEN(AA471)-MIN(FIND({0;1;2;3;4;5;6;7;8;9},AA471&amp;"0123456789"))+1)),"")</f>
        <v/>
      </c>
    </row>
    <row r="472" spans="28:28" x14ac:dyDescent="0.2">
      <c r="AB472" s="660" t="str">
        <f>IFERROR(VALUE(RIGHT(AA472,LEN(AA472)-MIN(FIND({0;1;2;3;4;5;6;7;8;9},AA472&amp;"0123456789"))+1)),"")</f>
        <v/>
      </c>
    </row>
    <row r="473" spans="28:28" x14ac:dyDescent="0.2">
      <c r="AB473" s="660" t="str">
        <f>IFERROR(VALUE(RIGHT(AA473,LEN(AA473)-MIN(FIND({0;1;2;3;4;5;6;7;8;9},AA473&amp;"0123456789"))+1)),"")</f>
        <v/>
      </c>
    </row>
    <row r="474" spans="28:28" x14ac:dyDescent="0.2">
      <c r="AB474" s="660" t="str">
        <f>IFERROR(VALUE(RIGHT(AA474,LEN(AA474)-MIN(FIND({0;1;2;3;4;5;6;7;8;9},AA474&amp;"0123456789"))+1)),"")</f>
        <v/>
      </c>
    </row>
    <row r="475" spans="28:28" x14ac:dyDescent="0.2">
      <c r="AB475" s="660" t="str">
        <f>IFERROR(VALUE(RIGHT(AA475,LEN(AA475)-MIN(FIND({0;1;2;3;4;5;6;7;8;9},AA475&amp;"0123456789"))+1)),"")</f>
        <v/>
      </c>
    </row>
    <row r="476" spans="28:28" x14ac:dyDescent="0.2">
      <c r="AB476" s="660" t="str">
        <f>IFERROR(VALUE(RIGHT(AA476,LEN(AA476)-MIN(FIND({0;1;2;3;4;5;6;7;8;9},AA476&amp;"0123456789"))+1)),"")</f>
        <v/>
      </c>
    </row>
    <row r="477" spans="28:28" x14ac:dyDescent="0.2">
      <c r="AB477" s="660" t="str">
        <f>IFERROR(VALUE(RIGHT(AA477,LEN(AA477)-MIN(FIND({0;1;2;3;4;5;6;7;8;9},AA477&amp;"0123456789"))+1)),"")</f>
        <v/>
      </c>
    </row>
    <row r="478" spans="28:28" x14ac:dyDescent="0.2">
      <c r="AB478" s="660" t="str">
        <f>IFERROR(VALUE(RIGHT(AA478,LEN(AA478)-MIN(FIND({0;1;2;3;4;5;6;7;8;9},AA478&amp;"0123456789"))+1)),"")</f>
        <v/>
      </c>
    </row>
    <row r="479" spans="28:28" x14ac:dyDescent="0.2">
      <c r="AB479" s="660" t="str">
        <f>IFERROR(VALUE(RIGHT(AA479,LEN(AA479)-MIN(FIND({0;1;2;3;4;5;6;7;8;9},AA479&amp;"0123456789"))+1)),"")</f>
        <v/>
      </c>
    </row>
    <row r="480" spans="28:28" x14ac:dyDescent="0.2">
      <c r="AB480" s="660" t="str">
        <f>IFERROR(VALUE(RIGHT(AA480,LEN(AA480)-MIN(FIND({0;1;2;3;4;5;6;7;8;9},AA480&amp;"0123456789"))+1)),"")</f>
        <v/>
      </c>
    </row>
    <row r="481" spans="28:28" x14ac:dyDescent="0.2">
      <c r="AB481" s="660" t="str">
        <f>IFERROR(VALUE(RIGHT(AA481,LEN(AA481)-MIN(FIND({0;1;2;3;4;5;6;7;8;9},AA481&amp;"0123456789"))+1)),"")</f>
        <v/>
      </c>
    </row>
    <row r="482" spans="28:28" x14ac:dyDescent="0.2">
      <c r="AB482" s="660" t="str">
        <f>IFERROR(VALUE(RIGHT(AA482,LEN(AA482)-MIN(FIND({0;1;2;3;4;5;6;7;8;9},AA482&amp;"0123456789"))+1)),"")</f>
        <v/>
      </c>
    </row>
    <row r="483" spans="28:28" x14ac:dyDescent="0.2">
      <c r="AB483" s="660" t="str">
        <f>IFERROR(VALUE(RIGHT(AA483,LEN(AA483)-MIN(FIND({0;1;2;3;4;5;6;7;8;9},AA483&amp;"0123456789"))+1)),"")</f>
        <v/>
      </c>
    </row>
    <row r="484" spans="28:28" x14ac:dyDescent="0.2">
      <c r="AB484" s="660" t="str">
        <f>IFERROR(VALUE(RIGHT(AA484,LEN(AA484)-MIN(FIND({0;1;2;3;4;5;6;7;8;9},AA484&amp;"0123456789"))+1)),"")</f>
        <v/>
      </c>
    </row>
    <row r="485" spans="28:28" x14ac:dyDescent="0.2">
      <c r="AB485" s="660" t="str">
        <f>IFERROR(VALUE(RIGHT(AA485,LEN(AA485)-MIN(FIND({0;1;2;3;4;5;6;7;8;9},AA485&amp;"0123456789"))+1)),"")</f>
        <v/>
      </c>
    </row>
    <row r="486" spans="28:28" x14ac:dyDescent="0.2">
      <c r="AB486" s="660" t="str">
        <f>IFERROR(VALUE(RIGHT(AA486,LEN(AA486)-MIN(FIND({0;1;2;3;4;5;6;7;8;9},AA486&amp;"0123456789"))+1)),"")</f>
        <v/>
      </c>
    </row>
    <row r="487" spans="28:28" x14ac:dyDescent="0.2">
      <c r="AB487" s="660" t="str">
        <f>IFERROR(VALUE(RIGHT(AA487,LEN(AA487)-MIN(FIND({0;1;2;3;4;5;6;7;8;9},AA487&amp;"0123456789"))+1)),"")</f>
        <v/>
      </c>
    </row>
    <row r="488" spans="28:28" x14ac:dyDescent="0.2">
      <c r="AB488" s="660" t="str">
        <f>IFERROR(VALUE(RIGHT(AA488,LEN(AA488)-MIN(FIND({0;1;2;3;4;5;6;7;8;9},AA488&amp;"0123456789"))+1)),"")</f>
        <v/>
      </c>
    </row>
    <row r="489" spans="28:28" x14ac:dyDescent="0.2">
      <c r="AB489" s="660" t="str">
        <f>IFERROR(VALUE(RIGHT(AA489,LEN(AA489)-MIN(FIND({0;1;2;3;4;5;6;7;8;9},AA489&amp;"0123456789"))+1)),"")</f>
        <v/>
      </c>
    </row>
    <row r="490" spans="28:28" x14ac:dyDescent="0.2">
      <c r="AB490" s="660" t="str">
        <f>IFERROR(VALUE(RIGHT(AA490,LEN(AA490)-MIN(FIND({0;1;2;3;4;5;6;7;8;9},AA490&amp;"0123456789"))+1)),"")</f>
        <v/>
      </c>
    </row>
    <row r="491" spans="28:28" x14ac:dyDescent="0.2">
      <c r="AB491" s="660" t="str">
        <f>IFERROR(VALUE(RIGHT(AA491,LEN(AA491)-MIN(FIND({0;1;2;3;4;5;6;7;8;9},AA491&amp;"0123456789"))+1)),"")</f>
        <v/>
      </c>
    </row>
    <row r="492" spans="28:28" x14ac:dyDescent="0.2">
      <c r="AB492" s="660" t="str">
        <f>IFERROR(VALUE(RIGHT(AA492,LEN(AA492)-MIN(FIND({0;1;2;3;4;5;6;7;8;9},AA492&amp;"0123456789"))+1)),"")</f>
        <v/>
      </c>
    </row>
    <row r="493" spans="28:28" x14ac:dyDescent="0.2">
      <c r="AB493" s="660" t="str">
        <f>IFERROR(VALUE(RIGHT(AA493,LEN(AA493)-MIN(FIND({0;1;2;3;4;5;6;7;8;9},AA493&amp;"0123456789"))+1)),"")</f>
        <v/>
      </c>
    </row>
    <row r="494" spans="28:28" x14ac:dyDescent="0.2">
      <c r="AB494" s="660" t="str">
        <f>IFERROR(VALUE(RIGHT(AA494,LEN(AA494)-MIN(FIND({0;1;2;3;4;5;6;7;8;9},AA494&amp;"0123456789"))+1)),"")</f>
        <v/>
      </c>
    </row>
    <row r="495" spans="28:28" x14ac:dyDescent="0.2">
      <c r="AB495" s="660" t="str">
        <f>IFERROR(VALUE(RIGHT(AA495,LEN(AA495)-MIN(FIND({0;1;2;3;4;5;6;7;8;9},AA495&amp;"0123456789"))+1)),"")</f>
        <v/>
      </c>
    </row>
    <row r="496" spans="28:28" x14ac:dyDescent="0.2">
      <c r="AB496" s="660" t="str">
        <f>IFERROR(VALUE(RIGHT(AA496,LEN(AA496)-MIN(FIND({0;1;2;3;4;5;6;7;8;9},AA496&amp;"0123456789"))+1)),"")</f>
        <v/>
      </c>
    </row>
    <row r="497" spans="28:28" x14ac:dyDescent="0.2">
      <c r="AB497" s="660" t="str">
        <f>IFERROR(VALUE(RIGHT(AA497,LEN(AA497)-MIN(FIND({0;1;2;3;4;5;6;7;8;9},AA497&amp;"0123456789"))+1)),"")</f>
        <v/>
      </c>
    </row>
    <row r="498" spans="28:28" x14ac:dyDescent="0.2">
      <c r="AB498" s="660" t="str">
        <f>IFERROR(VALUE(RIGHT(AA498,LEN(AA498)-MIN(FIND({0;1;2;3;4;5;6;7;8;9},AA498&amp;"0123456789"))+1)),"")</f>
        <v/>
      </c>
    </row>
    <row r="499" spans="28:28" x14ac:dyDescent="0.2">
      <c r="AB499" s="660" t="str">
        <f>IFERROR(VALUE(RIGHT(AA499,LEN(AA499)-MIN(FIND({0;1;2;3;4;5;6;7;8;9},AA499&amp;"0123456789"))+1)),"")</f>
        <v/>
      </c>
    </row>
    <row r="500" spans="28:28" x14ac:dyDescent="0.2">
      <c r="AB500" s="660" t="str">
        <f>IFERROR(VALUE(RIGHT(AA500,LEN(AA500)-MIN(FIND({0;1;2;3;4;5;6;7;8;9},AA500&amp;"0123456789"))+1)),"")</f>
        <v/>
      </c>
    </row>
    <row r="501" spans="28:28" x14ac:dyDescent="0.2">
      <c r="AB501" s="660" t="str">
        <f>IFERROR(VALUE(RIGHT(AA501,LEN(AA501)-MIN(FIND({0;1;2;3;4;5;6;7;8;9},AA501&amp;"0123456789"))+1)),"")</f>
        <v/>
      </c>
    </row>
    <row r="502" spans="28:28" x14ac:dyDescent="0.2">
      <c r="AB502" s="660" t="str">
        <f>IFERROR(VALUE(RIGHT(AA502,LEN(AA502)-MIN(FIND({0;1;2;3;4;5;6;7;8;9},AA502&amp;"0123456789"))+1)),"")</f>
        <v/>
      </c>
    </row>
    <row r="503" spans="28:28" x14ac:dyDescent="0.2">
      <c r="AB503" s="660" t="str">
        <f>IFERROR(VALUE(RIGHT(AA503,LEN(AA503)-MIN(FIND({0;1;2;3;4;5;6;7;8;9},AA503&amp;"0123456789"))+1)),"")</f>
        <v/>
      </c>
    </row>
    <row r="504" spans="28:28" x14ac:dyDescent="0.2">
      <c r="AB504" s="660" t="str">
        <f>IFERROR(VALUE(RIGHT(AA504,LEN(AA504)-MIN(FIND({0;1;2;3;4;5;6;7;8;9},AA504&amp;"0123456789"))+1)),"")</f>
        <v/>
      </c>
    </row>
    <row r="505" spans="28:28" x14ac:dyDescent="0.2">
      <c r="AB505" s="660" t="str">
        <f>IFERROR(VALUE(RIGHT(AA505,LEN(AA505)-MIN(FIND({0;1;2;3;4;5;6;7;8;9},AA505&amp;"0123456789"))+1)),"")</f>
        <v/>
      </c>
    </row>
    <row r="506" spans="28:28" x14ac:dyDescent="0.2">
      <c r="AB506" s="660" t="str">
        <f>IFERROR(VALUE(RIGHT(AA506,LEN(AA506)-MIN(FIND({0;1;2;3;4;5;6;7;8;9},AA506&amp;"0123456789"))+1)),"")</f>
        <v/>
      </c>
    </row>
    <row r="507" spans="28:28" x14ac:dyDescent="0.2">
      <c r="AB507" s="660" t="str">
        <f>IFERROR(VALUE(RIGHT(AA507,LEN(AA507)-MIN(FIND({0;1;2;3;4;5;6;7;8;9},AA507&amp;"0123456789"))+1)),"")</f>
        <v/>
      </c>
    </row>
    <row r="508" spans="28:28" x14ac:dyDescent="0.2">
      <c r="AB508" s="660" t="str">
        <f>IFERROR(VALUE(RIGHT(AA508,LEN(AA508)-MIN(FIND({0;1;2;3;4;5;6;7;8;9},AA508&amp;"0123456789"))+1)),"")</f>
        <v/>
      </c>
    </row>
    <row r="509" spans="28:28" x14ac:dyDescent="0.2">
      <c r="AB509" s="660" t="str">
        <f>IFERROR(VALUE(RIGHT(AA509,LEN(AA509)-MIN(FIND({0;1;2;3;4;5;6;7;8;9},AA509&amp;"0123456789"))+1)),"")</f>
        <v/>
      </c>
    </row>
    <row r="510" spans="28:28" x14ac:dyDescent="0.2">
      <c r="AB510" s="660" t="str">
        <f>IFERROR(VALUE(RIGHT(AA510,LEN(AA510)-MIN(FIND({0;1;2;3;4;5;6;7;8;9},AA510&amp;"0123456789"))+1)),"")</f>
        <v/>
      </c>
    </row>
    <row r="511" spans="28:28" x14ac:dyDescent="0.2">
      <c r="AB511" s="660" t="str">
        <f>IFERROR(VALUE(RIGHT(AA511,LEN(AA511)-MIN(FIND({0;1;2;3;4;5;6;7;8;9},AA511&amp;"0123456789"))+1)),"")</f>
        <v/>
      </c>
    </row>
    <row r="512" spans="28:28" x14ac:dyDescent="0.2">
      <c r="AB512" s="660" t="str">
        <f>IFERROR(VALUE(RIGHT(AA512,LEN(AA512)-MIN(FIND({0;1;2;3;4;5;6;7;8;9},AA512&amp;"0123456789"))+1)),"")</f>
        <v/>
      </c>
    </row>
    <row r="513" spans="28:28" x14ac:dyDescent="0.2">
      <c r="AB513" s="660" t="str">
        <f>IFERROR(VALUE(RIGHT(AA513,LEN(AA513)-MIN(FIND({0;1;2;3;4;5;6;7;8;9},AA513&amp;"0123456789"))+1)),"")</f>
        <v/>
      </c>
    </row>
    <row r="514" spans="28:28" x14ac:dyDescent="0.2">
      <c r="AB514" s="660" t="str">
        <f>IFERROR(VALUE(RIGHT(AA514,LEN(AA514)-MIN(FIND({0;1;2;3;4;5;6;7;8;9},AA514&amp;"0123456789"))+1)),"")</f>
        <v/>
      </c>
    </row>
    <row r="515" spans="28:28" x14ac:dyDescent="0.2">
      <c r="AB515" s="660" t="str">
        <f>IFERROR(VALUE(RIGHT(AA515,LEN(AA515)-MIN(FIND({0;1;2;3;4;5;6;7;8;9},AA515&amp;"0123456789"))+1)),"")</f>
        <v/>
      </c>
    </row>
    <row r="516" spans="28:28" x14ac:dyDescent="0.2">
      <c r="AB516" s="660" t="str">
        <f>IFERROR(VALUE(RIGHT(AA516,LEN(AA516)-MIN(FIND({0;1;2;3;4;5;6;7;8;9},AA516&amp;"0123456789"))+1)),"")</f>
        <v/>
      </c>
    </row>
    <row r="517" spans="28:28" x14ac:dyDescent="0.2">
      <c r="AB517" s="660" t="str">
        <f>IFERROR(VALUE(RIGHT(AA517,LEN(AA517)-MIN(FIND({0;1;2;3;4;5;6;7;8;9},AA517&amp;"0123456789"))+1)),"")</f>
        <v/>
      </c>
    </row>
    <row r="518" spans="28:28" x14ac:dyDescent="0.2">
      <c r="AB518" s="660" t="str">
        <f>IFERROR(VALUE(RIGHT(AA518,LEN(AA518)-MIN(FIND({0;1;2;3;4;5;6;7;8;9},AA518&amp;"0123456789"))+1)),"")</f>
        <v/>
      </c>
    </row>
    <row r="519" spans="28:28" x14ac:dyDescent="0.2">
      <c r="AB519" s="660" t="str">
        <f>IFERROR(VALUE(RIGHT(AA519,LEN(AA519)-MIN(FIND({0;1;2;3;4;5;6;7;8;9},AA519&amp;"0123456789"))+1)),"")</f>
        <v/>
      </c>
    </row>
    <row r="520" spans="28:28" x14ac:dyDescent="0.2">
      <c r="AB520" s="660" t="str">
        <f>IFERROR(VALUE(RIGHT(AA520,LEN(AA520)-MIN(FIND({0;1;2;3;4;5;6;7;8;9},AA520&amp;"0123456789"))+1)),"")</f>
        <v/>
      </c>
    </row>
    <row r="521" spans="28:28" x14ac:dyDescent="0.2">
      <c r="AB521" s="660" t="str">
        <f>IFERROR(VALUE(RIGHT(AA521,LEN(AA521)-MIN(FIND({0;1;2;3;4;5;6;7;8;9},AA521&amp;"0123456789"))+1)),"")</f>
        <v/>
      </c>
    </row>
    <row r="522" spans="28:28" x14ac:dyDescent="0.2">
      <c r="AB522" s="660" t="str">
        <f>IFERROR(VALUE(RIGHT(AA522,LEN(AA522)-MIN(FIND({0;1;2;3;4;5;6;7;8;9},AA522&amp;"0123456789"))+1)),"")</f>
        <v/>
      </c>
    </row>
    <row r="523" spans="28:28" x14ac:dyDescent="0.2">
      <c r="AB523" s="660" t="str">
        <f>IFERROR(VALUE(RIGHT(AA523,LEN(AA523)-MIN(FIND({0;1;2;3;4;5;6;7;8;9},AA523&amp;"0123456789"))+1)),"")</f>
        <v/>
      </c>
    </row>
    <row r="524" spans="28:28" x14ac:dyDescent="0.2">
      <c r="AB524" s="660" t="str">
        <f>IFERROR(VALUE(RIGHT(AA524,LEN(AA524)-MIN(FIND({0;1;2;3;4;5;6;7;8;9},AA524&amp;"0123456789"))+1)),"")</f>
        <v/>
      </c>
    </row>
    <row r="525" spans="28:28" x14ac:dyDescent="0.2">
      <c r="AB525" s="660" t="str">
        <f>IFERROR(VALUE(RIGHT(AA525,LEN(AA525)-MIN(FIND({0;1;2;3;4;5;6;7;8;9},AA525&amp;"0123456789"))+1)),"")</f>
        <v/>
      </c>
    </row>
    <row r="526" spans="28:28" x14ac:dyDescent="0.2">
      <c r="AB526" s="660" t="str">
        <f>IFERROR(VALUE(RIGHT(AA526,LEN(AA526)-MIN(FIND({0;1;2;3;4;5;6;7;8;9},AA526&amp;"0123456789"))+1)),"")</f>
        <v/>
      </c>
    </row>
    <row r="527" spans="28:28" x14ac:dyDescent="0.2">
      <c r="AB527" s="660" t="str">
        <f>IFERROR(VALUE(RIGHT(AA527,LEN(AA527)-MIN(FIND({0;1;2;3;4;5;6;7;8;9},AA527&amp;"0123456789"))+1)),"")</f>
        <v/>
      </c>
    </row>
    <row r="528" spans="28:28" x14ac:dyDescent="0.2">
      <c r="AB528" s="660" t="str">
        <f>IFERROR(VALUE(RIGHT(AA528,LEN(AA528)-MIN(FIND({0;1;2;3;4;5;6;7;8;9},AA528&amp;"0123456789"))+1)),"")</f>
        <v/>
      </c>
    </row>
    <row r="529" spans="28:28" x14ac:dyDescent="0.2">
      <c r="AB529" s="660" t="str">
        <f>IFERROR(VALUE(RIGHT(AA529,LEN(AA529)-MIN(FIND({0;1;2;3;4;5;6;7;8;9},AA529&amp;"0123456789"))+1)),"")</f>
        <v/>
      </c>
    </row>
    <row r="530" spans="28:28" x14ac:dyDescent="0.2">
      <c r="AB530" s="660" t="str">
        <f>IFERROR(VALUE(RIGHT(AA530,LEN(AA530)-MIN(FIND({0;1;2;3;4;5;6;7;8;9},AA530&amp;"0123456789"))+1)),"")</f>
        <v/>
      </c>
    </row>
    <row r="531" spans="28:28" x14ac:dyDescent="0.2">
      <c r="AB531" s="660" t="str">
        <f>IFERROR(VALUE(RIGHT(AA531,LEN(AA531)-MIN(FIND({0;1;2;3;4;5;6;7;8;9},AA531&amp;"0123456789"))+1)),"")</f>
        <v/>
      </c>
    </row>
    <row r="532" spans="28:28" x14ac:dyDescent="0.2">
      <c r="AB532" s="660" t="str">
        <f>IFERROR(VALUE(RIGHT(AA532,LEN(AA532)-MIN(FIND({0;1;2;3;4;5;6;7;8;9},AA532&amp;"0123456789"))+1)),"")</f>
        <v/>
      </c>
    </row>
    <row r="533" spans="28:28" x14ac:dyDescent="0.2">
      <c r="AB533" s="660" t="str">
        <f>IFERROR(VALUE(RIGHT(AA533,LEN(AA533)-MIN(FIND({0;1;2;3;4;5;6;7;8;9},AA533&amp;"0123456789"))+1)),"")</f>
        <v/>
      </c>
    </row>
    <row r="534" spans="28:28" x14ac:dyDescent="0.2">
      <c r="AB534" s="660" t="str">
        <f>IFERROR(VALUE(RIGHT(AA534,LEN(AA534)-MIN(FIND({0;1;2;3;4;5;6;7;8;9},AA534&amp;"0123456789"))+1)),"")</f>
        <v/>
      </c>
    </row>
    <row r="535" spans="28:28" x14ac:dyDescent="0.2">
      <c r="AB535" s="660" t="str">
        <f>IFERROR(VALUE(RIGHT(AA535,LEN(AA535)-MIN(FIND({0;1;2;3;4;5;6;7;8;9},AA535&amp;"0123456789"))+1)),"")</f>
        <v/>
      </c>
    </row>
    <row r="536" spans="28:28" x14ac:dyDescent="0.2">
      <c r="AB536" s="660" t="str">
        <f>IFERROR(VALUE(RIGHT(AA536,LEN(AA536)-MIN(FIND({0;1;2;3;4;5;6;7;8;9},AA536&amp;"0123456789"))+1)),"")</f>
        <v/>
      </c>
    </row>
    <row r="537" spans="28:28" x14ac:dyDescent="0.2">
      <c r="AB537" s="660" t="str">
        <f>IFERROR(VALUE(RIGHT(AA537,LEN(AA537)-MIN(FIND({0;1;2;3;4;5;6;7;8;9},AA537&amp;"0123456789"))+1)),"")</f>
        <v/>
      </c>
    </row>
    <row r="538" spans="28:28" x14ac:dyDescent="0.2">
      <c r="AB538" s="660" t="str">
        <f>IFERROR(VALUE(RIGHT(AA538,LEN(AA538)-MIN(FIND({0;1;2;3;4;5;6;7;8;9},AA538&amp;"0123456789"))+1)),"")</f>
        <v/>
      </c>
    </row>
    <row r="539" spans="28:28" x14ac:dyDescent="0.2">
      <c r="AB539" s="660" t="str">
        <f>IFERROR(VALUE(RIGHT(AA539,LEN(AA539)-MIN(FIND({0;1;2;3;4;5;6;7;8;9},AA539&amp;"0123456789"))+1)),"")</f>
        <v/>
      </c>
    </row>
    <row r="540" spans="28:28" x14ac:dyDescent="0.2">
      <c r="AB540" s="660" t="str">
        <f>IFERROR(VALUE(RIGHT(AA540,LEN(AA540)-MIN(FIND({0;1;2;3;4;5;6;7;8;9},AA540&amp;"0123456789"))+1)),"")</f>
        <v/>
      </c>
    </row>
    <row r="541" spans="28:28" x14ac:dyDescent="0.2">
      <c r="AB541" s="660" t="str">
        <f>IFERROR(VALUE(RIGHT(AA541,LEN(AA541)-MIN(FIND({0;1;2;3;4;5;6;7;8;9},AA541&amp;"0123456789"))+1)),"")</f>
        <v/>
      </c>
    </row>
    <row r="542" spans="28:28" x14ac:dyDescent="0.2">
      <c r="AB542" s="660" t="str">
        <f>IFERROR(VALUE(RIGHT(AA542,LEN(AA542)-MIN(FIND({0;1;2;3;4;5;6;7;8;9},AA542&amp;"0123456789"))+1)),"")</f>
        <v/>
      </c>
    </row>
    <row r="543" spans="28:28" x14ac:dyDescent="0.2">
      <c r="AB543" s="660" t="str">
        <f>IFERROR(VALUE(RIGHT(AA543,LEN(AA543)-MIN(FIND({0;1;2;3;4;5;6;7;8;9},AA543&amp;"0123456789"))+1)),"")</f>
        <v/>
      </c>
    </row>
    <row r="544" spans="28:28" x14ac:dyDescent="0.2">
      <c r="AB544" s="660" t="str">
        <f>IFERROR(VALUE(RIGHT(AA544,LEN(AA544)-MIN(FIND({0;1;2;3;4;5;6;7;8;9},AA544&amp;"0123456789"))+1)),"")</f>
        <v/>
      </c>
    </row>
    <row r="545" spans="28:28" x14ac:dyDescent="0.2">
      <c r="AB545" s="660" t="str">
        <f>IFERROR(VALUE(RIGHT(AA545,LEN(AA545)-MIN(FIND({0;1;2;3;4;5;6;7;8;9},AA545&amp;"0123456789"))+1)),"")</f>
        <v/>
      </c>
    </row>
    <row r="546" spans="28:28" x14ac:dyDescent="0.2">
      <c r="AB546" s="660" t="str">
        <f>IFERROR(VALUE(RIGHT(AA546,LEN(AA546)-MIN(FIND({0;1;2;3;4;5;6;7;8;9},AA546&amp;"0123456789"))+1)),"")</f>
        <v/>
      </c>
    </row>
    <row r="547" spans="28:28" x14ac:dyDescent="0.2">
      <c r="AB547" s="660" t="str">
        <f>IFERROR(VALUE(RIGHT(AA547,LEN(AA547)-MIN(FIND({0;1;2;3;4;5;6;7;8;9},AA547&amp;"0123456789"))+1)),"")</f>
        <v/>
      </c>
    </row>
    <row r="548" spans="28:28" x14ac:dyDescent="0.2">
      <c r="AB548" s="660" t="str">
        <f>IFERROR(VALUE(RIGHT(AA548,LEN(AA548)-MIN(FIND({0;1;2;3;4;5;6;7;8;9},AA548&amp;"0123456789"))+1)),"")</f>
        <v/>
      </c>
    </row>
    <row r="549" spans="28:28" x14ac:dyDescent="0.2">
      <c r="AB549" s="660" t="str">
        <f>IFERROR(VALUE(RIGHT(AA549,LEN(AA549)-MIN(FIND({0;1;2;3;4;5;6;7;8;9},AA549&amp;"0123456789"))+1)),"")</f>
        <v/>
      </c>
    </row>
    <row r="550" spans="28:28" x14ac:dyDescent="0.2">
      <c r="AB550" s="660" t="str">
        <f>IFERROR(VALUE(RIGHT(AA550,LEN(AA550)-MIN(FIND({0;1;2;3;4;5;6;7;8;9},AA550&amp;"0123456789"))+1)),"")</f>
        <v/>
      </c>
    </row>
    <row r="551" spans="28:28" x14ac:dyDescent="0.2">
      <c r="AB551" s="660" t="str">
        <f>IFERROR(VALUE(RIGHT(AA551,LEN(AA551)-MIN(FIND({0;1;2;3;4;5;6;7;8;9},AA551&amp;"0123456789"))+1)),"")</f>
        <v/>
      </c>
    </row>
    <row r="552" spans="28:28" x14ac:dyDescent="0.2">
      <c r="AB552" s="660" t="str">
        <f>IFERROR(VALUE(RIGHT(AA552,LEN(AA552)-MIN(FIND({0;1;2;3;4;5;6;7;8;9},AA552&amp;"0123456789"))+1)),"")</f>
        <v/>
      </c>
    </row>
    <row r="553" spans="28:28" x14ac:dyDescent="0.2">
      <c r="AB553" s="660" t="str">
        <f>IFERROR(VALUE(RIGHT(AA553,LEN(AA553)-MIN(FIND({0;1;2;3;4;5;6;7;8;9},AA553&amp;"0123456789"))+1)),"")</f>
        <v/>
      </c>
    </row>
    <row r="554" spans="28:28" x14ac:dyDescent="0.2">
      <c r="AB554" s="660" t="str">
        <f>IFERROR(VALUE(RIGHT(AA554,LEN(AA554)-MIN(FIND({0;1;2;3;4;5;6;7;8;9},AA554&amp;"0123456789"))+1)),"")</f>
        <v/>
      </c>
    </row>
    <row r="555" spans="28:28" x14ac:dyDescent="0.2">
      <c r="AB555" s="660" t="str">
        <f>IFERROR(VALUE(RIGHT(AA555,LEN(AA555)-MIN(FIND({0;1;2;3;4;5;6;7;8;9},AA555&amp;"0123456789"))+1)),"")</f>
        <v/>
      </c>
    </row>
    <row r="556" spans="28:28" x14ac:dyDescent="0.2">
      <c r="AB556" s="660" t="str">
        <f>IFERROR(VALUE(RIGHT(AA556,LEN(AA556)-MIN(FIND({0;1;2;3;4;5;6;7;8;9},AA556&amp;"0123456789"))+1)),"")</f>
        <v/>
      </c>
    </row>
    <row r="557" spans="28:28" x14ac:dyDescent="0.2">
      <c r="AB557" s="660" t="str">
        <f>IFERROR(VALUE(RIGHT(AA557,LEN(AA557)-MIN(FIND({0;1;2;3;4;5;6;7;8;9},AA557&amp;"0123456789"))+1)),"")</f>
        <v/>
      </c>
    </row>
    <row r="558" spans="28:28" x14ac:dyDescent="0.2">
      <c r="AB558" s="660" t="str">
        <f>IFERROR(VALUE(RIGHT(AA558,LEN(AA558)-MIN(FIND({0;1;2;3;4;5;6;7;8;9},AA558&amp;"0123456789"))+1)),"")</f>
        <v/>
      </c>
    </row>
    <row r="559" spans="28:28" x14ac:dyDescent="0.2">
      <c r="AB559" s="660" t="str">
        <f>IFERROR(VALUE(RIGHT(AA559,LEN(AA559)-MIN(FIND({0;1;2;3;4;5;6;7;8;9},AA559&amp;"0123456789"))+1)),"")</f>
        <v/>
      </c>
    </row>
    <row r="560" spans="28:28" x14ac:dyDescent="0.2">
      <c r="AB560" s="660" t="str">
        <f>IFERROR(VALUE(RIGHT(AA560,LEN(AA560)-MIN(FIND({0;1;2;3;4;5;6;7;8;9},AA560&amp;"0123456789"))+1)),"")</f>
        <v/>
      </c>
    </row>
    <row r="561" spans="28:28" x14ac:dyDescent="0.2">
      <c r="AB561" s="660" t="str">
        <f>IFERROR(VALUE(RIGHT(AA561,LEN(AA561)-MIN(FIND({0;1;2;3;4;5;6;7;8;9},AA561&amp;"0123456789"))+1)),"")</f>
        <v/>
      </c>
    </row>
    <row r="562" spans="28:28" x14ac:dyDescent="0.2">
      <c r="AB562" s="660" t="str">
        <f>IFERROR(VALUE(RIGHT(AA562,LEN(AA562)-MIN(FIND({0;1;2;3;4;5;6;7;8;9},AA562&amp;"0123456789"))+1)),"")</f>
        <v/>
      </c>
    </row>
    <row r="563" spans="28:28" x14ac:dyDescent="0.2">
      <c r="AB563" s="660" t="str">
        <f>IFERROR(VALUE(RIGHT(AA563,LEN(AA563)-MIN(FIND({0;1;2;3;4;5;6;7;8;9},AA563&amp;"0123456789"))+1)),"")</f>
        <v/>
      </c>
    </row>
    <row r="564" spans="28:28" x14ac:dyDescent="0.2">
      <c r="AB564" s="660" t="str">
        <f>IFERROR(VALUE(RIGHT(AA564,LEN(AA564)-MIN(FIND({0;1;2;3;4;5;6;7;8;9},AA564&amp;"0123456789"))+1)),"")</f>
        <v/>
      </c>
    </row>
    <row r="565" spans="28:28" x14ac:dyDescent="0.2">
      <c r="AB565" s="660" t="str">
        <f>IFERROR(VALUE(RIGHT(AA565,LEN(AA565)-MIN(FIND({0;1;2;3;4;5;6;7;8;9},AA565&amp;"0123456789"))+1)),"")</f>
        <v/>
      </c>
    </row>
    <row r="566" spans="28:28" x14ac:dyDescent="0.2">
      <c r="AB566" s="660" t="str">
        <f>IFERROR(VALUE(RIGHT(AA566,LEN(AA566)-MIN(FIND({0;1;2;3;4;5;6;7;8;9},AA566&amp;"0123456789"))+1)),"")</f>
        <v/>
      </c>
    </row>
    <row r="567" spans="28:28" x14ac:dyDescent="0.2">
      <c r="AB567" s="660" t="str">
        <f>IFERROR(VALUE(RIGHT(AA567,LEN(AA567)-MIN(FIND({0;1;2;3;4;5;6;7;8;9},AA567&amp;"0123456789"))+1)),"")</f>
        <v/>
      </c>
    </row>
    <row r="568" spans="28:28" x14ac:dyDescent="0.2">
      <c r="AB568" s="660" t="str">
        <f>IFERROR(VALUE(RIGHT(AA568,LEN(AA568)-MIN(FIND({0;1;2;3;4;5;6;7;8;9},AA568&amp;"0123456789"))+1)),"")</f>
        <v/>
      </c>
    </row>
    <row r="569" spans="28:28" x14ac:dyDescent="0.2">
      <c r="AB569" s="660" t="str">
        <f>IFERROR(VALUE(RIGHT(AA569,LEN(AA569)-MIN(FIND({0;1;2;3;4;5;6;7;8;9},AA569&amp;"0123456789"))+1)),"")</f>
        <v/>
      </c>
    </row>
    <row r="570" spans="28:28" x14ac:dyDescent="0.2">
      <c r="AB570" s="660" t="str">
        <f>IFERROR(VALUE(RIGHT(AA570,LEN(AA570)-MIN(FIND({0;1;2;3;4;5;6;7;8;9},AA570&amp;"0123456789"))+1)),"")</f>
        <v/>
      </c>
    </row>
    <row r="571" spans="28:28" x14ac:dyDescent="0.2">
      <c r="AB571" s="660" t="str">
        <f>IFERROR(VALUE(RIGHT(AA571,LEN(AA571)-MIN(FIND({0;1;2;3;4;5;6;7;8;9},AA571&amp;"0123456789"))+1)),"")</f>
        <v/>
      </c>
    </row>
    <row r="572" spans="28:28" x14ac:dyDescent="0.2">
      <c r="AB572" s="660" t="str">
        <f>IFERROR(VALUE(RIGHT(AA572,LEN(AA572)-MIN(FIND({0;1;2;3;4;5;6;7;8;9},AA572&amp;"0123456789"))+1)),"")</f>
        <v/>
      </c>
    </row>
    <row r="573" spans="28:28" x14ac:dyDescent="0.2">
      <c r="AB573" s="660" t="str">
        <f>IFERROR(VALUE(RIGHT(AA573,LEN(AA573)-MIN(FIND({0;1;2;3;4;5;6;7;8;9},AA573&amp;"0123456789"))+1)),"")</f>
        <v/>
      </c>
    </row>
    <row r="574" spans="28:28" x14ac:dyDescent="0.2">
      <c r="AB574" s="660" t="str">
        <f>IFERROR(VALUE(RIGHT(AA574,LEN(AA574)-MIN(FIND({0;1;2;3;4;5;6;7;8;9},AA574&amp;"0123456789"))+1)),"")</f>
        <v/>
      </c>
    </row>
    <row r="575" spans="28:28" x14ac:dyDescent="0.2">
      <c r="AB575" s="660" t="str">
        <f>IFERROR(VALUE(RIGHT(AA575,LEN(AA575)-MIN(FIND({0;1;2;3;4;5;6;7;8;9},AA575&amp;"0123456789"))+1)),"")</f>
        <v/>
      </c>
    </row>
    <row r="576" spans="28:28" x14ac:dyDescent="0.2">
      <c r="AB576" s="660" t="str">
        <f>IFERROR(VALUE(RIGHT(AA576,LEN(AA576)-MIN(FIND({0;1;2;3;4;5;6;7;8;9},AA576&amp;"0123456789"))+1)),"")</f>
        <v/>
      </c>
    </row>
    <row r="577" spans="28:28" x14ac:dyDescent="0.2">
      <c r="AB577" s="660" t="str">
        <f>IFERROR(VALUE(RIGHT(AA577,LEN(AA577)-MIN(FIND({0;1;2;3;4;5;6;7;8;9},AA577&amp;"0123456789"))+1)),"")</f>
        <v/>
      </c>
    </row>
    <row r="578" spans="28:28" x14ac:dyDescent="0.2">
      <c r="AB578" s="660" t="str">
        <f>IFERROR(VALUE(RIGHT(AA578,LEN(AA578)-MIN(FIND({0;1;2;3;4;5;6;7;8;9},AA578&amp;"0123456789"))+1)),"")</f>
        <v/>
      </c>
    </row>
    <row r="579" spans="28:28" x14ac:dyDescent="0.2">
      <c r="AB579" s="660" t="str">
        <f>IFERROR(VALUE(RIGHT(AA579,LEN(AA579)-MIN(FIND({0;1;2;3;4;5;6;7;8;9},AA579&amp;"0123456789"))+1)),"")</f>
        <v/>
      </c>
    </row>
    <row r="580" spans="28:28" x14ac:dyDescent="0.2">
      <c r="AB580" s="660" t="str">
        <f>IFERROR(VALUE(RIGHT(AA580,LEN(AA580)-MIN(FIND({0;1;2;3;4;5;6;7;8;9},AA580&amp;"0123456789"))+1)),"")</f>
        <v/>
      </c>
    </row>
    <row r="581" spans="28:28" x14ac:dyDescent="0.2">
      <c r="AB581" s="660" t="str">
        <f>IFERROR(VALUE(RIGHT(AA581,LEN(AA581)-MIN(FIND({0;1;2;3;4;5;6;7;8;9},AA581&amp;"0123456789"))+1)),"")</f>
        <v/>
      </c>
    </row>
    <row r="582" spans="28:28" x14ac:dyDescent="0.2">
      <c r="AB582" s="660" t="str">
        <f>IFERROR(VALUE(RIGHT(AA582,LEN(AA582)-MIN(FIND({0;1;2;3;4;5;6;7;8;9},AA582&amp;"0123456789"))+1)),"")</f>
        <v/>
      </c>
    </row>
    <row r="583" spans="28:28" x14ac:dyDescent="0.2">
      <c r="AB583" s="660" t="str">
        <f>IFERROR(VALUE(RIGHT(AA583,LEN(AA583)-MIN(FIND({0;1;2;3;4;5;6;7;8;9},AA583&amp;"0123456789"))+1)),"")</f>
        <v/>
      </c>
    </row>
    <row r="584" spans="28:28" x14ac:dyDescent="0.2">
      <c r="AB584" s="660" t="str">
        <f>IFERROR(VALUE(RIGHT(AA584,LEN(AA584)-MIN(FIND({0;1;2;3;4;5;6;7;8;9},AA584&amp;"0123456789"))+1)),"")</f>
        <v/>
      </c>
    </row>
    <row r="585" spans="28:28" x14ac:dyDescent="0.2">
      <c r="AB585" s="660" t="str">
        <f>IFERROR(VALUE(RIGHT(AA585,LEN(AA585)-MIN(FIND({0;1;2;3;4;5;6;7;8;9},AA585&amp;"0123456789"))+1)),"")</f>
        <v/>
      </c>
    </row>
    <row r="586" spans="28:28" x14ac:dyDescent="0.2">
      <c r="AB586" s="660" t="str">
        <f>IFERROR(VALUE(RIGHT(AA586,LEN(AA586)-MIN(FIND({0;1;2;3;4;5;6;7;8;9},AA586&amp;"0123456789"))+1)),"")</f>
        <v/>
      </c>
    </row>
    <row r="587" spans="28:28" x14ac:dyDescent="0.2">
      <c r="AB587" s="660" t="str">
        <f>IFERROR(VALUE(RIGHT(AA587,LEN(AA587)-MIN(FIND({0;1;2;3;4;5;6;7;8;9},AA587&amp;"0123456789"))+1)),"")</f>
        <v/>
      </c>
    </row>
    <row r="588" spans="28:28" x14ac:dyDescent="0.2">
      <c r="AB588" s="660" t="str">
        <f>IFERROR(VALUE(RIGHT(AA588,LEN(AA588)-MIN(FIND({0;1;2;3;4;5;6;7;8;9},AA588&amp;"0123456789"))+1)),"")</f>
        <v/>
      </c>
    </row>
    <row r="589" spans="28:28" x14ac:dyDescent="0.2">
      <c r="AB589" s="660" t="str">
        <f>IFERROR(VALUE(RIGHT(AA589,LEN(AA589)-MIN(FIND({0;1;2;3;4;5;6;7;8;9},AA589&amp;"0123456789"))+1)),"")</f>
        <v/>
      </c>
    </row>
    <row r="590" spans="28:28" x14ac:dyDescent="0.2">
      <c r="AB590" s="660" t="str">
        <f>IFERROR(VALUE(RIGHT(AA590,LEN(AA590)-MIN(FIND({0;1;2;3;4;5;6;7;8;9},AA590&amp;"0123456789"))+1)),"")</f>
        <v/>
      </c>
    </row>
    <row r="591" spans="28:28" x14ac:dyDescent="0.2">
      <c r="AB591" s="660" t="str">
        <f>IFERROR(VALUE(RIGHT(AA591,LEN(AA591)-MIN(FIND({0;1;2;3;4;5;6;7;8;9},AA591&amp;"0123456789"))+1)),"")</f>
        <v/>
      </c>
    </row>
    <row r="592" spans="28:28" x14ac:dyDescent="0.2">
      <c r="AB592" s="660" t="str">
        <f>IFERROR(VALUE(RIGHT(AA592,LEN(AA592)-MIN(FIND({0;1;2;3;4;5;6;7;8;9},AA592&amp;"0123456789"))+1)),"")</f>
        <v/>
      </c>
    </row>
    <row r="593" spans="28:28" x14ac:dyDescent="0.2">
      <c r="AB593" s="660" t="str">
        <f>IFERROR(VALUE(RIGHT(AA593,LEN(AA593)-MIN(FIND({0;1;2;3;4;5;6;7;8;9},AA593&amp;"0123456789"))+1)),"")</f>
        <v/>
      </c>
    </row>
    <row r="594" spans="28:28" x14ac:dyDescent="0.2">
      <c r="AB594" s="660" t="str">
        <f>IFERROR(VALUE(RIGHT(AA594,LEN(AA594)-MIN(FIND({0;1;2;3;4;5;6;7;8;9},AA594&amp;"0123456789"))+1)),"")</f>
        <v/>
      </c>
    </row>
    <row r="595" spans="28:28" x14ac:dyDescent="0.2">
      <c r="AB595" s="660" t="str">
        <f>IFERROR(VALUE(RIGHT(AA595,LEN(AA595)-MIN(FIND({0;1;2;3;4;5;6;7;8;9},AA595&amp;"0123456789"))+1)),"")</f>
        <v/>
      </c>
    </row>
    <row r="596" spans="28:28" x14ac:dyDescent="0.2">
      <c r="AB596" s="660" t="str">
        <f>IFERROR(VALUE(RIGHT(AA596,LEN(AA596)-MIN(FIND({0;1;2;3;4;5;6;7;8;9},AA596&amp;"0123456789"))+1)),"")</f>
        <v/>
      </c>
    </row>
    <row r="597" spans="28:28" x14ac:dyDescent="0.2">
      <c r="AB597" s="660" t="str">
        <f>IFERROR(VALUE(RIGHT(AA597,LEN(AA597)-MIN(FIND({0;1;2;3;4;5;6;7;8;9},AA597&amp;"0123456789"))+1)),"")</f>
        <v/>
      </c>
    </row>
    <row r="598" spans="28:28" x14ac:dyDescent="0.2">
      <c r="AB598" s="660" t="str">
        <f>IFERROR(VALUE(RIGHT(AA598,LEN(AA598)-MIN(FIND({0;1;2;3;4;5;6;7;8;9},AA598&amp;"0123456789"))+1)),"")</f>
        <v/>
      </c>
    </row>
    <row r="599" spans="28:28" x14ac:dyDescent="0.2">
      <c r="AB599" s="660" t="str">
        <f>IFERROR(VALUE(RIGHT(AA599,LEN(AA599)-MIN(FIND({0;1;2;3;4;5;6;7;8;9},AA599&amp;"0123456789"))+1)),"")</f>
        <v/>
      </c>
    </row>
    <row r="600" spans="28:28" x14ac:dyDescent="0.2">
      <c r="AB600" s="660" t="str">
        <f>IFERROR(VALUE(RIGHT(AA600,LEN(AA600)-MIN(FIND({0;1;2;3;4;5;6;7;8;9},AA600&amp;"0123456789"))+1)),"")</f>
        <v/>
      </c>
    </row>
    <row r="601" spans="28:28" x14ac:dyDescent="0.2">
      <c r="AB601" s="660" t="str">
        <f>IFERROR(VALUE(RIGHT(AA601,LEN(AA601)-MIN(FIND({0;1;2;3;4;5;6;7;8;9},AA601&amp;"0123456789"))+1)),"")</f>
        <v/>
      </c>
    </row>
    <row r="602" spans="28:28" x14ac:dyDescent="0.2">
      <c r="AB602" s="660" t="str">
        <f>IFERROR(VALUE(RIGHT(AA602,LEN(AA602)-MIN(FIND({0;1;2;3;4;5;6;7;8;9},AA602&amp;"0123456789"))+1)),"")</f>
        <v/>
      </c>
    </row>
    <row r="603" spans="28:28" x14ac:dyDescent="0.2">
      <c r="AB603" s="660" t="str">
        <f>IFERROR(VALUE(RIGHT(AA603,LEN(AA603)-MIN(FIND({0;1;2;3;4;5;6;7;8;9},AA603&amp;"0123456789"))+1)),"")</f>
        <v/>
      </c>
    </row>
    <row r="604" spans="28:28" x14ac:dyDescent="0.2">
      <c r="AB604" s="660" t="str">
        <f>IFERROR(VALUE(RIGHT(AA604,LEN(AA604)-MIN(FIND({0;1;2;3;4;5;6;7;8;9},AA604&amp;"0123456789"))+1)),"")</f>
        <v/>
      </c>
    </row>
    <row r="605" spans="28:28" x14ac:dyDescent="0.2">
      <c r="AB605" s="660" t="str">
        <f>IFERROR(VALUE(RIGHT(AA605,LEN(AA605)-MIN(FIND({0;1;2;3;4;5;6;7;8;9},AA605&amp;"0123456789"))+1)),"")</f>
        <v/>
      </c>
    </row>
    <row r="606" spans="28:28" x14ac:dyDescent="0.2">
      <c r="AB606" s="660" t="str">
        <f>IFERROR(VALUE(RIGHT(AA606,LEN(AA606)-MIN(FIND({0;1;2;3;4;5;6;7;8;9},AA606&amp;"0123456789"))+1)),"")</f>
        <v/>
      </c>
    </row>
    <row r="607" spans="28:28" x14ac:dyDescent="0.2">
      <c r="AB607" s="660" t="str">
        <f>IFERROR(VALUE(RIGHT(AA607,LEN(AA607)-MIN(FIND({0;1;2;3;4;5;6;7;8;9},AA607&amp;"0123456789"))+1)),"")</f>
        <v/>
      </c>
    </row>
    <row r="608" spans="28:28" x14ac:dyDescent="0.2">
      <c r="AB608" s="660" t="str">
        <f>IFERROR(VALUE(RIGHT(AA608,LEN(AA608)-MIN(FIND({0;1;2;3;4;5;6;7;8;9},AA608&amp;"0123456789"))+1)),"")</f>
        <v/>
      </c>
    </row>
    <row r="609" spans="28:28" x14ac:dyDescent="0.2">
      <c r="AB609" s="660" t="str">
        <f>IFERROR(VALUE(RIGHT(AA609,LEN(AA609)-MIN(FIND({0;1;2;3;4;5;6;7;8;9},AA609&amp;"0123456789"))+1)),"")</f>
        <v/>
      </c>
    </row>
    <row r="610" spans="28:28" x14ac:dyDescent="0.2">
      <c r="AB610" s="660" t="str">
        <f>IFERROR(VALUE(RIGHT(AA610,LEN(AA610)-MIN(FIND({0;1;2;3;4;5;6;7;8;9},AA610&amp;"0123456789"))+1)),"")</f>
        <v/>
      </c>
    </row>
    <row r="611" spans="28:28" x14ac:dyDescent="0.2">
      <c r="AB611" s="660" t="str">
        <f>IFERROR(VALUE(RIGHT(AA611,LEN(AA611)-MIN(FIND({0;1;2;3;4;5;6;7;8;9},AA611&amp;"0123456789"))+1)),"")</f>
        <v/>
      </c>
    </row>
    <row r="612" spans="28:28" x14ac:dyDescent="0.2">
      <c r="AB612" s="660" t="str">
        <f>IFERROR(VALUE(RIGHT(AA612,LEN(AA612)-MIN(FIND({0;1;2;3;4;5;6;7;8;9},AA612&amp;"0123456789"))+1)),"")</f>
        <v/>
      </c>
    </row>
    <row r="613" spans="28:28" x14ac:dyDescent="0.2">
      <c r="AB613" s="660" t="str">
        <f>IFERROR(VALUE(RIGHT(AA613,LEN(AA613)-MIN(FIND({0;1;2;3;4;5;6;7;8;9},AA613&amp;"0123456789"))+1)),"")</f>
        <v/>
      </c>
    </row>
    <row r="614" spans="28:28" x14ac:dyDescent="0.2">
      <c r="AB614" s="660" t="str">
        <f>IFERROR(VALUE(RIGHT(AA614,LEN(AA614)-MIN(FIND({0;1;2;3;4;5;6;7;8;9},AA614&amp;"0123456789"))+1)),"")</f>
        <v/>
      </c>
    </row>
    <row r="615" spans="28:28" x14ac:dyDescent="0.2">
      <c r="AB615" s="660" t="str">
        <f>IFERROR(VALUE(RIGHT(AA615,LEN(AA615)-MIN(FIND({0;1;2;3;4;5;6;7;8;9},AA615&amp;"0123456789"))+1)),"")</f>
        <v/>
      </c>
    </row>
    <row r="616" spans="28:28" x14ac:dyDescent="0.2">
      <c r="AB616" s="660" t="str">
        <f>IFERROR(VALUE(RIGHT(AA616,LEN(AA616)-MIN(FIND({0;1;2;3;4;5;6;7;8;9},AA616&amp;"0123456789"))+1)),"")</f>
        <v/>
      </c>
    </row>
    <row r="617" spans="28:28" x14ac:dyDescent="0.2">
      <c r="AB617" s="660" t="str">
        <f>IFERROR(VALUE(RIGHT(AA617,LEN(AA617)-MIN(FIND({0;1;2;3;4;5;6;7;8;9},AA617&amp;"0123456789"))+1)),"")</f>
        <v/>
      </c>
    </row>
    <row r="618" spans="28:28" x14ac:dyDescent="0.2">
      <c r="AB618" s="660" t="str">
        <f>IFERROR(VALUE(RIGHT(AA618,LEN(AA618)-MIN(FIND({0;1;2;3;4;5;6;7;8;9},AA618&amp;"0123456789"))+1)),"")</f>
        <v/>
      </c>
    </row>
    <row r="619" spans="28:28" x14ac:dyDescent="0.2">
      <c r="AB619" s="660" t="str">
        <f>IFERROR(VALUE(RIGHT(AA619,LEN(AA619)-MIN(FIND({0;1;2;3;4;5;6;7;8;9},AA619&amp;"0123456789"))+1)),"")</f>
        <v/>
      </c>
    </row>
    <row r="620" spans="28:28" x14ac:dyDescent="0.2">
      <c r="AB620" s="660" t="str">
        <f>IFERROR(VALUE(RIGHT(AA620,LEN(AA620)-MIN(FIND({0;1;2;3;4;5;6;7;8;9},AA620&amp;"0123456789"))+1)),"")</f>
        <v/>
      </c>
    </row>
    <row r="621" spans="28:28" x14ac:dyDescent="0.2">
      <c r="AB621" s="660" t="str">
        <f>IFERROR(VALUE(RIGHT(AA621,LEN(AA621)-MIN(FIND({0;1;2;3;4;5;6;7;8;9},AA621&amp;"0123456789"))+1)),"")</f>
        <v/>
      </c>
    </row>
    <row r="622" spans="28:28" x14ac:dyDescent="0.2">
      <c r="AB622" s="660" t="str">
        <f>IFERROR(VALUE(RIGHT(AA622,LEN(AA622)-MIN(FIND({0;1;2;3;4;5;6;7;8;9},AA622&amp;"0123456789"))+1)),"")</f>
        <v/>
      </c>
    </row>
    <row r="623" spans="28:28" x14ac:dyDescent="0.2">
      <c r="AB623" s="660" t="str">
        <f>IFERROR(VALUE(RIGHT(AA623,LEN(AA623)-MIN(FIND({0;1;2;3;4;5;6;7;8;9},AA623&amp;"0123456789"))+1)),"")</f>
        <v/>
      </c>
    </row>
    <row r="624" spans="28:28" x14ac:dyDescent="0.2">
      <c r="AB624" s="660" t="str">
        <f>IFERROR(VALUE(RIGHT(AA624,LEN(AA624)-MIN(FIND({0;1;2;3;4;5;6;7;8;9},AA624&amp;"0123456789"))+1)),"")</f>
        <v/>
      </c>
    </row>
    <row r="625" spans="28:28" x14ac:dyDescent="0.2">
      <c r="AB625" s="660" t="str">
        <f>IFERROR(VALUE(RIGHT(AA625,LEN(AA625)-MIN(FIND({0;1;2;3;4;5;6;7;8;9},AA625&amp;"0123456789"))+1)),"")</f>
        <v/>
      </c>
    </row>
    <row r="626" spans="28:28" x14ac:dyDescent="0.2">
      <c r="AB626" s="660" t="str">
        <f>IFERROR(VALUE(RIGHT(AA626,LEN(AA626)-MIN(FIND({0;1;2;3;4;5;6;7;8;9},AA626&amp;"0123456789"))+1)),"")</f>
        <v/>
      </c>
    </row>
    <row r="627" spans="28:28" x14ac:dyDescent="0.2">
      <c r="AB627" s="660" t="str">
        <f>IFERROR(VALUE(RIGHT(AA627,LEN(AA627)-MIN(FIND({0;1;2;3;4;5;6;7;8;9},AA627&amp;"0123456789"))+1)),"")</f>
        <v/>
      </c>
    </row>
    <row r="628" spans="28:28" x14ac:dyDescent="0.2">
      <c r="AB628" s="660" t="str">
        <f>IFERROR(VALUE(RIGHT(AA628,LEN(AA628)-MIN(FIND({0;1;2;3;4;5;6;7;8;9},AA628&amp;"0123456789"))+1)),"")</f>
        <v/>
      </c>
    </row>
    <row r="629" spans="28:28" x14ac:dyDescent="0.2">
      <c r="AB629" s="660" t="str">
        <f>IFERROR(VALUE(RIGHT(AA629,LEN(AA629)-MIN(FIND({0;1;2;3;4;5;6;7;8;9},AA629&amp;"0123456789"))+1)),"")</f>
        <v/>
      </c>
    </row>
    <row r="630" spans="28:28" x14ac:dyDescent="0.2">
      <c r="AB630" s="660" t="str">
        <f>IFERROR(VALUE(RIGHT(AA630,LEN(AA630)-MIN(FIND({0;1;2;3;4;5;6;7;8;9},AA630&amp;"0123456789"))+1)),"")</f>
        <v/>
      </c>
    </row>
    <row r="631" spans="28:28" x14ac:dyDescent="0.2">
      <c r="AB631" s="660" t="str">
        <f>IFERROR(VALUE(RIGHT(AA631,LEN(AA631)-MIN(FIND({0;1;2;3;4;5;6;7;8;9},AA631&amp;"0123456789"))+1)),"")</f>
        <v/>
      </c>
    </row>
    <row r="632" spans="28:28" x14ac:dyDescent="0.2">
      <c r="AB632" s="660" t="str">
        <f>IFERROR(VALUE(RIGHT(AA632,LEN(AA632)-MIN(FIND({0;1;2;3;4;5;6;7;8;9},AA632&amp;"0123456789"))+1)),"")</f>
        <v/>
      </c>
    </row>
    <row r="633" spans="28:28" x14ac:dyDescent="0.2">
      <c r="AB633" s="660" t="str">
        <f>IFERROR(VALUE(RIGHT(AA633,LEN(AA633)-MIN(FIND({0;1;2;3;4;5;6;7;8;9},AA633&amp;"0123456789"))+1)),"")</f>
        <v/>
      </c>
    </row>
    <row r="634" spans="28:28" x14ac:dyDescent="0.2">
      <c r="AB634" s="660" t="str">
        <f>IFERROR(VALUE(RIGHT(AA634,LEN(AA634)-MIN(FIND({0;1;2;3;4;5;6;7;8;9},AA634&amp;"0123456789"))+1)),"")</f>
        <v/>
      </c>
    </row>
    <row r="635" spans="28:28" x14ac:dyDescent="0.2">
      <c r="AB635" s="660" t="str">
        <f>IFERROR(VALUE(RIGHT(AA635,LEN(AA635)-MIN(FIND({0;1;2;3;4;5;6;7;8;9},AA635&amp;"0123456789"))+1)),"")</f>
        <v/>
      </c>
    </row>
    <row r="636" spans="28:28" x14ac:dyDescent="0.2">
      <c r="AB636" s="660" t="str">
        <f>IFERROR(VALUE(RIGHT(AA636,LEN(AA636)-MIN(FIND({0;1;2;3;4;5;6;7;8;9},AA636&amp;"0123456789"))+1)),"")</f>
        <v/>
      </c>
    </row>
    <row r="637" spans="28:28" x14ac:dyDescent="0.2">
      <c r="AB637" s="660" t="str">
        <f>IFERROR(VALUE(RIGHT(AA637,LEN(AA637)-MIN(FIND({0;1;2;3;4;5;6;7;8;9},AA637&amp;"0123456789"))+1)),"")</f>
        <v/>
      </c>
    </row>
    <row r="638" spans="28:28" x14ac:dyDescent="0.2">
      <c r="AB638" s="660" t="str">
        <f>IFERROR(VALUE(RIGHT(AA638,LEN(AA638)-MIN(FIND({0;1;2;3;4;5;6;7;8;9},AA638&amp;"0123456789"))+1)),"")</f>
        <v/>
      </c>
    </row>
    <row r="639" spans="28:28" x14ac:dyDescent="0.2">
      <c r="AB639" s="660" t="str">
        <f>IFERROR(VALUE(RIGHT(AA639,LEN(AA639)-MIN(FIND({0;1;2;3;4;5;6;7;8;9},AA639&amp;"0123456789"))+1)),"")</f>
        <v/>
      </c>
    </row>
    <row r="640" spans="28:28" x14ac:dyDescent="0.2">
      <c r="AB640" s="660" t="str">
        <f>IFERROR(VALUE(RIGHT(AA640,LEN(AA640)-MIN(FIND({0;1;2;3;4;5;6;7;8;9},AA640&amp;"0123456789"))+1)),"")</f>
        <v/>
      </c>
    </row>
    <row r="641" spans="28:28" x14ac:dyDescent="0.2">
      <c r="AB641" s="660" t="str">
        <f>IFERROR(VALUE(RIGHT(AA641,LEN(AA641)-MIN(FIND({0;1;2;3;4;5;6;7;8;9},AA641&amp;"0123456789"))+1)),"")</f>
        <v/>
      </c>
    </row>
    <row r="642" spans="28:28" x14ac:dyDescent="0.2">
      <c r="AB642" s="660" t="str">
        <f>IFERROR(VALUE(RIGHT(AA642,LEN(AA642)-MIN(FIND({0;1;2;3;4;5;6;7;8;9},AA642&amp;"0123456789"))+1)),"")</f>
        <v/>
      </c>
    </row>
    <row r="643" spans="28:28" x14ac:dyDescent="0.2">
      <c r="AB643" s="660" t="str">
        <f>IFERROR(VALUE(RIGHT(AA643,LEN(AA643)-MIN(FIND({0;1;2;3;4;5;6;7;8;9},AA643&amp;"0123456789"))+1)),"")</f>
        <v/>
      </c>
    </row>
    <row r="644" spans="28:28" x14ac:dyDescent="0.2">
      <c r="AB644" s="660" t="str">
        <f>IFERROR(VALUE(RIGHT(AA644,LEN(AA644)-MIN(FIND({0;1;2;3;4;5;6;7;8;9},AA644&amp;"0123456789"))+1)),"")</f>
        <v/>
      </c>
    </row>
    <row r="645" spans="28:28" x14ac:dyDescent="0.2">
      <c r="AB645" s="660" t="str">
        <f>IFERROR(VALUE(RIGHT(AA645,LEN(AA645)-MIN(FIND({0;1;2;3;4;5;6;7;8;9},AA645&amp;"0123456789"))+1)),"")</f>
        <v/>
      </c>
    </row>
    <row r="646" spans="28:28" x14ac:dyDescent="0.2">
      <c r="AB646" s="660" t="str">
        <f>IFERROR(VALUE(RIGHT(AA646,LEN(AA646)-MIN(FIND({0;1;2;3;4;5;6;7;8;9},AA646&amp;"0123456789"))+1)),"")</f>
        <v/>
      </c>
    </row>
    <row r="647" spans="28:28" x14ac:dyDescent="0.2">
      <c r="AB647" s="660" t="str">
        <f>IFERROR(VALUE(RIGHT(AA647,LEN(AA647)-MIN(FIND({0;1;2;3;4;5;6;7;8;9},AA647&amp;"0123456789"))+1)),"")</f>
        <v/>
      </c>
    </row>
    <row r="648" spans="28:28" x14ac:dyDescent="0.2">
      <c r="AB648" s="660" t="str">
        <f>IFERROR(VALUE(RIGHT(AA648,LEN(AA648)-MIN(FIND({0;1;2;3;4;5;6;7;8;9},AA648&amp;"0123456789"))+1)),"")</f>
        <v/>
      </c>
    </row>
    <row r="649" spans="28:28" x14ac:dyDescent="0.2">
      <c r="AB649" s="660" t="str">
        <f>IFERROR(VALUE(RIGHT(AA649,LEN(AA649)-MIN(FIND({0;1;2;3;4;5;6;7;8;9},AA649&amp;"0123456789"))+1)),"")</f>
        <v/>
      </c>
    </row>
    <row r="650" spans="28:28" x14ac:dyDescent="0.2">
      <c r="AB650" s="660" t="str">
        <f>IFERROR(VALUE(RIGHT(AA650,LEN(AA650)-MIN(FIND({0;1;2;3;4;5;6;7;8;9},AA650&amp;"0123456789"))+1)),"")</f>
        <v/>
      </c>
    </row>
    <row r="651" spans="28:28" x14ac:dyDescent="0.2">
      <c r="AB651" s="660" t="str">
        <f>IFERROR(VALUE(RIGHT(AA651,LEN(AA651)-MIN(FIND({0;1;2;3;4;5;6;7;8;9},AA651&amp;"0123456789"))+1)),"")</f>
        <v/>
      </c>
    </row>
    <row r="652" spans="28:28" x14ac:dyDescent="0.2">
      <c r="AB652" s="660" t="str">
        <f>IFERROR(VALUE(RIGHT(AA652,LEN(AA652)-MIN(FIND({0;1;2;3;4;5;6;7;8;9},AA652&amp;"0123456789"))+1)),"")</f>
        <v/>
      </c>
    </row>
    <row r="653" spans="28:28" x14ac:dyDescent="0.2">
      <c r="AB653" s="660" t="str">
        <f>IFERROR(VALUE(RIGHT(AA653,LEN(AA653)-MIN(FIND({0;1;2;3;4;5;6;7;8;9},AA653&amp;"0123456789"))+1)),"")</f>
        <v/>
      </c>
    </row>
    <row r="654" spans="28:28" x14ac:dyDescent="0.2">
      <c r="AB654" s="660" t="str">
        <f>IFERROR(VALUE(RIGHT(AA654,LEN(AA654)-MIN(FIND({0;1;2;3;4;5;6;7;8;9},AA654&amp;"0123456789"))+1)),"")</f>
        <v/>
      </c>
    </row>
    <row r="655" spans="28:28" x14ac:dyDescent="0.2">
      <c r="AB655" s="660" t="str">
        <f>IFERROR(VALUE(RIGHT(AA655,LEN(AA655)-MIN(FIND({0;1;2;3;4;5;6;7;8;9},AA655&amp;"0123456789"))+1)),"")</f>
        <v/>
      </c>
    </row>
    <row r="656" spans="28:28" x14ac:dyDescent="0.2">
      <c r="AB656" s="660" t="str">
        <f>IFERROR(VALUE(RIGHT(AA656,LEN(AA656)-MIN(FIND({0;1;2;3;4;5;6;7;8;9},AA656&amp;"0123456789"))+1)),"")</f>
        <v/>
      </c>
    </row>
    <row r="657" spans="28:28" x14ac:dyDescent="0.2">
      <c r="AB657" s="660" t="str">
        <f>IFERROR(VALUE(RIGHT(AA657,LEN(AA657)-MIN(FIND({0;1;2;3;4;5;6;7;8;9},AA657&amp;"0123456789"))+1)),"")</f>
        <v/>
      </c>
    </row>
    <row r="658" spans="28:28" x14ac:dyDescent="0.2">
      <c r="AB658" s="660" t="str">
        <f>IFERROR(VALUE(RIGHT(AA658,LEN(AA658)-MIN(FIND({0;1;2;3;4;5;6;7;8;9},AA658&amp;"0123456789"))+1)),"")</f>
        <v/>
      </c>
    </row>
    <row r="659" spans="28:28" x14ac:dyDescent="0.2">
      <c r="AB659" s="660" t="str">
        <f>IFERROR(VALUE(RIGHT(AA659,LEN(AA659)-MIN(FIND({0;1;2;3;4;5;6;7;8;9},AA659&amp;"0123456789"))+1)),"")</f>
        <v/>
      </c>
    </row>
    <row r="660" spans="28:28" x14ac:dyDescent="0.2">
      <c r="AB660" s="660" t="str">
        <f>IFERROR(VALUE(RIGHT(AA660,LEN(AA660)-MIN(FIND({0;1;2;3;4;5;6;7;8;9},AA660&amp;"0123456789"))+1)),"")</f>
        <v/>
      </c>
    </row>
    <row r="661" spans="28:28" x14ac:dyDescent="0.2">
      <c r="AB661" s="660" t="str">
        <f>IFERROR(VALUE(RIGHT(AA661,LEN(AA661)-MIN(FIND({0;1;2;3;4;5;6;7;8;9},AA661&amp;"0123456789"))+1)),"")</f>
        <v/>
      </c>
    </row>
    <row r="662" spans="28:28" x14ac:dyDescent="0.2">
      <c r="AB662" s="660" t="str">
        <f>IFERROR(VALUE(RIGHT(AA662,LEN(AA662)-MIN(FIND({0;1;2;3;4;5;6;7;8;9},AA662&amp;"0123456789"))+1)),"")</f>
        <v/>
      </c>
    </row>
    <row r="663" spans="28:28" x14ac:dyDescent="0.2">
      <c r="AB663" s="660" t="str">
        <f>IFERROR(VALUE(RIGHT(AA663,LEN(AA663)-MIN(FIND({0;1;2;3;4;5;6;7;8;9},AA663&amp;"0123456789"))+1)),"")</f>
        <v/>
      </c>
    </row>
    <row r="664" spans="28:28" x14ac:dyDescent="0.2">
      <c r="AB664" s="660" t="str">
        <f>IFERROR(VALUE(RIGHT(AA664,LEN(AA664)-MIN(FIND({0;1;2;3;4;5;6;7;8;9},AA664&amp;"0123456789"))+1)),"")</f>
        <v/>
      </c>
    </row>
    <row r="665" spans="28:28" x14ac:dyDescent="0.2">
      <c r="AB665" s="660" t="str">
        <f>IFERROR(VALUE(RIGHT(AA665,LEN(AA665)-MIN(FIND({0;1;2;3;4;5;6;7;8;9},AA665&amp;"0123456789"))+1)),"")</f>
        <v/>
      </c>
    </row>
    <row r="666" spans="28:28" x14ac:dyDescent="0.2">
      <c r="AB666" s="660" t="str">
        <f>IFERROR(VALUE(RIGHT(AA666,LEN(AA666)-MIN(FIND({0;1;2;3;4;5;6;7;8;9},AA666&amp;"0123456789"))+1)),"")</f>
        <v/>
      </c>
    </row>
    <row r="667" spans="28:28" x14ac:dyDescent="0.2">
      <c r="AB667" s="660" t="str">
        <f>IFERROR(VALUE(RIGHT(AA667,LEN(AA667)-MIN(FIND({0;1;2;3;4;5;6;7;8;9},AA667&amp;"0123456789"))+1)),"")</f>
        <v/>
      </c>
    </row>
    <row r="668" spans="28:28" x14ac:dyDescent="0.2">
      <c r="AB668" s="660" t="str">
        <f>IFERROR(VALUE(RIGHT(AA668,LEN(AA668)-MIN(FIND({0;1;2;3;4;5;6;7;8;9},AA668&amp;"0123456789"))+1)),"")</f>
        <v/>
      </c>
    </row>
    <row r="669" spans="28:28" x14ac:dyDescent="0.2">
      <c r="AB669" s="660" t="str">
        <f>IFERROR(VALUE(RIGHT(AA669,LEN(AA669)-MIN(FIND({0;1;2;3;4;5;6;7;8;9},AA669&amp;"0123456789"))+1)),"")</f>
        <v/>
      </c>
    </row>
    <row r="670" spans="28:28" x14ac:dyDescent="0.2">
      <c r="AB670" s="660" t="str">
        <f>IFERROR(VALUE(RIGHT(AA670,LEN(AA670)-MIN(FIND({0;1;2;3;4;5;6;7;8;9},AA670&amp;"0123456789"))+1)),"")</f>
        <v/>
      </c>
    </row>
    <row r="671" spans="28:28" x14ac:dyDescent="0.2">
      <c r="AB671" s="660" t="str">
        <f>IFERROR(VALUE(RIGHT(AA671,LEN(AA671)-MIN(FIND({0;1;2;3;4;5;6;7;8;9},AA671&amp;"0123456789"))+1)),"")</f>
        <v/>
      </c>
    </row>
    <row r="672" spans="28:28" x14ac:dyDescent="0.2">
      <c r="AB672" s="660" t="str">
        <f>IFERROR(VALUE(RIGHT(AA672,LEN(AA672)-MIN(FIND({0;1;2;3;4;5;6;7;8;9},AA672&amp;"0123456789"))+1)),"")</f>
        <v/>
      </c>
    </row>
    <row r="673" spans="28:28" x14ac:dyDescent="0.2">
      <c r="AB673" s="660" t="str">
        <f>IFERROR(VALUE(RIGHT(AA673,LEN(AA673)-MIN(FIND({0;1;2;3;4;5;6;7;8;9},AA673&amp;"0123456789"))+1)),"")</f>
        <v/>
      </c>
    </row>
    <row r="674" spans="28:28" x14ac:dyDescent="0.2">
      <c r="AB674" s="660" t="str">
        <f>IFERROR(VALUE(RIGHT(AA674,LEN(AA674)-MIN(FIND({0;1;2;3;4;5;6;7;8;9},AA674&amp;"0123456789"))+1)),"")</f>
        <v/>
      </c>
    </row>
    <row r="675" spans="28:28" x14ac:dyDescent="0.2">
      <c r="AB675" s="660" t="str">
        <f>IFERROR(VALUE(RIGHT(AA675,LEN(AA675)-MIN(FIND({0;1;2;3;4;5;6;7;8;9},AA675&amp;"0123456789"))+1)),"")</f>
        <v/>
      </c>
    </row>
    <row r="676" spans="28:28" x14ac:dyDescent="0.2">
      <c r="AB676" s="660" t="str">
        <f>IFERROR(VALUE(RIGHT(AA676,LEN(AA676)-MIN(FIND({0;1;2;3;4;5;6;7;8;9},AA676&amp;"0123456789"))+1)),"")</f>
        <v/>
      </c>
    </row>
    <row r="677" spans="28:28" x14ac:dyDescent="0.2">
      <c r="AB677" s="660" t="str">
        <f>IFERROR(VALUE(RIGHT(AA677,LEN(AA677)-MIN(FIND({0;1;2;3;4;5;6;7;8;9},AA677&amp;"0123456789"))+1)),"")</f>
        <v/>
      </c>
    </row>
    <row r="678" spans="28:28" x14ac:dyDescent="0.2">
      <c r="AB678" s="660" t="str">
        <f>IFERROR(VALUE(RIGHT(AA678,LEN(AA678)-MIN(FIND({0;1;2;3;4;5;6;7;8;9},AA678&amp;"0123456789"))+1)),"")</f>
        <v/>
      </c>
    </row>
    <row r="679" spans="28:28" x14ac:dyDescent="0.2">
      <c r="AB679" s="660" t="str">
        <f>IFERROR(VALUE(RIGHT(AA679,LEN(AA679)-MIN(FIND({0;1;2;3;4;5;6;7;8;9},AA679&amp;"0123456789"))+1)),"")</f>
        <v/>
      </c>
    </row>
    <row r="680" spans="28:28" x14ac:dyDescent="0.2">
      <c r="AB680" s="660" t="str">
        <f>IFERROR(VALUE(RIGHT(AA680,LEN(AA680)-MIN(FIND({0;1;2;3;4;5;6;7;8;9},AA680&amp;"0123456789"))+1)),"")</f>
        <v/>
      </c>
    </row>
    <row r="681" spans="28:28" x14ac:dyDescent="0.2">
      <c r="AB681" s="660" t="str">
        <f>IFERROR(VALUE(RIGHT(AA681,LEN(AA681)-MIN(FIND({0;1;2;3;4;5;6;7;8;9},AA681&amp;"0123456789"))+1)),"")</f>
        <v/>
      </c>
    </row>
    <row r="682" spans="28:28" x14ac:dyDescent="0.2">
      <c r="AB682" s="660" t="str">
        <f>IFERROR(VALUE(RIGHT(AA682,LEN(AA682)-MIN(FIND({0;1;2;3;4;5;6;7;8;9},AA682&amp;"0123456789"))+1)),"")</f>
        <v/>
      </c>
    </row>
    <row r="683" spans="28:28" x14ac:dyDescent="0.2">
      <c r="AB683" s="660" t="str">
        <f>IFERROR(VALUE(RIGHT(AA683,LEN(AA683)-MIN(FIND({0;1;2;3;4;5;6;7;8;9},AA683&amp;"0123456789"))+1)),"")</f>
        <v/>
      </c>
    </row>
    <row r="684" spans="28:28" x14ac:dyDescent="0.2">
      <c r="AB684" s="660" t="str">
        <f>IFERROR(VALUE(RIGHT(AA684,LEN(AA684)-MIN(FIND({0;1;2;3;4;5;6;7;8;9},AA684&amp;"0123456789"))+1)),"")</f>
        <v/>
      </c>
    </row>
    <row r="685" spans="28:28" x14ac:dyDescent="0.2">
      <c r="AB685" s="660" t="str">
        <f>IFERROR(VALUE(RIGHT(AA685,LEN(AA685)-MIN(FIND({0;1;2;3;4;5;6;7;8;9},AA685&amp;"0123456789"))+1)),"")</f>
        <v/>
      </c>
    </row>
    <row r="686" spans="28:28" x14ac:dyDescent="0.2">
      <c r="AB686" s="660" t="str">
        <f>IFERROR(VALUE(RIGHT(AA686,LEN(AA686)-MIN(FIND({0;1;2;3;4;5;6;7;8;9},AA686&amp;"0123456789"))+1)),"")</f>
        <v/>
      </c>
    </row>
    <row r="687" spans="28:28" x14ac:dyDescent="0.2">
      <c r="AB687" s="660" t="str">
        <f>IFERROR(VALUE(RIGHT(AA687,LEN(AA687)-MIN(FIND({0;1;2;3;4;5;6;7;8;9},AA687&amp;"0123456789"))+1)),"")</f>
        <v/>
      </c>
    </row>
    <row r="688" spans="28:28" x14ac:dyDescent="0.2">
      <c r="AB688" s="660" t="str">
        <f>IFERROR(VALUE(RIGHT(AA688,LEN(AA688)-MIN(FIND({0;1;2;3;4;5;6;7;8;9},AA688&amp;"0123456789"))+1)),"")</f>
        <v/>
      </c>
    </row>
    <row r="689" spans="28:28" x14ac:dyDescent="0.2">
      <c r="AB689" s="660" t="str">
        <f>IFERROR(VALUE(RIGHT(AA689,LEN(AA689)-MIN(FIND({0;1;2;3;4;5;6;7;8;9},AA689&amp;"0123456789"))+1)),"")</f>
        <v/>
      </c>
    </row>
    <row r="690" spans="28:28" x14ac:dyDescent="0.2">
      <c r="AB690" s="660" t="str">
        <f>IFERROR(VALUE(RIGHT(AA690,LEN(AA690)-MIN(FIND({0;1;2;3;4;5;6;7;8;9},AA690&amp;"0123456789"))+1)),"")</f>
        <v/>
      </c>
    </row>
    <row r="691" spans="28:28" x14ac:dyDescent="0.2">
      <c r="AB691" s="660" t="str">
        <f>IFERROR(VALUE(RIGHT(AA691,LEN(AA691)-MIN(FIND({0;1;2;3;4;5;6;7;8;9},AA691&amp;"0123456789"))+1)),"")</f>
        <v/>
      </c>
    </row>
    <row r="692" spans="28:28" x14ac:dyDescent="0.2">
      <c r="AB692" s="660" t="str">
        <f>IFERROR(VALUE(RIGHT(AA692,LEN(AA692)-MIN(FIND({0;1;2;3;4;5;6;7;8;9},AA692&amp;"0123456789"))+1)),"")</f>
        <v/>
      </c>
    </row>
    <row r="693" spans="28:28" x14ac:dyDescent="0.2">
      <c r="AB693" s="660" t="str">
        <f>IFERROR(VALUE(RIGHT(AA693,LEN(AA693)-MIN(FIND({0;1;2;3;4;5;6;7;8;9},AA693&amp;"0123456789"))+1)),"")</f>
        <v/>
      </c>
    </row>
    <row r="694" spans="28:28" x14ac:dyDescent="0.2">
      <c r="AB694" s="660" t="str">
        <f>IFERROR(VALUE(RIGHT(AA694,LEN(AA694)-MIN(FIND({0;1;2;3;4;5;6;7;8;9},AA694&amp;"0123456789"))+1)),"")</f>
        <v/>
      </c>
    </row>
    <row r="695" spans="28:28" x14ac:dyDescent="0.2">
      <c r="AB695" s="660" t="str">
        <f>IFERROR(VALUE(RIGHT(AA695,LEN(AA695)-MIN(FIND({0;1;2;3;4;5;6;7;8;9},AA695&amp;"0123456789"))+1)),"")</f>
        <v/>
      </c>
    </row>
    <row r="696" spans="28:28" x14ac:dyDescent="0.2">
      <c r="AB696" s="660" t="str">
        <f>IFERROR(VALUE(RIGHT(AA696,LEN(AA696)-MIN(FIND({0;1;2;3;4;5;6;7;8;9},AA696&amp;"0123456789"))+1)),"")</f>
        <v/>
      </c>
    </row>
    <row r="697" spans="28:28" x14ac:dyDescent="0.2">
      <c r="AB697" s="660" t="str">
        <f>IFERROR(VALUE(RIGHT(AA697,LEN(AA697)-MIN(FIND({0;1;2;3;4;5;6;7;8;9},AA697&amp;"0123456789"))+1)),"")</f>
        <v/>
      </c>
    </row>
    <row r="698" spans="28:28" x14ac:dyDescent="0.2">
      <c r="AB698" s="660" t="str">
        <f>IFERROR(VALUE(RIGHT(AA698,LEN(AA698)-MIN(FIND({0;1;2;3;4;5;6;7;8;9},AA698&amp;"0123456789"))+1)),"")</f>
        <v/>
      </c>
    </row>
    <row r="699" spans="28:28" x14ac:dyDescent="0.2">
      <c r="AB699" s="660" t="str">
        <f>IFERROR(VALUE(RIGHT(AA699,LEN(AA699)-MIN(FIND({0;1;2;3;4;5;6;7;8;9},AA699&amp;"0123456789"))+1)),"")</f>
        <v/>
      </c>
    </row>
    <row r="700" spans="28:28" x14ac:dyDescent="0.2">
      <c r="AB700" s="660" t="str">
        <f>IFERROR(VALUE(RIGHT(AA700,LEN(AA700)-MIN(FIND({0;1;2;3;4;5;6;7;8;9},AA700&amp;"0123456789"))+1)),"")</f>
        <v/>
      </c>
    </row>
    <row r="701" spans="28:28" x14ac:dyDescent="0.2">
      <c r="AB701" s="660" t="str">
        <f>IFERROR(VALUE(RIGHT(AA701,LEN(AA701)-MIN(FIND({0;1;2;3;4;5;6;7;8;9},AA701&amp;"0123456789"))+1)),"")</f>
        <v/>
      </c>
    </row>
    <row r="702" spans="28:28" x14ac:dyDescent="0.2">
      <c r="AB702" s="660" t="str">
        <f>IFERROR(VALUE(RIGHT(AA702,LEN(AA702)-MIN(FIND({0;1;2;3;4;5;6;7;8;9},AA702&amp;"0123456789"))+1)),"")</f>
        <v/>
      </c>
    </row>
    <row r="703" spans="28:28" x14ac:dyDescent="0.2">
      <c r="AB703" s="660" t="str">
        <f>IFERROR(VALUE(RIGHT(AA703,LEN(AA703)-MIN(FIND({0;1;2;3;4;5;6;7;8;9},AA703&amp;"0123456789"))+1)),"")</f>
        <v/>
      </c>
    </row>
    <row r="704" spans="28:28" x14ac:dyDescent="0.2">
      <c r="AB704" s="660" t="str">
        <f>IFERROR(VALUE(RIGHT(AA704,LEN(AA704)-MIN(FIND({0;1;2;3;4;5;6;7;8;9},AA704&amp;"0123456789"))+1)),"")</f>
        <v/>
      </c>
    </row>
    <row r="705" spans="28:28" x14ac:dyDescent="0.2">
      <c r="AB705" s="660" t="str">
        <f>IFERROR(VALUE(RIGHT(AA705,LEN(AA705)-MIN(FIND({0;1;2;3;4;5;6;7;8;9},AA705&amp;"0123456789"))+1)),"")</f>
        <v/>
      </c>
    </row>
    <row r="706" spans="28:28" x14ac:dyDescent="0.2">
      <c r="AB706" s="660" t="str">
        <f>IFERROR(VALUE(RIGHT(AA706,LEN(AA706)-MIN(FIND({0;1;2;3;4;5;6;7;8;9},AA706&amp;"0123456789"))+1)),"")</f>
        <v/>
      </c>
    </row>
    <row r="707" spans="28:28" x14ac:dyDescent="0.2">
      <c r="AB707" s="660" t="str">
        <f>IFERROR(VALUE(RIGHT(AA707,LEN(AA707)-MIN(FIND({0;1;2;3;4;5;6;7;8;9},AA707&amp;"0123456789"))+1)),"")</f>
        <v/>
      </c>
    </row>
    <row r="708" spans="28:28" x14ac:dyDescent="0.2">
      <c r="AB708" s="660" t="str">
        <f>IFERROR(VALUE(RIGHT(AA708,LEN(AA708)-MIN(FIND({0;1;2;3;4;5;6;7;8;9},AA708&amp;"0123456789"))+1)),"")</f>
        <v/>
      </c>
    </row>
    <row r="709" spans="28:28" x14ac:dyDescent="0.2">
      <c r="AB709" s="660" t="str">
        <f>IFERROR(VALUE(RIGHT(AA709,LEN(AA709)-MIN(FIND({0;1;2;3;4;5;6;7;8;9},AA709&amp;"0123456789"))+1)),"")</f>
        <v/>
      </c>
    </row>
    <row r="710" spans="28:28" x14ac:dyDescent="0.2">
      <c r="AB710" s="660" t="str">
        <f>IFERROR(VALUE(RIGHT(AA710,LEN(AA710)-MIN(FIND({0;1;2;3;4;5;6;7;8;9},AA710&amp;"0123456789"))+1)),"")</f>
        <v/>
      </c>
    </row>
    <row r="711" spans="28:28" x14ac:dyDescent="0.2">
      <c r="AB711" s="660" t="str">
        <f>IFERROR(VALUE(RIGHT(AA711,LEN(AA711)-MIN(FIND({0;1;2;3;4;5;6;7;8;9},AA711&amp;"0123456789"))+1)),"")</f>
        <v/>
      </c>
    </row>
    <row r="712" spans="28:28" x14ac:dyDescent="0.2">
      <c r="AB712" s="660" t="str">
        <f>IFERROR(VALUE(RIGHT(AA712,LEN(AA712)-MIN(FIND({0;1;2;3;4;5;6;7;8;9},AA712&amp;"0123456789"))+1)),"")</f>
        <v/>
      </c>
    </row>
    <row r="713" spans="28:28" x14ac:dyDescent="0.2">
      <c r="AB713" s="660" t="str">
        <f>IFERROR(VALUE(RIGHT(AA713,LEN(AA713)-MIN(FIND({0;1;2;3;4;5;6;7;8;9},AA713&amp;"0123456789"))+1)),"")</f>
        <v/>
      </c>
    </row>
    <row r="714" spans="28:28" x14ac:dyDescent="0.2">
      <c r="AB714" s="660" t="str">
        <f>IFERROR(VALUE(RIGHT(AA714,LEN(AA714)-MIN(FIND({0;1;2;3;4;5;6;7;8;9},AA714&amp;"0123456789"))+1)),"")</f>
        <v/>
      </c>
    </row>
    <row r="715" spans="28:28" x14ac:dyDescent="0.2">
      <c r="AB715" s="660" t="str">
        <f>IFERROR(VALUE(RIGHT(AA715,LEN(AA715)-MIN(FIND({0;1;2;3;4;5;6;7;8;9},AA715&amp;"0123456789"))+1)),"")</f>
        <v/>
      </c>
    </row>
    <row r="716" spans="28:28" x14ac:dyDescent="0.2">
      <c r="AB716" s="660" t="str">
        <f>IFERROR(VALUE(RIGHT(AA716,LEN(AA716)-MIN(FIND({0;1;2;3;4;5;6;7;8;9},AA716&amp;"0123456789"))+1)),"")</f>
        <v/>
      </c>
    </row>
    <row r="717" spans="28:28" x14ac:dyDescent="0.2">
      <c r="AB717" s="660" t="str">
        <f>IFERROR(VALUE(RIGHT(AA717,LEN(AA717)-MIN(FIND({0;1;2;3;4;5;6;7;8;9},AA717&amp;"0123456789"))+1)),"")</f>
        <v/>
      </c>
    </row>
    <row r="718" spans="28:28" x14ac:dyDescent="0.2">
      <c r="AB718" s="660" t="str">
        <f>IFERROR(VALUE(RIGHT(AA718,LEN(AA718)-MIN(FIND({0;1;2;3;4;5;6;7;8;9},AA718&amp;"0123456789"))+1)),"")</f>
        <v/>
      </c>
    </row>
    <row r="719" spans="28:28" x14ac:dyDescent="0.2">
      <c r="AB719" s="660" t="str">
        <f>IFERROR(VALUE(RIGHT(AA719,LEN(AA719)-MIN(FIND({0;1;2;3;4;5;6;7;8;9},AA719&amp;"0123456789"))+1)),"")</f>
        <v/>
      </c>
    </row>
    <row r="720" spans="28:28" x14ac:dyDescent="0.2">
      <c r="AB720" s="660" t="str">
        <f>IFERROR(VALUE(RIGHT(AA720,LEN(AA720)-MIN(FIND({0;1;2;3;4;5;6;7;8;9},AA720&amp;"0123456789"))+1)),"")</f>
        <v/>
      </c>
    </row>
    <row r="721" spans="28:28" x14ac:dyDescent="0.2">
      <c r="AB721" s="660" t="str">
        <f>IFERROR(VALUE(RIGHT(AA721,LEN(AA721)-MIN(FIND({0;1;2;3;4;5;6;7;8;9},AA721&amp;"0123456789"))+1)),"")</f>
        <v/>
      </c>
    </row>
    <row r="722" spans="28:28" x14ac:dyDescent="0.2">
      <c r="AB722" s="660" t="str">
        <f>IFERROR(VALUE(RIGHT(AA722,LEN(AA722)-MIN(FIND({0;1;2;3;4;5;6;7;8;9},AA722&amp;"0123456789"))+1)),"")</f>
        <v/>
      </c>
    </row>
    <row r="723" spans="28:28" x14ac:dyDescent="0.2">
      <c r="AB723" s="660" t="str">
        <f>IFERROR(VALUE(RIGHT(AA723,LEN(AA723)-MIN(FIND({0;1;2;3;4;5;6;7;8;9},AA723&amp;"0123456789"))+1)),"")</f>
        <v/>
      </c>
    </row>
    <row r="724" spans="28:28" x14ac:dyDescent="0.2">
      <c r="AB724" s="660" t="str">
        <f>IFERROR(VALUE(RIGHT(AA724,LEN(AA724)-MIN(FIND({0;1;2;3;4;5;6;7;8;9},AA724&amp;"0123456789"))+1)),"")</f>
        <v/>
      </c>
    </row>
    <row r="725" spans="28:28" x14ac:dyDescent="0.2">
      <c r="AB725" s="660" t="str">
        <f>IFERROR(VALUE(RIGHT(AA725,LEN(AA725)-MIN(FIND({0;1;2;3;4;5;6;7;8;9},AA725&amp;"0123456789"))+1)),"")</f>
        <v/>
      </c>
    </row>
    <row r="726" spans="28:28" x14ac:dyDescent="0.2">
      <c r="AB726" s="660" t="str">
        <f>IFERROR(VALUE(RIGHT(AA726,LEN(AA726)-MIN(FIND({0;1;2;3;4;5;6;7;8;9},AA726&amp;"0123456789"))+1)),"")</f>
        <v/>
      </c>
    </row>
    <row r="727" spans="28:28" x14ac:dyDescent="0.2">
      <c r="AB727" s="660" t="str">
        <f>IFERROR(VALUE(RIGHT(AA727,LEN(AA727)-MIN(FIND({0;1;2;3;4;5;6;7;8;9},AA727&amp;"0123456789"))+1)),"")</f>
        <v/>
      </c>
    </row>
    <row r="728" spans="28:28" x14ac:dyDescent="0.2">
      <c r="AB728" s="660" t="str">
        <f>IFERROR(VALUE(RIGHT(AA728,LEN(AA728)-MIN(FIND({0;1;2;3;4;5;6;7;8;9},AA728&amp;"0123456789"))+1)),"")</f>
        <v/>
      </c>
    </row>
    <row r="729" spans="28:28" x14ac:dyDescent="0.2">
      <c r="AB729" s="660" t="str">
        <f>IFERROR(VALUE(RIGHT(AA729,LEN(AA729)-MIN(FIND({0;1;2;3;4;5;6;7;8;9},AA729&amp;"0123456789"))+1)),"")</f>
        <v/>
      </c>
    </row>
    <row r="730" spans="28:28" x14ac:dyDescent="0.2">
      <c r="AB730" s="660" t="str">
        <f>IFERROR(VALUE(RIGHT(AA730,LEN(AA730)-MIN(FIND({0;1;2;3;4;5;6;7;8;9},AA730&amp;"0123456789"))+1)),"")</f>
        <v/>
      </c>
    </row>
    <row r="731" spans="28:28" x14ac:dyDescent="0.2">
      <c r="AB731" s="660" t="str">
        <f>IFERROR(VALUE(RIGHT(AA731,LEN(AA731)-MIN(FIND({0;1;2;3;4;5;6;7;8;9},AA731&amp;"0123456789"))+1)),"")</f>
        <v/>
      </c>
    </row>
    <row r="732" spans="28:28" x14ac:dyDescent="0.2">
      <c r="AB732" s="660" t="str">
        <f>IFERROR(VALUE(RIGHT(AA732,LEN(AA732)-MIN(FIND({0;1;2;3;4;5;6;7;8;9},AA732&amp;"0123456789"))+1)),"")</f>
        <v/>
      </c>
    </row>
    <row r="733" spans="28:28" x14ac:dyDescent="0.2">
      <c r="AB733" s="660" t="str">
        <f>IFERROR(VALUE(RIGHT(AA733,LEN(AA733)-MIN(FIND({0;1;2;3;4;5;6;7;8;9},AA733&amp;"0123456789"))+1)),"")</f>
        <v/>
      </c>
    </row>
    <row r="734" spans="28:28" x14ac:dyDescent="0.2">
      <c r="AB734" s="660" t="str">
        <f>IFERROR(VALUE(RIGHT(AA734,LEN(AA734)-MIN(FIND({0;1;2;3;4;5;6;7;8;9},AA734&amp;"0123456789"))+1)),"")</f>
        <v/>
      </c>
    </row>
    <row r="735" spans="28:28" x14ac:dyDescent="0.2">
      <c r="AB735" s="660" t="str">
        <f>IFERROR(VALUE(RIGHT(AA735,LEN(AA735)-MIN(FIND({0;1;2;3;4;5;6;7;8;9},AA735&amp;"0123456789"))+1)),"")</f>
        <v/>
      </c>
    </row>
    <row r="736" spans="28:28" x14ac:dyDescent="0.2">
      <c r="AB736" s="660" t="str">
        <f>IFERROR(VALUE(RIGHT(AA736,LEN(AA736)-MIN(FIND({0;1;2;3;4;5;6;7;8;9},AA736&amp;"0123456789"))+1)),"")</f>
        <v/>
      </c>
    </row>
    <row r="737" spans="28:28" x14ac:dyDescent="0.2">
      <c r="AB737" s="660" t="str">
        <f>IFERROR(VALUE(RIGHT(AA737,LEN(AA737)-MIN(FIND({0;1;2;3;4;5;6;7;8;9},AA737&amp;"0123456789"))+1)),"")</f>
        <v/>
      </c>
    </row>
    <row r="738" spans="28:28" x14ac:dyDescent="0.2">
      <c r="AB738" s="660" t="str">
        <f>IFERROR(VALUE(RIGHT(AA738,LEN(AA738)-MIN(FIND({0;1;2;3;4;5;6;7;8;9},AA738&amp;"0123456789"))+1)),"")</f>
        <v/>
      </c>
    </row>
    <row r="739" spans="28:28" x14ac:dyDescent="0.2">
      <c r="AB739" s="660" t="str">
        <f>IFERROR(VALUE(RIGHT(AA739,LEN(AA739)-MIN(FIND({0;1;2;3;4;5;6;7;8;9},AA739&amp;"0123456789"))+1)),"")</f>
        <v/>
      </c>
    </row>
    <row r="740" spans="28:28" x14ac:dyDescent="0.2">
      <c r="AB740" s="660" t="str">
        <f>IFERROR(VALUE(RIGHT(AA740,LEN(AA740)-MIN(FIND({0;1;2;3;4;5;6;7;8;9},AA740&amp;"0123456789"))+1)),"")</f>
        <v/>
      </c>
    </row>
    <row r="741" spans="28:28" x14ac:dyDescent="0.2">
      <c r="AB741" s="660" t="str">
        <f>IFERROR(VALUE(RIGHT(AA741,LEN(AA741)-MIN(FIND({0;1;2;3;4;5;6;7;8;9},AA741&amp;"0123456789"))+1)),"")</f>
        <v/>
      </c>
    </row>
    <row r="742" spans="28:28" x14ac:dyDescent="0.2">
      <c r="AB742" s="660" t="str">
        <f>IFERROR(VALUE(RIGHT(AA742,LEN(AA742)-MIN(FIND({0;1;2;3;4;5;6;7;8;9},AA742&amp;"0123456789"))+1)),"")</f>
        <v/>
      </c>
    </row>
    <row r="743" spans="28:28" x14ac:dyDescent="0.2">
      <c r="AB743" s="660" t="str">
        <f>IFERROR(VALUE(RIGHT(AA743,LEN(AA743)-MIN(FIND({0;1;2;3;4;5;6;7;8;9},AA743&amp;"0123456789"))+1)),"")</f>
        <v/>
      </c>
    </row>
    <row r="744" spans="28:28" x14ac:dyDescent="0.2">
      <c r="AB744" s="660" t="str">
        <f>IFERROR(VALUE(RIGHT(AA744,LEN(AA744)-MIN(FIND({0;1;2;3;4;5;6;7;8;9},AA744&amp;"0123456789"))+1)),"")</f>
        <v/>
      </c>
    </row>
    <row r="745" spans="28:28" x14ac:dyDescent="0.2">
      <c r="AB745" s="660" t="str">
        <f>IFERROR(VALUE(RIGHT(AA745,LEN(AA745)-MIN(FIND({0;1;2;3;4;5;6;7;8;9},AA745&amp;"0123456789"))+1)),"")</f>
        <v/>
      </c>
    </row>
    <row r="746" spans="28:28" x14ac:dyDescent="0.2">
      <c r="AB746" s="660" t="str">
        <f>IFERROR(VALUE(RIGHT(AA746,LEN(AA746)-MIN(FIND({0;1;2;3;4;5;6;7;8;9},AA746&amp;"0123456789"))+1)),"")</f>
        <v/>
      </c>
    </row>
    <row r="747" spans="28:28" x14ac:dyDescent="0.2">
      <c r="AB747" s="660" t="str">
        <f>IFERROR(VALUE(RIGHT(AA747,LEN(AA747)-MIN(FIND({0;1;2;3;4;5;6;7;8;9},AA747&amp;"0123456789"))+1)),"")</f>
        <v/>
      </c>
    </row>
    <row r="748" spans="28:28" x14ac:dyDescent="0.2">
      <c r="AB748" s="660" t="str">
        <f>IFERROR(VALUE(RIGHT(AA748,LEN(AA748)-MIN(FIND({0;1;2;3;4;5;6;7;8;9},AA748&amp;"0123456789"))+1)),"")</f>
        <v/>
      </c>
    </row>
    <row r="749" spans="28:28" x14ac:dyDescent="0.2">
      <c r="AB749" s="660" t="str">
        <f>IFERROR(VALUE(RIGHT(AA749,LEN(AA749)-MIN(FIND({0;1;2;3;4;5;6;7;8;9},AA749&amp;"0123456789"))+1)),"")</f>
        <v/>
      </c>
    </row>
    <row r="750" spans="28:28" x14ac:dyDescent="0.2">
      <c r="AB750" s="660" t="str">
        <f>IFERROR(VALUE(RIGHT(AA750,LEN(AA750)-MIN(FIND({0;1;2;3;4;5;6;7;8;9},AA750&amp;"0123456789"))+1)),"")</f>
        <v/>
      </c>
    </row>
    <row r="751" spans="28:28" x14ac:dyDescent="0.2">
      <c r="AB751" s="660" t="str">
        <f>IFERROR(VALUE(RIGHT(AA751,LEN(AA751)-MIN(FIND({0;1;2;3;4;5;6;7;8;9},AA751&amp;"0123456789"))+1)),"")</f>
        <v/>
      </c>
    </row>
    <row r="752" spans="28:28" x14ac:dyDescent="0.2">
      <c r="AB752" s="660" t="str">
        <f>IFERROR(VALUE(RIGHT(AA752,LEN(AA752)-MIN(FIND({0;1;2;3;4;5;6;7;8;9},AA752&amp;"0123456789"))+1)),"")</f>
        <v/>
      </c>
    </row>
    <row r="753" spans="28:28" x14ac:dyDescent="0.2">
      <c r="AB753" s="660" t="str">
        <f>IFERROR(VALUE(RIGHT(AA753,LEN(AA753)-MIN(FIND({0;1;2;3;4;5;6;7;8;9},AA753&amp;"0123456789"))+1)),"")</f>
        <v/>
      </c>
    </row>
    <row r="754" spans="28:28" x14ac:dyDescent="0.2">
      <c r="AB754" s="660" t="str">
        <f>IFERROR(VALUE(RIGHT(AA754,LEN(AA754)-MIN(FIND({0;1;2;3;4;5;6;7;8;9},AA754&amp;"0123456789"))+1)),"")</f>
        <v/>
      </c>
    </row>
    <row r="755" spans="28:28" x14ac:dyDescent="0.2">
      <c r="AB755" s="660" t="str">
        <f>IFERROR(VALUE(RIGHT(AA755,LEN(AA755)-MIN(FIND({0;1;2;3;4;5;6;7;8;9},AA755&amp;"0123456789"))+1)),"")</f>
        <v/>
      </c>
    </row>
    <row r="756" spans="28:28" x14ac:dyDescent="0.2">
      <c r="AB756" s="660" t="str">
        <f>IFERROR(VALUE(RIGHT(AA756,LEN(AA756)-MIN(FIND({0;1;2;3;4;5;6;7;8;9},AA756&amp;"0123456789"))+1)),"")</f>
        <v/>
      </c>
    </row>
    <row r="757" spans="28:28" x14ac:dyDescent="0.2">
      <c r="AB757" s="660" t="str">
        <f>IFERROR(VALUE(RIGHT(AA757,LEN(AA757)-MIN(FIND({0;1;2;3;4;5;6;7;8;9},AA757&amp;"0123456789"))+1)),"")</f>
        <v/>
      </c>
    </row>
    <row r="758" spans="28:28" x14ac:dyDescent="0.2">
      <c r="AB758" s="660" t="str">
        <f>IFERROR(VALUE(RIGHT(AA758,LEN(AA758)-MIN(FIND({0;1;2;3;4;5;6;7;8;9},AA758&amp;"0123456789"))+1)),"")</f>
        <v/>
      </c>
    </row>
    <row r="759" spans="28:28" x14ac:dyDescent="0.2">
      <c r="AB759" s="660" t="str">
        <f>IFERROR(VALUE(RIGHT(AA759,LEN(AA759)-MIN(FIND({0;1;2;3;4;5;6;7;8;9},AA759&amp;"0123456789"))+1)),"")</f>
        <v/>
      </c>
    </row>
    <row r="760" spans="28:28" x14ac:dyDescent="0.2">
      <c r="AB760" s="660" t="str">
        <f>IFERROR(VALUE(RIGHT(AA760,LEN(AA760)-MIN(FIND({0;1;2;3;4;5;6;7;8;9},AA760&amp;"0123456789"))+1)),"")</f>
        <v/>
      </c>
    </row>
    <row r="761" spans="28:28" x14ac:dyDescent="0.2">
      <c r="AB761" s="660" t="str">
        <f>IFERROR(VALUE(RIGHT(AA761,LEN(AA761)-MIN(FIND({0;1;2;3;4;5;6;7;8;9},AA761&amp;"0123456789"))+1)),"")</f>
        <v/>
      </c>
    </row>
    <row r="762" spans="28:28" x14ac:dyDescent="0.2">
      <c r="AB762" s="660" t="str">
        <f>IFERROR(VALUE(RIGHT(AA762,LEN(AA762)-MIN(FIND({0;1;2;3;4;5;6;7;8;9},AA762&amp;"0123456789"))+1)),"")</f>
        <v/>
      </c>
    </row>
    <row r="763" spans="28:28" x14ac:dyDescent="0.2">
      <c r="AB763" s="660" t="str">
        <f>IFERROR(VALUE(RIGHT(AA763,LEN(AA763)-MIN(FIND({0;1;2;3;4;5;6;7;8;9},AA763&amp;"0123456789"))+1)),"")</f>
        <v/>
      </c>
    </row>
    <row r="764" spans="28:28" x14ac:dyDescent="0.2">
      <c r="AB764" s="660" t="str">
        <f>IFERROR(VALUE(RIGHT(AA764,LEN(AA764)-MIN(FIND({0;1;2;3;4;5;6;7;8;9},AA764&amp;"0123456789"))+1)),"")</f>
        <v/>
      </c>
    </row>
    <row r="765" spans="28:28" x14ac:dyDescent="0.2">
      <c r="AB765" s="660" t="str">
        <f>IFERROR(VALUE(RIGHT(AA765,LEN(AA765)-MIN(FIND({0;1;2;3;4;5;6;7;8;9},AA765&amp;"0123456789"))+1)),"")</f>
        <v/>
      </c>
    </row>
    <row r="766" spans="28:28" x14ac:dyDescent="0.2">
      <c r="AB766" s="660" t="str">
        <f>IFERROR(VALUE(RIGHT(AA766,LEN(AA766)-MIN(FIND({0;1;2;3;4;5;6;7;8;9},AA766&amp;"0123456789"))+1)),"")</f>
        <v/>
      </c>
    </row>
    <row r="767" spans="28:28" x14ac:dyDescent="0.2">
      <c r="AB767" s="660" t="str">
        <f>IFERROR(VALUE(RIGHT(AA767,LEN(AA767)-MIN(FIND({0;1;2;3;4;5;6;7;8;9},AA767&amp;"0123456789"))+1)),"")</f>
        <v/>
      </c>
    </row>
    <row r="768" spans="28:28" x14ac:dyDescent="0.2">
      <c r="AB768" s="660" t="str">
        <f>IFERROR(VALUE(RIGHT(AA768,LEN(AA768)-MIN(FIND({0;1;2;3;4;5;6;7;8;9},AA768&amp;"0123456789"))+1)),"")</f>
        <v/>
      </c>
    </row>
    <row r="769" spans="28:28" x14ac:dyDescent="0.2">
      <c r="AB769" s="660" t="str">
        <f>IFERROR(VALUE(RIGHT(AA769,LEN(AA769)-MIN(FIND({0;1;2;3;4;5;6;7;8;9},AA769&amp;"0123456789"))+1)),"")</f>
        <v/>
      </c>
    </row>
    <row r="770" spans="28:28" x14ac:dyDescent="0.2">
      <c r="AB770" s="660" t="str">
        <f>IFERROR(VALUE(RIGHT(AA770,LEN(AA770)-MIN(FIND({0;1;2;3;4;5;6;7;8;9},AA770&amp;"0123456789"))+1)),"")</f>
        <v/>
      </c>
    </row>
    <row r="771" spans="28:28" x14ac:dyDescent="0.2">
      <c r="AB771" s="660" t="str">
        <f>IFERROR(VALUE(RIGHT(AA771,LEN(AA771)-MIN(FIND({0;1;2;3;4;5;6;7;8;9},AA771&amp;"0123456789"))+1)),"")</f>
        <v/>
      </c>
    </row>
    <row r="772" spans="28:28" x14ac:dyDescent="0.2">
      <c r="AB772" s="660" t="str">
        <f>IFERROR(VALUE(RIGHT(AA772,LEN(AA772)-MIN(FIND({0;1;2;3;4;5;6;7;8;9},AA772&amp;"0123456789"))+1)),"")</f>
        <v/>
      </c>
    </row>
    <row r="773" spans="28:28" x14ac:dyDescent="0.2">
      <c r="AB773" s="660" t="str">
        <f>IFERROR(VALUE(RIGHT(AA773,LEN(AA773)-MIN(FIND({0;1;2;3;4;5;6;7;8;9},AA773&amp;"0123456789"))+1)),"")</f>
        <v/>
      </c>
    </row>
    <row r="774" spans="28:28" x14ac:dyDescent="0.2">
      <c r="AB774" s="660" t="str">
        <f>IFERROR(VALUE(RIGHT(AA774,LEN(AA774)-MIN(FIND({0;1;2;3;4;5;6;7;8;9},AA774&amp;"0123456789"))+1)),"")</f>
        <v/>
      </c>
    </row>
    <row r="775" spans="28:28" x14ac:dyDescent="0.2">
      <c r="AB775" s="660" t="str">
        <f>IFERROR(VALUE(RIGHT(AA775,LEN(AA775)-MIN(FIND({0;1;2;3;4;5;6;7;8;9},AA775&amp;"0123456789"))+1)),"")</f>
        <v/>
      </c>
    </row>
    <row r="776" spans="28:28" x14ac:dyDescent="0.2">
      <c r="AB776" s="660" t="str">
        <f>IFERROR(VALUE(RIGHT(AA776,LEN(AA776)-MIN(FIND({0;1;2;3;4;5;6;7;8;9},AA776&amp;"0123456789"))+1)),"")</f>
        <v/>
      </c>
    </row>
    <row r="777" spans="28:28" x14ac:dyDescent="0.2">
      <c r="AB777" s="660" t="str">
        <f>IFERROR(VALUE(RIGHT(AA777,LEN(AA777)-MIN(FIND({0;1;2;3;4;5;6;7;8;9},AA777&amp;"0123456789"))+1)),"")</f>
        <v/>
      </c>
    </row>
    <row r="778" spans="28:28" x14ac:dyDescent="0.2">
      <c r="AB778" s="660" t="str">
        <f>IFERROR(VALUE(RIGHT(AA778,LEN(AA778)-MIN(FIND({0;1;2;3;4;5;6;7;8;9},AA778&amp;"0123456789"))+1)),"")</f>
        <v/>
      </c>
    </row>
    <row r="779" spans="28:28" x14ac:dyDescent="0.2">
      <c r="AB779" s="660" t="str">
        <f>IFERROR(VALUE(RIGHT(AA779,LEN(AA779)-MIN(FIND({0;1;2;3;4;5;6;7;8;9},AA779&amp;"0123456789"))+1)),"")</f>
        <v/>
      </c>
    </row>
    <row r="780" spans="28:28" x14ac:dyDescent="0.2">
      <c r="AB780" s="660" t="str">
        <f>IFERROR(VALUE(RIGHT(AA780,LEN(AA780)-MIN(FIND({0;1;2;3;4;5;6;7;8;9},AA780&amp;"0123456789"))+1)),"")</f>
        <v/>
      </c>
    </row>
    <row r="781" spans="28:28" x14ac:dyDescent="0.2">
      <c r="AB781" s="660" t="str">
        <f>IFERROR(VALUE(RIGHT(AA781,LEN(AA781)-MIN(FIND({0;1;2;3;4;5;6;7;8;9},AA781&amp;"0123456789"))+1)),"")</f>
        <v/>
      </c>
    </row>
    <row r="782" spans="28:28" x14ac:dyDescent="0.2">
      <c r="AB782" s="660" t="str">
        <f>IFERROR(VALUE(RIGHT(AA782,LEN(AA782)-MIN(FIND({0;1;2;3;4;5;6;7;8;9},AA782&amp;"0123456789"))+1)),"")</f>
        <v/>
      </c>
    </row>
    <row r="783" spans="28:28" x14ac:dyDescent="0.2">
      <c r="AB783" s="660" t="str">
        <f>IFERROR(VALUE(RIGHT(AA783,LEN(AA783)-MIN(FIND({0;1;2;3;4;5;6;7;8;9},AA783&amp;"0123456789"))+1)),"")</f>
        <v/>
      </c>
    </row>
    <row r="784" spans="28:28" x14ac:dyDescent="0.2">
      <c r="AB784" s="660" t="str">
        <f>IFERROR(VALUE(RIGHT(AA784,LEN(AA784)-MIN(FIND({0;1;2;3;4;5;6;7;8;9},AA784&amp;"0123456789"))+1)),"")</f>
        <v/>
      </c>
    </row>
    <row r="785" spans="28:28" x14ac:dyDescent="0.2">
      <c r="AB785" s="660" t="str">
        <f>IFERROR(VALUE(RIGHT(AA785,LEN(AA785)-MIN(FIND({0;1;2;3;4;5;6;7;8;9},AA785&amp;"0123456789"))+1)),"")</f>
        <v/>
      </c>
    </row>
    <row r="786" spans="28:28" x14ac:dyDescent="0.2">
      <c r="AB786" s="660" t="str">
        <f>IFERROR(VALUE(RIGHT(AA786,LEN(AA786)-MIN(FIND({0;1;2;3;4;5;6;7;8;9},AA786&amp;"0123456789"))+1)),"")</f>
        <v/>
      </c>
    </row>
    <row r="787" spans="28:28" x14ac:dyDescent="0.2">
      <c r="AB787" s="660" t="str">
        <f>IFERROR(VALUE(RIGHT(AA787,LEN(AA787)-MIN(FIND({0;1;2;3;4;5;6;7;8;9},AA787&amp;"0123456789"))+1)),"")</f>
        <v/>
      </c>
    </row>
    <row r="788" spans="28:28" x14ac:dyDescent="0.2">
      <c r="AB788" s="660" t="str">
        <f>IFERROR(VALUE(RIGHT(AA788,LEN(AA788)-MIN(FIND({0;1;2;3;4;5;6;7;8;9},AA788&amp;"0123456789"))+1)),"")</f>
        <v/>
      </c>
    </row>
    <row r="789" spans="28:28" x14ac:dyDescent="0.2">
      <c r="AB789" s="660" t="str">
        <f>IFERROR(VALUE(RIGHT(AA789,LEN(AA789)-MIN(FIND({0;1;2;3;4;5;6;7;8;9},AA789&amp;"0123456789"))+1)),"")</f>
        <v/>
      </c>
    </row>
    <row r="790" spans="28:28" x14ac:dyDescent="0.2">
      <c r="AB790" s="660" t="str">
        <f>IFERROR(VALUE(RIGHT(AA790,LEN(AA790)-MIN(FIND({0;1;2;3;4;5;6;7;8;9},AA790&amp;"0123456789"))+1)),"")</f>
        <v/>
      </c>
    </row>
    <row r="791" spans="28:28" x14ac:dyDescent="0.2">
      <c r="AB791" s="660" t="str">
        <f>IFERROR(VALUE(RIGHT(AA791,LEN(AA791)-MIN(FIND({0;1;2;3;4;5;6;7;8;9},AA791&amp;"0123456789"))+1)),"")</f>
        <v/>
      </c>
    </row>
    <row r="792" spans="28:28" x14ac:dyDescent="0.2">
      <c r="AB792" s="660" t="str">
        <f>IFERROR(VALUE(RIGHT(AA792,LEN(AA792)-MIN(FIND({0;1;2;3;4;5;6;7;8;9},AA792&amp;"0123456789"))+1)),"")</f>
        <v/>
      </c>
    </row>
    <row r="793" spans="28:28" x14ac:dyDescent="0.2">
      <c r="AB793" s="660" t="str">
        <f>IFERROR(VALUE(RIGHT(AA793,LEN(AA793)-MIN(FIND({0;1;2;3;4;5;6;7;8;9},AA793&amp;"0123456789"))+1)),"")</f>
        <v/>
      </c>
    </row>
    <row r="794" spans="28:28" x14ac:dyDescent="0.2">
      <c r="AB794" s="660" t="str">
        <f>IFERROR(VALUE(RIGHT(AA794,LEN(AA794)-MIN(FIND({0;1;2;3;4;5;6;7;8;9},AA794&amp;"0123456789"))+1)),"")</f>
        <v/>
      </c>
    </row>
    <row r="795" spans="28:28" x14ac:dyDescent="0.2">
      <c r="AB795" s="660" t="str">
        <f>IFERROR(VALUE(RIGHT(AA795,LEN(AA795)-MIN(FIND({0;1;2;3;4;5;6;7;8;9},AA795&amp;"0123456789"))+1)),"")</f>
        <v/>
      </c>
    </row>
    <row r="796" spans="28:28" x14ac:dyDescent="0.2">
      <c r="AB796" s="660" t="str">
        <f>IFERROR(VALUE(RIGHT(AA796,LEN(AA796)-MIN(FIND({0;1;2;3;4;5;6;7;8;9},AA796&amp;"0123456789"))+1)),"")</f>
        <v/>
      </c>
    </row>
    <row r="797" spans="28:28" x14ac:dyDescent="0.2">
      <c r="AB797" s="660" t="str">
        <f>IFERROR(VALUE(RIGHT(AA797,LEN(AA797)-MIN(FIND({0;1;2;3;4;5;6;7;8;9},AA797&amp;"0123456789"))+1)),"")</f>
        <v/>
      </c>
    </row>
    <row r="798" spans="28:28" x14ac:dyDescent="0.2">
      <c r="AB798" s="660" t="str">
        <f>IFERROR(VALUE(RIGHT(AA798,LEN(AA798)-MIN(FIND({0;1;2;3;4;5;6;7;8;9},AA798&amp;"0123456789"))+1)),"")</f>
        <v/>
      </c>
    </row>
    <row r="799" spans="28:28" x14ac:dyDescent="0.2">
      <c r="AB799" s="660" t="str">
        <f>IFERROR(VALUE(RIGHT(AA799,LEN(AA799)-MIN(FIND({0;1;2;3;4;5;6;7;8;9},AA799&amp;"0123456789"))+1)),"")</f>
        <v/>
      </c>
    </row>
    <row r="800" spans="28:28" x14ac:dyDescent="0.2">
      <c r="AB800" s="660" t="str">
        <f>IFERROR(VALUE(RIGHT(AA800,LEN(AA800)-MIN(FIND({0;1;2;3;4;5;6;7;8;9},AA800&amp;"0123456789"))+1)),"")</f>
        <v/>
      </c>
    </row>
    <row r="801" spans="28:28" x14ac:dyDescent="0.2">
      <c r="AB801" s="660" t="str">
        <f>IFERROR(VALUE(RIGHT(AA801,LEN(AA801)-MIN(FIND({0;1;2;3;4;5;6;7;8;9},AA801&amp;"0123456789"))+1)),"")</f>
        <v/>
      </c>
    </row>
    <row r="802" spans="28:28" x14ac:dyDescent="0.2">
      <c r="AB802" s="660" t="str">
        <f>IFERROR(VALUE(RIGHT(AA802,LEN(AA802)-MIN(FIND({0;1;2;3;4;5;6;7;8;9},AA802&amp;"0123456789"))+1)),"")</f>
        <v/>
      </c>
    </row>
    <row r="803" spans="28:28" x14ac:dyDescent="0.2">
      <c r="AB803" s="660" t="str">
        <f>IFERROR(VALUE(RIGHT(AA803,LEN(AA803)-MIN(FIND({0;1;2;3;4;5;6;7;8;9},AA803&amp;"0123456789"))+1)),"")</f>
        <v/>
      </c>
    </row>
    <row r="804" spans="28:28" x14ac:dyDescent="0.2">
      <c r="AB804" s="660" t="str">
        <f>IFERROR(VALUE(RIGHT(AA804,LEN(AA804)-MIN(FIND({0;1;2;3;4;5;6;7;8;9},AA804&amp;"0123456789"))+1)),"")</f>
        <v/>
      </c>
    </row>
    <row r="805" spans="28:28" x14ac:dyDescent="0.2">
      <c r="AB805" s="660" t="str">
        <f>IFERROR(VALUE(RIGHT(AA805,LEN(AA805)-MIN(FIND({0;1;2;3;4;5;6;7;8;9},AA805&amp;"0123456789"))+1)),"")</f>
        <v/>
      </c>
    </row>
    <row r="806" spans="28:28" x14ac:dyDescent="0.2">
      <c r="AB806" s="660" t="str">
        <f>IFERROR(VALUE(RIGHT(AA806,LEN(AA806)-MIN(FIND({0;1;2;3;4;5;6;7;8;9},AA806&amp;"0123456789"))+1)),"")</f>
        <v/>
      </c>
    </row>
    <row r="807" spans="28:28" x14ac:dyDescent="0.2">
      <c r="AB807" s="660" t="str">
        <f>IFERROR(VALUE(RIGHT(AA807,LEN(AA807)-MIN(FIND({0;1;2;3;4;5;6;7;8;9},AA807&amp;"0123456789"))+1)),"")</f>
        <v/>
      </c>
    </row>
    <row r="808" spans="28:28" x14ac:dyDescent="0.2">
      <c r="AB808" s="660" t="str">
        <f>IFERROR(VALUE(RIGHT(AA808,LEN(AA808)-MIN(FIND({0;1;2;3;4;5;6;7;8;9},AA808&amp;"0123456789"))+1)),"")</f>
        <v/>
      </c>
    </row>
    <row r="809" spans="28:28" x14ac:dyDescent="0.2">
      <c r="AB809" s="660" t="str">
        <f>IFERROR(VALUE(RIGHT(AA809,LEN(AA809)-MIN(FIND({0;1;2;3;4;5;6;7;8;9},AA809&amp;"0123456789"))+1)),"")</f>
        <v/>
      </c>
    </row>
    <row r="810" spans="28:28" x14ac:dyDescent="0.2">
      <c r="AB810" s="660" t="str">
        <f>IFERROR(VALUE(RIGHT(AA810,LEN(AA810)-MIN(FIND({0;1;2;3;4;5;6;7;8;9},AA810&amp;"0123456789"))+1)),"")</f>
        <v/>
      </c>
    </row>
    <row r="811" spans="28:28" x14ac:dyDescent="0.2">
      <c r="AB811" s="660" t="str">
        <f>IFERROR(VALUE(RIGHT(AA811,LEN(AA811)-MIN(FIND({0;1;2;3;4;5;6;7;8;9},AA811&amp;"0123456789"))+1)),"")</f>
        <v/>
      </c>
    </row>
    <row r="812" spans="28:28" x14ac:dyDescent="0.2">
      <c r="AB812" s="660" t="str">
        <f>IFERROR(VALUE(RIGHT(AA812,LEN(AA812)-MIN(FIND({0;1;2;3;4;5;6;7;8;9},AA812&amp;"0123456789"))+1)),"")</f>
        <v/>
      </c>
    </row>
    <row r="813" spans="28:28" x14ac:dyDescent="0.2">
      <c r="AB813" s="660" t="str">
        <f>IFERROR(VALUE(RIGHT(AA813,LEN(AA813)-MIN(FIND({0;1;2;3;4;5;6;7;8;9},AA813&amp;"0123456789"))+1)),"")</f>
        <v/>
      </c>
    </row>
    <row r="814" spans="28:28" x14ac:dyDescent="0.2">
      <c r="AB814" s="660" t="str">
        <f>IFERROR(VALUE(RIGHT(AA814,LEN(AA814)-MIN(FIND({0;1;2;3;4;5;6;7;8;9},AA814&amp;"0123456789"))+1)),"")</f>
        <v/>
      </c>
    </row>
    <row r="815" spans="28:28" x14ac:dyDescent="0.2">
      <c r="AB815" s="660" t="str">
        <f>IFERROR(VALUE(RIGHT(AA815,LEN(AA815)-MIN(FIND({0;1;2;3;4;5;6;7;8;9},AA815&amp;"0123456789"))+1)),"")</f>
        <v/>
      </c>
    </row>
    <row r="816" spans="28:28" x14ac:dyDescent="0.2">
      <c r="AB816" s="660" t="str">
        <f>IFERROR(VALUE(RIGHT(AA816,LEN(AA816)-MIN(FIND({0;1;2;3;4;5;6;7;8;9},AA816&amp;"0123456789"))+1)),"")</f>
        <v/>
      </c>
    </row>
    <row r="817" spans="28:28" x14ac:dyDescent="0.2">
      <c r="AB817" s="660" t="str">
        <f>IFERROR(VALUE(RIGHT(AA817,LEN(AA817)-MIN(FIND({0;1;2;3;4;5;6;7;8;9},AA817&amp;"0123456789"))+1)),"")</f>
        <v/>
      </c>
    </row>
    <row r="818" spans="28:28" x14ac:dyDescent="0.2">
      <c r="AB818" s="660" t="str">
        <f>IFERROR(VALUE(RIGHT(AA818,LEN(AA818)-MIN(FIND({0;1;2;3;4;5;6;7;8;9},AA818&amp;"0123456789"))+1)),"")</f>
        <v/>
      </c>
    </row>
    <row r="819" spans="28:28" x14ac:dyDescent="0.2">
      <c r="AB819" s="660" t="str">
        <f>IFERROR(VALUE(RIGHT(AA819,LEN(AA819)-MIN(FIND({0;1;2;3;4;5;6;7;8;9},AA819&amp;"0123456789"))+1)),"")</f>
        <v/>
      </c>
    </row>
    <row r="820" spans="28:28" x14ac:dyDescent="0.2">
      <c r="AB820" s="660" t="str">
        <f>IFERROR(VALUE(RIGHT(AA820,LEN(AA820)-MIN(FIND({0;1;2;3;4;5;6;7;8;9},AA820&amp;"0123456789"))+1)),"")</f>
        <v/>
      </c>
    </row>
    <row r="821" spans="28:28" x14ac:dyDescent="0.2">
      <c r="AB821" s="660" t="str">
        <f>IFERROR(VALUE(RIGHT(AA821,LEN(AA821)-MIN(FIND({0;1;2;3;4;5;6;7;8;9},AA821&amp;"0123456789"))+1)),"")</f>
        <v/>
      </c>
    </row>
    <row r="822" spans="28:28" x14ac:dyDescent="0.2">
      <c r="AB822" s="660" t="str">
        <f>IFERROR(VALUE(RIGHT(AA822,LEN(AA822)-MIN(FIND({0;1;2;3;4;5;6;7;8;9},AA822&amp;"0123456789"))+1)),"")</f>
        <v/>
      </c>
    </row>
    <row r="823" spans="28:28" x14ac:dyDescent="0.2">
      <c r="AB823" s="660" t="str">
        <f>IFERROR(VALUE(RIGHT(AA823,LEN(AA823)-MIN(FIND({0;1;2;3;4;5;6;7;8;9},AA823&amp;"0123456789"))+1)),"")</f>
        <v/>
      </c>
    </row>
    <row r="824" spans="28:28" x14ac:dyDescent="0.2">
      <c r="AB824" s="660" t="str">
        <f>IFERROR(VALUE(RIGHT(AA824,LEN(AA824)-MIN(FIND({0;1;2;3;4;5;6;7;8;9},AA824&amp;"0123456789"))+1)),"")</f>
        <v/>
      </c>
    </row>
    <row r="825" spans="28:28" x14ac:dyDescent="0.2">
      <c r="AB825" s="660" t="str">
        <f>IFERROR(VALUE(RIGHT(AA825,LEN(AA825)-MIN(FIND({0;1;2;3;4;5;6;7;8;9},AA825&amp;"0123456789"))+1)),"")</f>
        <v/>
      </c>
    </row>
    <row r="826" spans="28:28" x14ac:dyDescent="0.2">
      <c r="AB826" s="660" t="str">
        <f>IFERROR(VALUE(RIGHT(AA826,LEN(AA826)-MIN(FIND({0;1;2;3;4;5;6;7;8;9},AA826&amp;"0123456789"))+1)),"")</f>
        <v/>
      </c>
    </row>
    <row r="827" spans="28:28" x14ac:dyDescent="0.2">
      <c r="AB827" s="660" t="str">
        <f>IFERROR(VALUE(RIGHT(AA827,LEN(AA827)-MIN(FIND({0;1;2;3;4;5;6;7;8;9},AA827&amp;"0123456789"))+1)),"")</f>
        <v/>
      </c>
    </row>
    <row r="828" spans="28:28" x14ac:dyDescent="0.2">
      <c r="AB828" s="660" t="str">
        <f>IFERROR(VALUE(RIGHT(AA828,LEN(AA828)-MIN(FIND({0;1;2;3;4;5;6;7;8;9},AA828&amp;"0123456789"))+1)),"")</f>
        <v/>
      </c>
    </row>
    <row r="829" spans="28:28" x14ac:dyDescent="0.2">
      <c r="AB829" s="660" t="str">
        <f>IFERROR(VALUE(RIGHT(AA829,LEN(AA829)-MIN(FIND({0;1;2;3;4;5;6;7;8;9},AA829&amp;"0123456789"))+1)),"")</f>
        <v/>
      </c>
    </row>
    <row r="830" spans="28:28" x14ac:dyDescent="0.2">
      <c r="AB830" s="660" t="str">
        <f>IFERROR(VALUE(RIGHT(AA830,LEN(AA830)-MIN(FIND({0;1;2;3;4;5;6;7;8;9},AA830&amp;"0123456789"))+1)),"")</f>
        <v/>
      </c>
    </row>
    <row r="831" spans="28:28" x14ac:dyDescent="0.2">
      <c r="AB831" s="660" t="str">
        <f>IFERROR(VALUE(RIGHT(AA831,LEN(AA831)-MIN(FIND({0;1;2;3;4;5;6;7;8;9},AA831&amp;"0123456789"))+1)),"")</f>
        <v/>
      </c>
    </row>
    <row r="832" spans="28:28" x14ac:dyDescent="0.2">
      <c r="AB832" s="660" t="str">
        <f>IFERROR(VALUE(RIGHT(AA832,LEN(AA832)-MIN(FIND({0;1;2;3;4;5;6;7;8;9},AA832&amp;"0123456789"))+1)),"")</f>
        <v/>
      </c>
    </row>
    <row r="833" spans="28:28" x14ac:dyDescent="0.2">
      <c r="AB833" s="660" t="str">
        <f>IFERROR(VALUE(RIGHT(AA833,LEN(AA833)-MIN(FIND({0;1;2;3;4;5;6;7;8;9},AA833&amp;"0123456789"))+1)),"")</f>
        <v/>
      </c>
    </row>
    <row r="834" spans="28:28" x14ac:dyDescent="0.2">
      <c r="AB834" s="660" t="str">
        <f>IFERROR(VALUE(RIGHT(AA834,LEN(AA834)-MIN(FIND({0;1;2;3;4;5;6;7;8;9},AA834&amp;"0123456789"))+1)),"")</f>
        <v/>
      </c>
    </row>
    <row r="835" spans="28:28" x14ac:dyDescent="0.2">
      <c r="AB835" s="660" t="str">
        <f>IFERROR(VALUE(RIGHT(AA835,LEN(AA835)-MIN(FIND({0;1;2;3;4;5;6;7;8;9},AA835&amp;"0123456789"))+1)),"")</f>
        <v/>
      </c>
    </row>
    <row r="836" spans="28:28" x14ac:dyDescent="0.2">
      <c r="AB836" s="660" t="str">
        <f>IFERROR(VALUE(RIGHT(AA836,LEN(AA836)-MIN(FIND({0;1;2;3;4;5;6;7;8;9},AA836&amp;"0123456789"))+1)),"")</f>
        <v/>
      </c>
    </row>
    <row r="837" spans="28:28" x14ac:dyDescent="0.2">
      <c r="AB837" s="660" t="str">
        <f>IFERROR(VALUE(RIGHT(AA837,LEN(AA837)-MIN(FIND({0;1;2;3;4;5;6;7;8;9},AA837&amp;"0123456789"))+1)),"")</f>
        <v/>
      </c>
    </row>
    <row r="838" spans="28:28" x14ac:dyDescent="0.2">
      <c r="AB838" s="660" t="str">
        <f>IFERROR(VALUE(RIGHT(AA838,LEN(AA838)-MIN(FIND({0;1;2;3;4;5;6;7;8;9},AA838&amp;"0123456789"))+1)),"")</f>
        <v/>
      </c>
    </row>
    <row r="839" spans="28:28" x14ac:dyDescent="0.2">
      <c r="AB839" s="660" t="str">
        <f>IFERROR(VALUE(RIGHT(AA839,LEN(AA839)-MIN(FIND({0;1;2;3;4;5;6;7;8;9},AA839&amp;"0123456789"))+1)),"")</f>
        <v/>
      </c>
    </row>
    <row r="840" spans="28:28" x14ac:dyDescent="0.2">
      <c r="AB840" s="660" t="str">
        <f>IFERROR(VALUE(RIGHT(AA840,LEN(AA840)-MIN(FIND({0;1;2;3;4;5;6;7;8;9},AA840&amp;"0123456789"))+1)),"")</f>
        <v/>
      </c>
    </row>
    <row r="841" spans="28:28" x14ac:dyDescent="0.2">
      <c r="AB841" s="660" t="str">
        <f>IFERROR(VALUE(RIGHT(AA841,LEN(AA841)-MIN(FIND({0;1;2;3;4;5;6;7;8;9},AA841&amp;"0123456789"))+1)),"")</f>
        <v/>
      </c>
    </row>
    <row r="842" spans="28:28" x14ac:dyDescent="0.2">
      <c r="AB842" s="660" t="str">
        <f>IFERROR(VALUE(RIGHT(AA842,LEN(AA842)-MIN(FIND({0;1;2;3;4;5;6;7;8;9},AA842&amp;"0123456789"))+1)),"")</f>
        <v/>
      </c>
    </row>
    <row r="843" spans="28:28" x14ac:dyDescent="0.2">
      <c r="AB843" s="660" t="str">
        <f>IFERROR(VALUE(RIGHT(AA843,LEN(AA843)-MIN(FIND({0;1;2;3;4;5;6;7;8;9},AA843&amp;"0123456789"))+1)),"")</f>
        <v/>
      </c>
    </row>
    <row r="844" spans="28:28" x14ac:dyDescent="0.2">
      <c r="AB844" s="660" t="str">
        <f>IFERROR(VALUE(RIGHT(AA844,LEN(AA844)-MIN(FIND({0;1;2;3;4;5;6;7;8;9},AA844&amp;"0123456789"))+1)),"")</f>
        <v/>
      </c>
    </row>
    <row r="845" spans="28:28" x14ac:dyDescent="0.2">
      <c r="AB845" s="660" t="str">
        <f>IFERROR(VALUE(RIGHT(AA845,LEN(AA845)-MIN(FIND({0;1;2;3;4;5;6;7;8;9},AA845&amp;"0123456789"))+1)),"")</f>
        <v/>
      </c>
    </row>
    <row r="846" spans="28:28" x14ac:dyDescent="0.2">
      <c r="AB846" s="660" t="str">
        <f>IFERROR(VALUE(RIGHT(AA846,LEN(AA846)-MIN(FIND({0;1;2;3;4;5;6;7;8;9},AA846&amp;"0123456789"))+1)),"")</f>
        <v/>
      </c>
    </row>
    <row r="847" spans="28:28" x14ac:dyDescent="0.2">
      <c r="AB847" s="660" t="str">
        <f>IFERROR(VALUE(RIGHT(AA847,LEN(AA847)-MIN(FIND({0;1;2;3;4;5;6;7;8;9},AA847&amp;"0123456789"))+1)),"")</f>
        <v/>
      </c>
    </row>
    <row r="848" spans="28:28" x14ac:dyDescent="0.2">
      <c r="AB848" s="660" t="str">
        <f>IFERROR(VALUE(RIGHT(AA848,LEN(AA848)-MIN(FIND({0;1;2;3;4;5;6;7;8;9},AA848&amp;"0123456789"))+1)),"")</f>
        <v/>
      </c>
    </row>
    <row r="849" spans="28:28" x14ac:dyDescent="0.2">
      <c r="AB849" s="660" t="str">
        <f>IFERROR(VALUE(RIGHT(AA849,LEN(AA849)-MIN(FIND({0;1;2;3;4;5;6;7;8;9},AA849&amp;"0123456789"))+1)),"")</f>
        <v/>
      </c>
    </row>
    <row r="850" spans="28:28" x14ac:dyDescent="0.2">
      <c r="AB850" s="660" t="str">
        <f>IFERROR(VALUE(RIGHT(AA850,LEN(AA850)-MIN(FIND({0;1;2;3;4;5;6;7;8;9},AA850&amp;"0123456789"))+1)),"")</f>
        <v/>
      </c>
    </row>
    <row r="851" spans="28:28" x14ac:dyDescent="0.2">
      <c r="AB851" s="660" t="str">
        <f>IFERROR(VALUE(RIGHT(AA851,LEN(AA851)-MIN(FIND({0;1;2;3;4;5;6;7;8;9},AA851&amp;"0123456789"))+1)),"")</f>
        <v/>
      </c>
    </row>
    <row r="852" spans="28:28" x14ac:dyDescent="0.2">
      <c r="AB852" s="660" t="str">
        <f>IFERROR(VALUE(RIGHT(AA852,LEN(AA852)-MIN(FIND({0;1;2;3;4;5;6;7;8;9},AA852&amp;"0123456789"))+1)),"")</f>
        <v/>
      </c>
    </row>
    <row r="853" spans="28:28" x14ac:dyDescent="0.2">
      <c r="AB853" s="660" t="str">
        <f>IFERROR(VALUE(RIGHT(AA853,LEN(AA853)-MIN(FIND({0;1;2;3;4;5;6;7;8;9},AA853&amp;"0123456789"))+1)),"")</f>
        <v/>
      </c>
    </row>
    <row r="854" spans="28:28" x14ac:dyDescent="0.2">
      <c r="AB854" s="660" t="str">
        <f>IFERROR(VALUE(RIGHT(AA854,LEN(AA854)-MIN(FIND({0;1;2;3;4;5;6;7;8;9},AA854&amp;"0123456789"))+1)),"")</f>
        <v/>
      </c>
    </row>
    <row r="855" spans="28:28" x14ac:dyDescent="0.2">
      <c r="AB855" s="660" t="str">
        <f>IFERROR(VALUE(RIGHT(AA855,LEN(AA855)-MIN(FIND({0;1;2;3;4;5;6;7;8;9},AA855&amp;"0123456789"))+1)),"")</f>
        <v/>
      </c>
    </row>
    <row r="856" spans="28:28" x14ac:dyDescent="0.2">
      <c r="AB856" s="660" t="str">
        <f>IFERROR(VALUE(RIGHT(AA856,LEN(AA856)-MIN(FIND({0;1;2;3;4;5;6;7;8;9},AA856&amp;"0123456789"))+1)),"")</f>
        <v/>
      </c>
    </row>
    <row r="857" spans="28:28" x14ac:dyDescent="0.2">
      <c r="AB857" s="660" t="str">
        <f>IFERROR(VALUE(RIGHT(AA857,LEN(AA857)-MIN(FIND({0;1;2;3;4;5;6;7;8;9},AA857&amp;"0123456789"))+1)),"")</f>
        <v/>
      </c>
    </row>
    <row r="858" spans="28:28" x14ac:dyDescent="0.2">
      <c r="AB858" s="660" t="str">
        <f>IFERROR(VALUE(RIGHT(AA858,LEN(AA858)-MIN(FIND({0;1;2;3;4;5;6;7;8;9},AA858&amp;"0123456789"))+1)),"")</f>
        <v/>
      </c>
    </row>
    <row r="859" spans="28:28" x14ac:dyDescent="0.2">
      <c r="AB859" s="660" t="str">
        <f>IFERROR(VALUE(RIGHT(AA859,LEN(AA859)-MIN(FIND({0;1;2;3;4;5;6;7;8;9},AA859&amp;"0123456789"))+1)),"")</f>
        <v/>
      </c>
    </row>
    <row r="860" spans="28:28" x14ac:dyDescent="0.2">
      <c r="AB860" s="660" t="str">
        <f>IFERROR(VALUE(RIGHT(AA860,LEN(AA860)-MIN(FIND({0;1;2;3;4;5;6;7;8;9},AA860&amp;"0123456789"))+1)),"")</f>
        <v/>
      </c>
    </row>
    <row r="861" spans="28:28" x14ac:dyDescent="0.2">
      <c r="AB861" s="660" t="str">
        <f>IFERROR(VALUE(RIGHT(AA861,LEN(AA861)-MIN(FIND({0;1;2;3;4;5;6;7;8;9},AA861&amp;"0123456789"))+1)),"")</f>
        <v/>
      </c>
    </row>
    <row r="862" spans="28:28" x14ac:dyDescent="0.2">
      <c r="AB862" s="660" t="str">
        <f>IFERROR(VALUE(RIGHT(AA862,LEN(AA862)-MIN(FIND({0;1;2;3;4;5;6;7;8;9},AA862&amp;"0123456789"))+1)),"")</f>
        <v/>
      </c>
    </row>
    <row r="863" spans="28:28" x14ac:dyDescent="0.2">
      <c r="AB863" s="660" t="str">
        <f>IFERROR(VALUE(RIGHT(AA863,LEN(AA863)-MIN(FIND({0;1;2;3;4;5;6;7;8;9},AA863&amp;"0123456789"))+1)),"")</f>
        <v/>
      </c>
    </row>
    <row r="864" spans="28:28" x14ac:dyDescent="0.2">
      <c r="AB864" s="660" t="str">
        <f>IFERROR(VALUE(RIGHT(AA864,LEN(AA864)-MIN(FIND({0;1;2;3;4;5;6;7;8;9},AA864&amp;"0123456789"))+1)),"")</f>
        <v/>
      </c>
    </row>
    <row r="865" spans="28:28" x14ac:dyDescent="0.2">
      <c r="AB865" s="660" t="str">
        <f>IFERROR(VALUE(RIGHT(AA865,LEN(AA865)-MIN(FIND({0;1;2;3;4;5;6;7;8;9},AA865&amp;"0123456789"))+1)),"")</f>
        <v/>
      </c>
    </row>
    <row r="866" spans="28:28" x14ac:dyDescent="0.2">
      <c r="AB866" s="660" t="str">
        <f>IFERROR(VALUE(RIGHT(AA866,LEN(AA866)-MIN(FIND({0;1;2;3;4;5;6;7;8;9},AA866&amp;"0123456789"))+1)),"")</f>
        <v/>
      </c>
    </row>
    <row r="867" spans="28:28" x14ac:dyDescent="0.2">
      <c r="AB867" s="660" t="str">
        <f>IFERROR(VALUE(RIGHT(AA867,LEN(AA867)-MIN(FIND({0;1;2;3;4;5;6;7;8;9},AA867&amp;"0123456789"))+1)),"")</f>
        <v/>
      </c>
    </row>
    <row r="868" spans="28:28" x14ac:dyDescent="0.2">
      <c r="AB868" s="660" t="str">
        <f>IFERROR(VALUE(RIGHT(AA868,LEN(AA868)-MIN(FIND({0;1;2;3;4;5;6;7;8;9},AA868&amp;"0123456789"))+1)),"")</f>
        <v/>
      </c>
    </row>
    <row r="869" spans="28:28" x14ac:dyDescent="0.2">
      <c r="AB869" s="660" t="str">
        <f>IFERROR(VALUE(RIGHT(AA869,LEN(AA869)-MIN(FIND({0;1;2;3;4;5;6;7;8;9},AA869&amp;"0123456789"))+1)),"")</f>
        <v/>
      </c>
    </row>
    <row r="870" spans="28:28" x14ac:dyDescent="0.2">
      <c r="AB870" s="660" t="str">
        <f>IFERROR(VALUE(RIGHT(AA870,LEN(AA870)-MIN(FIND({0;1;2;3;4;5;6;7;8;9},AA870&amp;"0123456789"))+1)),"")</f>
        <v/>
      </c>
    </row>
    <row r="871" spans="28:28" x14ac:dyDescent="0.2">
      <c r="AB871" s="660" t="str">
        <f>IFERROR(VALUE(RIGHT(AA871,LEN(AA871)-MIN(FIND({0;1;2;3;4;5;6;7;8;9},AA871&amp;"0123456789"))+1)),"")</f>
        <v/>
      </c>
    </row>
    <row r="872" spans="28:28" x14ac:dyDescent="0.2">
      <c r="AB872" s="660" t="str">
        <f>IFERROR(VALUE(RIGHT(AA872,LEN(AA872)-MIN(FIND({0;1;2;3;4;5;6;7;8;9},AA872&amp;"0123456789"))+1)),"")</f>
        <v/>
      </c>
    </row>
    <row r="873" spans="28:28" x14ac:dyDescent="0.2">
      <c r="AB873" s="660" t="str">
        <f>IFERROR(VALUE(RIGHT(AA873,LEN(AA873)-MIN(FIND({0;1;2;3;4;5;6;7;8;9},AA873&amp;"0123456789"))+1)),"")</f>
        <v/>
      </c>
    </row>
    <row r="874" spans="28:28" x14ac:dyDescent="0.2">
      <c r="AB874" s="660" t="str">
        <f>IFERROR(VALUE(RIGHT(AA874,LEN(AA874)-MIN(FIND({0;1;2;3;4;5;6;7;8;9},AA874&amp;"0123456789"))+1)),"")</f>
        <v/>
      </c>
    </row>
    <row r="875" spans="28:28" x14ac:dyDescent="0.2">
      <c r="AB875" s="660" t="str">
        <f>IFERROR(VALUE(RIGHT(AA875,LEN(AA875)-MIN(FIND({0;1;2;3;4;5;6;7;8;9},AA875&amp;"0123456789"))+1)),"")</f>
        <v/>
      </c>
    </row>
    <row r="876" spans="28:28" x14ac:dyDescent="0.2">
      <c r="AB876" s="660" t="str">
        <f>IFERROR(VALUE(RIGHT(AA876,LEN(AA876)-MIN(FIND({0;1;2;3;4;5;6;7;8;9},AA876&amp;"0123456789"))+1)),"")</f>
        <v/>
      </c>
    </row>
    <row r="877" spans="28:28" x14ac:dyDescent="0.2">
      <c r="AB877" s="660" t="str">
        <f>IFERROR(VALUE(RIGHT(AA877,LEN(AA877)-MIN(FIND({0;1;2;3;4;5;6;7;8;9},AA877&amp;"0123456789"))+1)),"")</f>
        <v/>
      </c>
    </row>
    <row r="878" spans="28:28" x14ac:dyDescent="0.2">
      <c r="AB878" s="660" t="str">
        <f>IFERROR(VALUE(RIGHT(AA878,LEN(AA878)-MIN(FIND({0;1;2;3;4;5;6;7;8;9},AA878&amp;"0123456789"))+1)),"")</f>
        <v/>
      </c>
    </row>
    <row r="879" spans="28:28" x14ac:dyDescent="0.2">
      <c r="AB879" s="660" t="str">
        <f>IFERROR(VALUE(RIGHT(AA879,LEN(AA879)-MIN(FIND({0;1;2;3;4;5;6;7;8;9},AA879&amp;"0123456789"))+1)),"")</f>
        <v/>
      </c>
    </row>
    <row r="880" spans="28:28" x14ac:dyDescent="0.2">
      <c r="AB880" s="660" t="str">
        <f>IFERROR(VALUE(RIGHT(AA880,LEN(AA880)-MIN(FIND({0;1;2;3;4;5;6;7;8;9},AA880&amp;"0123456789"))+1)),"")</f>
        <v/>
      </c>
    </row>
    <row r="881" spans="28:28" x14ac:dyDescent="0.2">
      <c r="AB881" s="660" t="str">
        <f>IFERROR(VALUE(RIGHT(AA881,LEN(AA881)-MIN(FIND({0;1;2;3;4;5;6;7;8;9},AA881&amp;"0123456789"))+1)),"")</f>
        <v/>
      </c>
    </row>
    <row r="882" spans="28:28" x14ac:dyDescent="0.2">
      <c r="AB882" s="660" t="str">
        <f>IFERROR(VALUE(RIGHT(AA882,LEN(AA882)-MIN(FIND({0;1;2;3;4;5;6;7;8;9},AA882&amp;"0123456789"))+1)),"")</f>
        <v/>
      </c>
    </row>
    <row r="883" spans="28:28" x14ac:dyDescent="0.2">
      <c r="AB883" s="660" t="str">
        <f>IFERROR(VALUE(RIGHT(AA883,LEN(AA883)-MIN(FIND({0;1;2;3;4;5;6;7;8;9},AA883&amp;"0123456789"))+1)),"")</f>
        <v/>
      </c>
    </row>
    <row r="884" spans="28:28" x14ac:dyDescent="0.2">
      <c r="AB884" s="660" t="str">
        <f>IFERROR(VALUE(RIGHT(AA884,LEN(AA884)-MIN(FIND({0;1;2;3;4;5;6;7;8;9},AA884&amp;"0123456789"))+1)),"")</f>
        <v/>
      </c>
    </row>
    <row r="885" spans="28:28" x14ac:dyDescent="0.2">
      <c r="AB885" s="660" t="str">
        <f>IFERROR(VALUE(RIGHT(AA885,LEN(AA885)-MIN(FIND({0;1;2;3;4;5;6;7;8;9},AA885&amp;"0123456789"))+1)),"")</f>
        <v/>
      </c>
    </row>
    <row r="886" spans="28:28" x14ac:dyDescent="0.2">
      <c r="AB886" s="660" t="str">
        <f>IFERROR(VALUE(RIGHT(AA886,LEN(AA886)-MIN(FIND({0;1;2;3;4;5;6;7;8;9},AA886&amp;"0123456789"))+1)),"")</f>
        <v/>
      </c>
    </row>
    <row r="887" spans="28:28" x14ac:dyDescent="0.2">
      <c r="AB887" s="660" t="str">
        <f>IFERROR(VALUE(RIGHT(AA887,LEN(AA887)-MIN(FIND({0;1;2;3;4;5;6;7;8;9},AA887&amp;"0123456789"))+1)),"")</f>
        <v/>
      </c>
    </row>
    <row r="888" spans="28:28" x14ac:dyDescent="0.2">
      <c r="AB888" s="660" t="str">
        <f>IFERROR(VALUE(RIGHT(AA888,LEN(AA888)-MIN(FIND({0;1;2;3;4;5;6;7;8;9},AA888&amp;"0123456789"))+1)),"")</f>
        <v/>
      </c>
    </row>
    <row r="889" spans="28:28" x14ac:dyDescent="0.2">
      <c r="AB889" s="660" t="str">
        <f>IFERROR(VALUE(RIGHT(AA889,LEN(AA889)-MIN(FIND({0;1;2;3;4;5;6;7;8;9},AA889&amp;"0123456789"))+1)),"")</f>
        <v/>
      </c>
    </row>
    <row r="890" spans="28:28" x14ac:dyDescent="0.2">
      <c r="AB890" s="660" t="str">
        <f>IFERROR(VALUE(RIGHT(AA890,LEN(AA890)-MIN(FIND({0;1;2;3;4;5;6;7;8;9},AA890&amp;"0123456789"))+1)),"")</f>
        <v/>
      </c>
    </row>
    <row r="891" spans="28:28" x14ac:dyDescent="0.2">
      <c r="AB891" s="660" t="str">
        <f>IFERROR(VALUE(RIGHT(AA891,LEN(AA891)-MIN(FIND({0;1;2;3;4;5;6;7;8;9},AA891&amp;"0123456789"))+1)),"")</f>
        <v/>
      </c>
    </row>
    <row r="892" spans="28:28" x14ac:dyDescent="0.2">
      <c r="AB892" s="660" t="str">
        <f>IFERROR(VALUE(RIGHT(AA892,LEN(AA892)-MIN(FIND({0;1;2;3;4;5;6;7;8;9},AA892&amp;"0123456789"))+1)),"")</f>
        <v/>
      </c>
    </row>
    <row r="893" spans="28:28" x14ac:dyDescent="0.2">
      <c r="AB893" s="660" t="str">
        <f>IFERROR(VALUE(RIGHT(AA893,LEN(AA893)-MIN(FIND({0;1;2;3;4;5;6;7;8;9},AA893&amp;"0123456789"))+1)),"")</f>
        <v/>
      </c>
    </row>
    <row r="894" spans="28:28" x14ac:dyDescent="0.2">
      <c r="AB894" s="660" t="str">
        <f>IFERROR(VALUE(RIGHT(AA894,LEN(AA894)-MIN(FIND({0;1;2;3;4;5;6;7;8;9},AA894&amp;"0123456789"))+1)),"")</f>
        <v/>
      </c>
    </row>
    <row r="895" spans="28:28" x14ac:dyDescent="0.2">
      <c r="AB895" s="660" t="str">
        <f>IFERROR(VALUE(RIGHT(AA895,LEN(AA895)-MIN(FIND({0;1;2;3;4;5;6;7;8;9},AA895&amp;"0123456789"))+1)),"")</f>
        <v/>
      </c>
    </row>
    <row r="896" spans="28:28" x14ac:dyDescent="0.2">
      <c r="AB896" s="660" t="str">
        <f>IFERROR(VALUE(RIGHT(AA896,LEN(AA896)-MIN(FIND({0;1;2;3;4;5;6;7;8;9},AA896&amp;"0123456789"))+1)),"")</f>
        <v/>
      </c>
    </row>
    <row r="897" spans="28:28" x14ac:dyDescent="0.2">
      <c r="AB897" s="660" t="str">
        <f>IFERROR(VALUE(RIGHT(AA897,LEN(AA897)-MIN(FIND({0;1;2;3;4;5;6;7;8;9},AA897&amp;"0123456789"))+1)),"")</f>
        <v/>
      </c>
    </row>
    <row r="898" spans="28:28" x14ac:dyDescent="0.2">
      <c r="AB898" s="660" t="str">
        <f>IFERROR(VALUE(RIGHT(AA898,LEN(AA898)-MIN(FIND({0;1;2;3;4;5;6;7;8;9},AA898&amp;"0123456789"))+1)),"")</f>
        <v/>
      </c>
    </row>
    <row r="899" spans="28:28" x14ac:dyDescent="0.2">
      <c r="AB899" s="660" t="str">
        <f>IFERROR(VALUE(RIGHT(AA899,LEN(AA899)-MIN(FIND({0;1;2;3;4;5;6;7;8;9},AA899&amp;"0123456789"))+1)),"")</f>
        <v/>
      </c>
    </row>
    <row r="900" spans="28:28" x14ac:dyDescent="0.2">
      <c r="AB900" s="660" t="str">
        <f>IFERROR(VALUE(RIGHT(AA900,LEN(AA900)-MIN(FIND({0;1;2;3;4;5;6;7;8;9},AA900&amp;"0123456789"))+1)),"")</f>
        <v/>
      </c>
    </row>
    <row r="901" spans="28:28" x14ac:dyDescent="0.2">
      <c r="AB901" s="660" t="str">
        <f>IFERROR(VALUE(RIGHT(AA901,LEN(AA901)-MIN(FIND({0;1;2;3;4;5;6;7;8;9},AA901&amp;"0123456789"))+1)),"")</f>
        <v/>
      </c>
    </row>
    <row r="902" spans="28:28" x14ac:dyDescent="0.2">
      <c r="AB902" s="660" t="str">
        <f>IFERROR(VALUE(RIGHT(AA902,LEN(AA902)-MIN(FIND({0;1;2;3;4;5;6;7;8;9},AA902&amp;"0123456789"))+1)),"")</f>
        <v/>
      </c>
    </row>
    <row r="903" spans="28:28" x14ac:dyDescent="0.2">
      <c r="AB903" s="660" t="str">
        <f>IFERROR(VALUE(RIGHT(AA903,LEN(AA903)-MIN(FIND({0;1;2;3;4;5;6;7;8;9},AA903&amp;"0123456789"))+1)),"")</f>
        <v/>
      </c>
    </row>
    <row r="904" spans="28:28" x14ac:dyDescent="0.2">
      <c r="AB904" s="660" t="str">
        <f>IFERROR(VALUE(RIGHT(AA904,LEN(AA904)-MIN(FIND({0;1;2;3;4;5;6;7;8;9},AA904&amp;"0123456789"))+1)),"")</f>
        <v/>
      </c>
    </row>
    <row r="905" spans="28:28" x14ac:dyDescent="0.2">
      <c r="AB905" s="660" t="str">
        <f>IFERROR(VALUE(RIGHT(AA905,LEN(AA905)-MIN(FIND({0;1;2;3;4;5;6;7;8;9},AA905&amp;"0123456789"))+1)),"")</f>
        <v/>
      </c>
    </row>
    <row r="906" spans="28:28" x14ac:dyDescent="0.2">
      <c r="AB906" s="660" t="str">
        <f>IFERROR(VALUE(RIGHT(AA906,LEN(AA906)-MIN(FIND({0;1;2;3;4;5;6;7;8;9},AA906&amp;"0123456789"))+1)),"")</f>
        <v/>
      </c>
    </row>
    <row r="907" spans="28:28" x14ac:dyDescent="0.2">
      <c r="AB907" s="660" t="str">
        <f>IFERROR(VALUE(RIGHT(AA907,LEN(AA907)-MIN(FIND({0;1;2;3;4;5;6;7;8;9},AA907&amp;"0123456789"))+1)),"")</f>
        <v/>
      </c>
    </row>
    <row r="908" spans="28:28" x14ac:dyDescent="0.2">
      <c r="AB908" s="660" t="str">
        <f>IFERROR(VALUE(RIGHT(AA908,LEN(AA908)-MIN(FIND({0;1;2;3;4;5;6;7;8;9},AA908&amp;"0123456789"))+1)),"")</f>
        <v/>
      </c>
    </row>
    <row r="909" spans="28:28" x14ac:dyDescent="0.2">
      <c r="AB909" s="660" t="str">
        <f>IFERROR(VALUE(RIGHT(AA909,LEN(AA909)-MIN(FIND({0;1;2;3;4;5;6;7;8;9},AA909&amp;"0123456789"))+1)),"")</f>
        <v/>
      </c>
    </row>
    <row r="910" spans="28:28" x14ac:dyDescent="0.2">
      <c r="AB910" s="660" t="str">
        <f>IFERROR(VALUE(RIGHT(AA910,LEN(AA910)-MIN(FIND({0;1;2;3;4;5;6;7;8;9},AA910&amp;"0123456789"))+1)),"")</f>
        <v/>
      </c>
    </row>
    <row r="911" spans="28:28" x14ac:dyDescent="0.2">
      <c r="AB911" s="660" t="str">
        <f>IFERROR(VALUE(RIGHT(AA911,LEN(AA911)-MIN(FIND({0;1;2;3;4;5;6;7;8;9},AA911&amp;"0123456789"))+1)),"")</f>
        <v/>
      </c>
    </row>
    <row r="912" spans="28:28" x14ac:dyDescent="0.2">
      <c r="AB912" s="660" t="str">
        <f>IFERROR(VALUE(RIGHT(AA912,LEN(AA912)-MIN(FIND({0;1;2;3;4;5;6;7;8;9},AA912&amp;"0123456789"))+1)),"")</f>
        <v/>
      </c>
    </row>
    <row r="913" spans="28:28" x14ac:dyDescent="0.2">
      <c r="AB913" s="660" t="str">
        <f>IFERROR(VALUE(RIGHT(AA913,LEN(AA913)-MIN(FIND({0;1;2;3;4;5;6;7;8;9},AA913&amp;"0123456789"))+1)),"")</f>
        <v/>
      </c>
    </row>
    <row r="914" spans="28:28" x14ac:dyDescent="0.2">
      <c r="AB914" s="660" t="str">
        <f>IFERROR(VALUE(RIGHT(AA914,LEN(AA914)-MIN(FIND({0;1;2;3;4;5;6;7;8;9},AA914&amp;"0123456789"))+1)),"")</f>
        <v/>
      </c>
    </row>
    <row r="915" spans="28:28" x14ac:dyDescent="0.2">
      <c r="AB915" s="660" t="str">
        <f>IFERROR(VALUE(RIGHT(AA915,LEN(AA915)-MIN(FIND({0;1;2;3;4;5;6;7;8;9},AA915&amp;"0123456789"))+1)),"")</f>
        <v/>
      </c>
    </row>
    <row r="916" spans="28:28" x14ac:dyDescent="0.2">
      <c r="AB916" s="660" t="str">
        <f>IFERROR(VALUE(RIGHT(AA916,LEN(AA916)-MIN(FIND({0;1;2;3;4;5;6;7;8;9},AA916&amp;"0123456789"))+1)),"")</f>
        <v/>
      </c>
    </row>
    <row r="917" spans="28:28" x14ac:dyDescent="0.2">
      <c r="AB917" s="660" t="str">
        <f>IFERROR(VALUE(RIGHT(AA917,LEN(AA917)-MIN(FIND({0;1;2;3;4;5;6;7;8;9},AA917&amp;"0123456789"))+1)),"")</f>
        <v/>
      </c>
    </row>
    <row r="918" spans="28:28" x14ac:dyDescent="0.2">
      <c r="AB918" s="660" t="str">
        <f>IFERROR(VALUE(RIGHT(AA918,LEN(AA918)-MIN(FIND({0;1;2;3;4;5;6;7;8;9},AA918&amp;"0123456789"))+1)),"")</f>
        <v/>
      </c>
    </row>
    <row r="919" spans="28:28" x14ac:dyDescent="0.2">
      <c r="AB919" s="660" t="str">
        <f>IFERROR(VALUE(RIGHT(AA919,LEN(AA919)-MIN(FIND({0;1;2;3;4;5;6;7;8;9},AA919&amp;"0123456789"))+1)),"")</f>
        <v/>
      </c>
    </row>
    <row r="920" spans="28:28" x14ac:dyDescent="0.2">
      <c r="AB920" s="660" t="str">
        <f>IFERROR(VALUE(RIGHT(AA920,LEN(AA920)-MIN(FIND({0;1;2;3;4;5;6;7;8;9},AA920&amp;"0123456789"))+1)),"")</f>
        <v/>
      </c>
    </row>
    <row r="921" spans="28:28" x14ac:dyDescent="0.2">
      <c r="AB921" s="660" t="str">
        <f>IFERROR(VALUE(RIGHT(AA921,LEN(AA921)-MIN(FIND({0;1;2;3;4;5;6;7;8;9},AA921&amp;"0123456789"))+1)),"")</f>
        <v/>
      </c>
    </row>
    <row r="922" spans="28:28" x14ac:dyDescent="0.2">
      <c r="AB922" s="660" t="str">
        <f>IFERROR(VALUE(RIGHT(AA922,LEN(AA922)-MIN(FIND({0;1;2;3;4;5;6;7;8;9},AA922&amp;"0123456789"))+1)),"")</f>
        <v/>
      </c>
    </row>
    <row r="923" spans="28:28" x14ac:dyDescent="0.2">
      <c r="AB923" s="660" t="str">
        <f>IFERROR(VALUE(RIGHT(AA923,LEN(AA923)-MIN(FIND({0;1;2;3;4;5;6;7;8;9},AA923&amp;"0123456789"))+1)),"")</f>
        <v/>
      </c>
    </row>
    <row r="924" spans="28:28" x14ac:dyDescent="0.2">
      <c r="AB924" s="660" t="str">
        <f>IFERROR(VALUE(RIGHT(AA924,LEN(AA924)-MIN(FIND({0;1;2;3;4;5;6;7;8;9},AA924&amp;"0123456789"))+1)),"")</f>
        <v/>
      </c>
    </row>
    <row r="925" spans="28:28" x14ac:dyDescent="0.2">
      <c r="AB925" s="660" t="str">
        <f>IFERROR(VALUE(RIGHT(AA925,LEN(AA925)-MIN(FIND({0;1;2;3;4;5;6;7;8;9},AA925&amp;"0123456789"))+1)),"")</f>
        <v/>
      </c>
    </row>
    <row r="926" spans="28:28" x14ac:dyDescent="0.2">
      <c r="AB926" s="660" t="str">
        <f>IFERROR(VALUE(RIGHT(AA926,LEN(AA926)-MIN(FIND({0;1;2;3;4;5;6;7;8;9},AA926&amp;"0123456789"))+1)),"")</f>
        <v/>
      </c>
    </row>
    <row r="927" spans="28:28" x14ac:dyDescent="0.2">
      <c r="AB927" s="660" t="str">
        <f>IFERROR(VALUE(RIGHT(AA927,LEN(AA927)-MIN(FIND({0;1;2;3;4;5;6;7;8;9},AA927&amp;"0123456789"))+1)),"")</f>
        <v/>
      </c>
    </row>
    <row r="928" spans="28:28" x14ac:dyDescent="0.2">
      <c r="AB928" s="660" t="str">
        <f>IFERROR(VALUE(RIGHT(AA928,LEN(AA928)-MIN(FIND({0;1;2;3;4;5;6;7;8;9},AA928&amp;"0123456789"))+1)),"")</f>
        <v/>
      </c>
    </row>
    <row r="929" spans="28:28" x14ac:dyDescent="0.2">
      <c r="AB929" s="660" t="str">
        <f>IFERROR(VALUE(RIGHT(AA929,LEN(AA929)-MIN(FIND({0;1;2;3;4;5;6;7;8;9},AA929&amp;"0123456789"))+1)),"")</f>
        <v/>
      </c>
    </row>
    <row r="930" spans="28:28" x14ac:dyDescent="0.2">
      <c r="AB930" s="660" t="str">
        <f>IFERROR(VALUE(RIGHT(AA930,LEN(AA930)-MIN(FIND({0;1;2;3;4;5;6;7;8;9},AA930&amp;"0123456789"))+1)),"")</f>
        <v/>
      </c>
    </row>
    <row r="931" spans="28:28" x14ac:dyDescent="0.2">
      <c r="AB931" s="660" t="str">
        <f>IFERROR(VALUE(RIGHT(AA931,LEN(AA931)-MIN(FIND({0;1;2;3;4;5;6;7;8;9},AA931&amp;"0123456789"))+1)),"")</f>
        <v/>
      </c>
    </row>
    <row r="932" spans="28:28" x14ac:dyDescent="0.2">
      <c r="AB932" s="660" t="str">
        <f>IFERROR(VALUE(RIGHT(AA932,LEN(AA932)-MIN(FIND({0;1;2;3;4;5;6;7;8;9},AA932&amp;"0123456789"))+1)),"")</f>
        <v/>
      </c>
    </row>
    <row r="933" spans="28:28" x14ac:dyDescent="0.2">
      <c r="AB933" s="660" t="str">
        <f>IFERROR(VALUE(RIGHT(AA933,LEN(AA933)-MIN(FIND({0;1;2;3;4;5;6;7;8;9},AA933&amp;"0123456789"))+1)),"")</f>
        <v/>
      </c>
    </row>
    <row r="934" spans="28:28" x14ac:dyDescent="0.2">
      <c r="AB934" s="660" t="str">
        <f>IFERROR(VALUE(RIGHT(AA934,LEN(AA934)-MIN(FIND({0;1;2;3;4;5;6;7;8;9},AA934&amp;"0123456789"))+1)),"")</f>
        <v/>
      </c>
    </row>
    <row r="935" spans="28:28" x14ac:dyDescent="0.2">
      <c r="AB935" s="660" t="str">
        <f>IFERROR(VALUE(RIGHT(AA935,LEN(AA935)-MIN(FIND({0;1;2;3;4;5;6;7;8;9},AA935&amp;"0123456789"))+1)),"")</f>
        <v/>
      </c>
    </row>
    <row r="936" spans="28:28" x14ac:dyDescent="0.2">
      <c r="AB936" s="660" t="str">
        <f>IFERROR(VALUE(RIGHT(AA936,LEN(AA936)-MIN(FIND({0;1;2;3;4;5;6;7;8;9},AA936&amp;"0123456789"))+1)),"")</f>
        <v/>
      </c>
    </row>
    <row r="937" spans="28:28" x14ac:dyDescent="0.2">
      <c r="AB937" s="660" t="str">
        <f>IFERROR(VALUE(RIGHT(AA937,LEN(AA937)-MIN(FIND({0;1;2;3;4;5;6;7;8;9},AA937&amp;"0123456789"))+1)),"")</f>
        <v/>
      </c>
    </row>
    <row r="938" spans="28:28" x14ac:dyDescent="0.2">
      <c r="AB938" s="660" t="str">
        <f>IFERROR(VALUE(RIGHT(AA938,LEN(AA938)-MIN(FIND({0;1;2;3;4;5;6;7;8;9},AA938&amp;"0123456789"))+1)),"")</f>
        <v/>
      </c>
    </row>
    <row r="939" spans="28:28" x14ac:dyDescent="0.2">
      <c r="AB939" s="660" t="str">
        <f>IFERROR(VALUE(RIGHT(AA939,LEN(AA939)-MIN(FIND({0;1;2;3;4;5;6;7;8;9},AA939&amp;"0123456789"))+1)),"")</f>
        <v/>
      </c>
    </row>
    <row r="940" spans="28:28" x14ac:dyDescent="0.2">
      <c r="AB940" s="660" t="str">
        <f>IFERROR(VALUE(RIGHT(AA940,LEN(AA940)-MIN(FIND({0;1;2;3;4;5;6;7;8;9},AA940&amp;"0123456789"))+1)),"")</f>
        <v/>
      </c>
    </row>
    <row r="941" spans="28:28" x14ac:dyDescent="0.2">
      <c r="AB941" s="660" t="str">
        <f>IFERROR(VALUE(RIGHT(AA941,LEN(AA941)-MIN(FIND({0;1;2;3;4;5;6;7;8;9},AA941&amp;"0123456789"))+1)),"")</f>
        <v/>
      </c>
    </row>
    <row r="942" spans="28:28" x14ac:dyDescent="0.2">
      <c r="AB942" s="660" t="str">
        <f>IFERROR(VALUE(RIGHT(AA942,LEN(AA942)-MIN(FIND({0;1;2;3;4;5;6;7;8;9},AA942&amp;"0123456789"))+1)),"")</f>
        <v/>
      </c>
    </row>
    <row r="943" spans="28:28" x14ac:dyDescent="0.2">
      <c r="AB943" s="660" t="str">
        <f>IFERROR(VALUE(RIGHT(AA943,LEN(AA943)-MIN(FIND({0;1;2;3;4;5;6;7;8;9},AA943&amp;"0123456789"))+1)),"")</f>
        <v/>
      </c>
    </row>
    <row r="944" spans="28:28" x14ac:dyDescent="0.2">
      <c r="AB944" s="660" t="str">
        <f>IFERROR(VALUE(RIGHT(AA944,LEN(AA944)-MIN(FIND({0;1;2;3;4;5;6;7;8;9},AA944&amp;"0123456789"))+1)),"")</f>
        <v/>
      </c>
    </row>
    <row r="945" spans="28:28" x14ac:dyDescent="0.2">
      <c r="AB945" s="660" t="str">
        <f>IFERROR(VALUE(RIGHT(AA945,LEN(AA945)-MIN(FIND({0;1;2;3;4;5;6;7;8;9},AA945&amp;"0123456789"))+1)),"")</f>
        <v/>
      </c>
    </row>
    <row r="946" spans="28:28" x14ac:dyDescent="0.2">
      <c r="AB946" s="660" t="str">
        <f>IFERROR(VALUE(RIGHT(AA946,LEN(AA946)-MIN(FIND({0;1;2;3;4;5;6;7;8;9},AA946&amp;"0123456789"))+1)),"")</f>
        <v/>
      </c>
    </row>
    <row r="947" spans="28:28" x14ac:dyDescent="0.2">
      <c r="AB947" s="660" t="str">
        <f>IFERROR(VALUE(RIGHT(AA947,LEN(AA947)-MIN(FIND({0;1;2;3;4;5;6;7;8;9},AA947&amp;"0123456789"))+1)),"")</f>
        <v/>
      </c>
    </row>
    <row r="948" spans="28:28" x14ac:dyDescent="0.2">
      <c r="AB948" s="660" t="str">
        <f>IFERROR(VALUE(RIGHT(AA948,LEN(AA948)-MIN(FIND({0;1;2;3;4;5;6;7;8;9},AA948&amp;"0123456789"))+1)),"")</f>
        <v/>
      </c>
    </row>
    <row r="949" spans="28:28" x14ac:dyDescent="0.2">
      <c r="AB949" s="660" t="str">
        <f>IFERROR(VALUE(RIGHT(AA949,LEN(AA949)-MIN(FIND({0;1;2;3;4;5;6;7;8;9},AA949&amp;"0123456789"))+1)),"")</f>
        <v/>
      </c>
    </row>
    <row r="950" spans="28:28" x14ac:dyDescent="0.2">
      <c r="AB950" s="660" t="str">
        <f>IFERROR(VALUE(RIGHT(AA950,LEN(AA950)-MIN(FIND({0;1;2;3;4;5;6;7;8;9},AA950&amp;"0123456789"))+1)),"")</f>
        <v/>
      </c>
    </row>
    <row r="951" spans="28:28" x14ac:dyDescent="0.2">
      <c r="AB951" s="660" t="str">
        <f>IFERROR(VALUE(RIGHT(AA951,LEN(AA951)-MIN(FIND({0;1;2;3;4;5;6;7;8;9},AA951&amp;"0123456789"))+1)),"")</f>
        <v/>
      </c>
    </row>
    <row r="952" spans="28:28" x14ac:dyDescent="0.2">
      <c r="AB952" s="660" t="str">
        <f>IFERROR(VALUE(RIGHT(AA952,LEN(AA952)-MIN(FIND({0;1;2;3;4;5;6;7;8;9},AA952&amp;"0123456789"))+1)),"")</f>
        <v/>
      </c>
    </row>
    <row r="953" spans="28:28" x14ac:dyDescent="0.2">
      <c r="AB953" s="660" t="str">
        <f>IFERROR(VALUE(RIGHT(AA953,LEN(AA953)-MIN(FIND({0;1;2;3;4;5;6;7;8;9},AA953&amp;"0123456789"))+1)),"")</f>
        <v/>
      </c>
    </row>
    <row r="954" spans="28:28" x14ac:dyDescent="0.2">
      <c r="AB954" s="660" t="str">
        <f>IFERROR(VALUE(RIGHT(AA954,LEN(AA954)-MIN(FIND({0;1;2;3;4;5;6;7;8;9},AA954&amp;"0123456789"))+1)),"")</f>
        <v/>
      </c>
    </row>
    <row r="955" spans="28:28" x14ac:dyDescent="0.2">
      <c r="AB955" s="660" t="str">
        <f>IFERROR(VALUE(RIGHT(AA955,LEN(AA955)-MIN(FIND({0;1;2;3;4;5;6;7;8;9},AA955&amp;"0123456789"))+1)),"")</f>
        <v/>
      </c>
    </row>
    <row r="956" spans="28:28" x14ac:dyDescent="0.2">
      <c r="AB956" s="660" t="str">
        <f>IFERROR(VALUE(RIGHT(AA956,LEN(AA956)-MIN(FIND({0;1;2;3;4;5;6;7;8;9},AA956&amp;"0123456789"))+1)),"")</f>
        <v/>
      </c>
    </row>
    <row r="957" spans="28:28" x14ac:dyDescent="0.2">
      <c r="AB957" s="660" t="str">
        <f>IFERROR(VALUE(RIGHT(AA957,LEN(AA957)-MIN(FIND({0;1;2;3;4;5;6;7;8;9},AA957&amp;"0123456789"))+1)),"")</f>
        <v/>
      </c>
    </row>
    <row r="958" spans="28:28" x14ac:dyDescent="0.2">
      <c r="AB958" s="660" t="str">
        <f>IFERROR(VALUE(RIGHT(AA958,LEN(AA958)-MIN(FIND({0;1;2;3;4;5;6;7;8;9},AA958&amp;"0123456789"))+1)),"")</f>
        <v/>
      </c>
    </row>
    <row r="959" spans="28:28" x14ac:dyDescent="0.2">
      <c r="AB959" s="660" t="str">
        <f>IFERROR(VALUE(RIGHT(AA959,LEN(AA959)-MIN(FIND({0;1;2;3;4;5;6;7;8;9},AA959&amp;"0123456789"))+1)),"")</f>
        <v/>
      </c>
    </row>
    <row r="960" spans="28:28" x14ac:dyDescent="0.2">
      <c r="AB960" s="660" t="str">
        <f>IFERROR(VALUE(RIGHT(AA960,LEN(AA960)-MIN(FIND({0;1;2;3;4;5;6;7;8;9},AA960&amp;"0123456789"))+1)),"")</f>
        <v/>
      </c>
    </row>
    <row r="961" spans="28:28" x14ac:dyDescent="0.2">
      <c r="AB961" s="660" t="str">
        <f>IFERROR(VALUE(RIGHT(AA961,LEN(AA961)-MIN(FIND({0;1;2;3;4;5;6;7;8;9},AA961&amp;"0123456789"))+1)),"")</f>
        <v/>
      </c>
    </row>
    <row r="962" spans="28:28" x14ac:dyDescent="0.2">
      <c r="AB962" s="660" t="str">
        <f>IFERROR(VALUE(RIGHT(AA962,LEN(AA962)-MIN(FIND({0;1;2;3;4;5;6;7;8;9},AA962&amp;"0123456789"))+1)),"")</f>
        <v/>
      </c>
    </row>
    <row r="963" spans="28:28" x14ac:dyDescent="0.2">
      <c r="AB963" s="660" t="str">
        <f>IFERROR(VALUE(RIGHT(AA963,LEN(AA963)-MIN(FIND({0;1;2;3;4;5;6;7;8;9},AA963&amp;"0123456789"))+1)),"")</f>
        <v/>
      </c>
    </row>
    <row r="964" spans="28:28" x14ac:dyDescent="0.2">
      <c r="AB964" s="660" t="str">
        <f>IFERROR(VALUE(RIGHT(AA964,LEN(AA964)-MIN(FIND({0;1;2;3;4;5;6;7;8;9},AA964&amp;"0123456789"))+1)),"")</f>
        <v/>
      </c>
    </row>
    <row r="965" spans="28:28" x14ac:dyDescent="0.2">
      <c r="AB965" s="660" t="str">
        <f>IFERROR(VALUE(RIGHT(AA965,LEN(AA965)-MIN(FIND({0;1;2;3;4;5;6;7;8;9},AA965&amp;"0123456789"))+1)),"")</f>
        <v/>
      </c>
    </row>
    <row r="966" spans="28:28" x14ac:dyDescent="0.2">
      <c r="AB966" s="660" t="str">
        <f>IFERROR(VALUE(RIGHT(AA966,LEN(AA966)-MIN(FIND({0;1;2;3;4;5;6;7;8;9},AA966&amp;"0123456789"))+1)),"")</f>
        <v/>
      </c>
    </row>
    <row r="967" spans="28:28" x14ac:dyDescent="0.2">
      <c r="AB967" s="660" t="str">
        <f>IFERROR(VALUE(RIGHT(AA967,LEN(AA967)-MIN(FIND({0;1;2;3;4;5;6;7;8;9},AA967&amp;"0123456789"))+1)),"")</f>
        <v/>
      </c>
    </row>
    <row r="968" spans="28:28" x14ac:dyDescent="0.2">
      <c r="AB968" s="660" t="str">
        <f>IFERROR(VALUE(RIGHT(AA968,LEN(AA968)-MIN(FIND({0;1;2;3;4;5;6;7;8;9},AA968&amp;"0123456789"))+1)),"")</f>
        <v/>
      </c>
    </row>
    <row r="969" spans="28:28" x14ac:dyDescent="0.2">
      <c r="AB969" s="660" t="str">
        <f>IFERROR(VALUE(RIGHT(AA969,LEN(AA969)-MIN(FIND({0;1;2;3;4;5;6;7;8;9},AA969&amp;"0123456789"))+1)),"")</f>
        <v/>
      </c>
    </row>
    <row r="970" spans="28:28" x14ac:dyDescent="0.2">
      <c r="AB970" s="660" t="str">
        <f>IFERROR(VALUE(RIGHT(AA970,LEN(AA970)-MIN(FIND({0;1;2;3;4;5;6;7;8;9},AA970&amp;"0123456789"))+1)),"")</f>
        <v/>
      </c>
    </row>
    <row r="971" spans="28:28" x14ac:dyDescent="0.2">
      <c r="AB971" s="660" t="str">
        <f>IFERROR(VALUE(RIGHT(AA971,LEN(AA971)-MIN(FIND({0;1;2;3;4;5;6;7;8;9},AA971&amp;"0123456789"))+1)),"")</f>
        <v/>
      </c>
    </row>
    <row r="972" spans="28:28" x14ac:dyDescent="0.2">
      <c r="AB972" s="660" t="str">
        <f>IFERROR(VALUE(RIGHT(AA972,LEN(AA972)-MIN(FIND({0;1;2;3;4;5;6;7;8;9},AA972&amp;"0123456789"))+1)),"")</f>
        <v/>
      </c>
    </row>
    <row r="973" spans="28:28" x14ac:dyDescent="0.2">
      <c r="AB973" s="660" t="str">
        <f>IFERROR(VALUE(RIGHT(AA973,LEN(AA973)-MIN(FIND({0;1;2;3;4;5;6;7;8;9},AA973&amp;"0123456789"))+1)),"")</f>
        <v/>
      </c>
    </row>
    <row r="974" spans="28:28" x14ac:dyDescent="0.2">
      <c r="AB974" s="660" t="str">
        <f>IFERROR(VALUE(RIGHT(AA974,LEN(AA974)-MIN(FIND({0;1;2;3;4;5;6;7;8;9},AA974&amp;"0123456789"))+1)),"")</f>
        <v/>
      </c>
    </row>
    <row r="975" spans="28:28" x14ac:dyDescent="0.2">
      <c r="AB975" s="660" t="str">
        <f>IFERROR(VALUE(RIGHT(AA975,LEN(AA975)-MIN(FIND({0;1;2;3;4;5;6;7;8;9},AA975&amp;"0123456789"))+1)),"")</f>
        <v/>
      </c>
    </row>
    <row r="976" spans="28:28" x14ac:dyDescent="0.2">
      <c r="AB976" s="660" t="str">
        <f>IFERROR(VALUE(RIGHT(AA976,LEN(AA976)-MIN(FIND({0;1;2;3;4;5;6;7;8;9},AA976&amp;"0123456789"))+1)),"")</f>
        <v/>
      </c>
    </row>
    <row r="977" spans="28:28" x14ac:dyDescent="0.2">
      <c r="AB977" s="660" t="str">
        <f>IFERROR(VALUE(RIGHT(AA977,LEN(AA977)-MIN(FIND({0;1;2;3;4;5;6;7;8;9},AA977&amp;"0123456789"))+1)),"")</f>
        <v/>
      </c>
    </row>
    <row r="978" spans="28:28" x14ac:dyDescent="0.2">
      <c r="AB978" s="660" t="str">
        <f>IFERROR(VALUE(RIGHT(AA978,LEN(AA978)-MIN(FIND({0;1;2;3;4;5;6;7;8;9},AA978&amp;"0123456789"))+1)),"")</f>
        <v/>
      </c>
    </row>
    <row r="979" spans="28:28" x14ac:dyDescent="0.2">
      <c r="AB979" s="660" t="str">
        <f>IFERROR(VALUE(RIGHT(AA979,LEN(AA979)-MIN(FIND({0;1;2;3;4;5;6;7;8;9},AA979&amp;"0123456789"))+1)),"")</f>
        <v/>
      </c>
    </row>
    <row r="980" spans="28:28" x14ac:dyDescent="0.2">
      <c r="AB980" s="660" t="str">
        <f>IFERROR(VALUE(RIGHT(AA980,LEN(AA980)-MIN(FIND({0;1;2;3;4;5;6;7;8;9},AA980&amp;"0123456789"))+1)),"")</f>
        <v/>
      </c>
    </row>
    <row r="981" spans="28:28" x14ac:dyDescent="0.2">
      <c r="AB981" s="660" t="str">
        <f>IFERROR(VALUE(RIGHT(AA981,LEN(AA981)-MIN(FIND({0;1;2;3;4;5;6;7;8;9},AA981&amp;"0123456789"))+1)),"")</f>
        <v/>
      </c>
    </row>
    <row r="982" spans="28:28" x14ac:dyDescent="0.2">
      <c r="AB982" s="660" t="str">
        <f>IFERROR(VALUE(RIGHT(AA982,LEN(AA982)-MIN(FIND({0;1;2;3;4;5;6;7;8;9},AA982&amp;"0123456789"))+1)),"")</f>
        <v/>
      </c>
    </row>
    <row r="983" spans="28:28" x14ac:dyDescent="0.2">
      <c r="AB983" s="660" t="str">
        <f>IFERROR(VALUE(RIGHT(AA983,LEN(AA983)-MIN(FIND({0;1;2;3;4;5;6;7;8;9},AA983&amp;"0123456789"))+1)),"")</f>
        <v/>
      </c>
    </row>
    <row r="984" spans="28:28" x14ac:dyDescent="0.2">
      <c r="AB984" s="660" t="str">
        <f>IFERROR(VALUE(RIGHT(AA984,LEN(AA984)-MIN(FIND({0;1;2;3;4;5;6;7;8;9},AA984&amp;"0123456789"))+1)),"")</f>
        <v/>
      </c>
    </row>
    <row r="985" spans="28:28" x14ac:dyDescent="0.2">
      <c r="AB985" s="660" t="str">
        <f>IFERROR(VALUE(RIGHT(AA985,LEN(AA985)-MIN(FIND({0;1;2;3;4;5;6;7;8;9},AA985&amp;"0123456789"))+1)),"")</f>
        <v/>
      </c>
    </row>
    <row r="986" spans="28:28" x14ac:dyDescent="0.2">
      <c r="AB986" s="660" t="str">
        <f>IFERROR(VALUE(RIGHT(AA986,LEN(AA986)-MIN(FIND({0;1;2;3;4;5;6;7;8;9},AA986&amp;"0123456789"))+1)),"")</f>
        <v/>
      </c>
    </row>
    <row r="987" spans="28:28" x14ac:dyDescent="0.2">
      <c r="AB987" s="660" t="str">
        <f>IFERROR(VALUE(RIGHT(AA987,LEN(AA987)-MIN(FIND({0;1;2;3;4;5;6;7;8;9},AA987&amp;"0123456789"))+1)),"")</f>
        <v/>
      </c>
    </row>
    <row r="988" spans="28:28" x14ac:dyDescent="0.2">
      <c r="AB988" s="660" t="str">
        <f>IFERROR(VALUE(RIGHT(AA988,LEN(AA988)-MIN(FIND({0;1;2;3;4;5;6;7;8;9},AA988&amp;"0123456789"))+1)),"")</f>
        <v/>
      </c>
    </row>
    <row r="989" spans="28:28" x14ac:dyDescent="0.2">
      <c r="AB989" s="660" t="str">
        <f>IFERROR(VALUE(RIGHT(AA989,LEN(AA989)-MIN(FIND({0;1;2;3;4;5;6;7;8;9},AA989&amp;"0123456789"))+1)),"")</f>
        <v/>
      </c>
    </row>
    <row r="990" spans="28:28" x14ac:dyDescent="0.2">
      <c r="AB990" s="660" t="str">
        <f>IFERROR(VALUE(RIGHT(AA990,LEN(AA990)-MIN(FIND({0;1;2;3;4;5;6;7;8;9},AA990&amp;"0123456789"))+1)),"")</f>
        <v/>
      </c>
    </row>
    <row r="991" spans="28:28" x14ac:dyDescent="0.2">
      <c r="AB991" s="660" t="str">
        <f>IFERROR(VALUE(RIGHT(AA991,LEN(AA991)-MIN(FIND({0;1;2;3;4;5;6;7;8;9},AA991&amp;"0123456789"))+1)),"")</f>
        <v/>
      </c>
    </row>
    <row r="992" spans="28:28" x14ac:dyDescent="0.2">
      <c r="AB992" s="660" t="str">
        <f>IFERROR(VALUE(RIGHT(AA992,LEN(AA992)-MIN(FIND({0;1;2;3;4;5;6;7;8;9},AA992&amp;"0123456789"))+1)),"")</f>
        <v/>
      </c>
    </row>
    <row r="993" spans="28:28" x14ac:dyDescent="0.2">
      <c r="AB993" s="660" t="str">
        <f>IFERROR(VALUE(RIGHT(AA993,LEN(AA993)-MIN(FIND({0;1;2;3;4;5;6;7;8;9},AA993&amp;"0123456789"))+1)),"")</f>
        <v/>
      </c>
    </row>
    <row r="994" spans="28:28" x14ac:dyDescent="0.2">
      <c r="AB994" s="660" t="str">
        <f>IFERROR(VALUE(RIGHT(AA994,LEN(AA994)-MIN(FIND({0;1;2;3;4;5;6;7;8;9},AA994&amp;"0123456789"))+1)),"")</f>
        <v/>
      </c>
    </row>
    <row r="995" spans="28:28" x14ac:dyDescent="0.2">
      <c r="AB995" s="660" t="str">
        <f>IFERROR(VALUE(RIGHT(AA995,LEN(AA995)-MIN(FIND({0;1;2;3;4;5;6;7;8;9},AA995&amp;"0123456789"))+1)),"")</f>
        <v/>
      </c>
    </row>
    <row r="996" spans="28:28" x14ac:dyDescent="0.2">
      <c r="AB996" s="660" t="str">
        <f>IFERROR(VALUE(RIGHT(AA996,LEN(AA996)-MIN(FIND({0;1;2;3;4;5;6;7;8;9},AA996&amp;"0123456789"))+1)),"")</f>
        <v/>
      </c>
    </row>
    <row r="997" spans="28:28" x14ac:dyDescent="0.2">
      <c r="AB997" s="660" t="str">
        <f>IFERROR(VALUE(RIGHT(AA997,LEN(AA997)-MIN(FIND({0;1;2;3;4;5;6;7;8;9},AA997&amp;"0123456789"))+1)),"")</f>
        <v/>
      </c>
    </row>
    <row r="998" spans="28:28" x14ac:dyDescent="0.2">
      <c r="AB998" s="660" t="str">
        <f>IFERROR(VALUE(RIGHT(AA998,LEN(AA998)-MIN(FIND({0;1;2;3;4;5;6;7;8;9},AA998&amp;"0123456789"))+1)),"")</f>
        <v/>
      </c>
    </row>
    <row r="999" spans="28:28" x14ac:dyDescent="0.2">
      <c r="AB999" s="660" t="str">
        <f>IFERROR(VALUE(RIGHT(AA999,LEN(AA999)-MIN(FIND({0;1;2;3;4;5;6;7;8;9},AA999&amp;"0123456789"))+1)),"")</f>
        <v/>
      </c>
    </row>
    <row r="1000" spans="28:28" x14ac:dyDescent="0.2">
      <c r="AB1000" s="660" t="str">
        <f>IFERROR(VALUE(RIGHT(AA1000,LEN(AA1000)-MIN(FIND({0;1;2;3;4;5;6;7;8;9},AA1000&amp;"0123456789"))+1)),"")</f>
        <v/>
      </c>
    </row>
    <row r="1001" spans="28:28" x14ac:dyDescent="0.2">
      <c r="AB1001" s="660" t="str">
        <f>IFERROR(VALUE(RIGHT(AA1001,LEN(AA1001)-MIN(FIND({0;1;2;3;4;5;6;7;8;9},AA1001&amp;"0123456789"))+1)),"")</f>
        <v/>
      </c>
    </row>
    <row r="1002" spans="28:28" x14ac:dyDescent="0.2">
      <c r="AB1002" s="660" t="str">
        <f>IFERROR(VALUE(RIGHT(AA1002,LEN(AA1002)-MIN(FIND({0;1;2;3;4;5;6;7;8;9},AA1002&amp;"0123456789"))+1)),"")</f>
        <v/>
      </c>
    </row>
    <row r="1003" spans="28:28" x14ac:dyDescent="0.2">
      <c r="AB1003" s="660" t="str">
        <f>IFERROR(VALUE(RIGHT(AA1003,LEN(AA1003)-MIN(FIND({0;1;2;3;4;5;6;7;8;9},AA1003&amp;"0123456789"))+1)),"")</f>
        <v/>
      </c>
    </row>
    <row r="1004" spans="28:28" x14ac:dyDescent="0.2">
      <c r="AB1004" s="660" t="str">
        <f>IFERROR(VALUE(RIGHT(AA1004,LEN(AA1004)-MIN(FIND({0;1;2;3;4;5;6;7;8;9},AA1004&amp;"0123456789"))+1)),"")</f>
        <v/>
      </c>
    </row>
    <row r="1005" spans="28:28" x14ac:dyDescent="0.2">
      <c r="AB1005" s="660" t="str">
        <f>IFERROR(VALUE(RIGHT(AA1005,LEN(AA1005)-MIN(FIND({0;1;2;3;4;5;6;7;8;9},AA1005&amp;"0123456789"))+1)),"")</f>
        <v/>
      </c>
    </row>
    <row r="1006" spans="28:28" x14ac:dyDescent="0.2">
      <c r="AB1006" s="660" t="str">
        <f>IFERROR(VALUE(RIGHT(AA1006,LEN(AA1006)-MIN(FIND({0;1;2;3;4;5;6;7;8;9},AA1006&amp;"0123456789"))+1)),"")</f>
        <v/>
      </c>
    </row>
    <row r="1007" spans="28:28" x14ac:dyDescent="0.2">
      <c r="AB1007" s="660" t="str">
        <f>IFERROR(VALUE(RIGHT(AA1007,LEN(AA1007)-MIN(FIND({0;1;2;3;4;5;6;7;8;9},AA1007&amp;"0123456789"))+1)),"")</f>
        <v/>
      </c>
    </row>
    <row r="1008" spans="28:28" x14ac:dyDescent="0.2">
      <c r="AB1008" s="660" t="str">
        <f>IFERROR(VALUE(RIGHT(AA1008,LEN(AA1008)-MIN(FIND({0;1;2;3;4;5;6;7;8;9},AA1008&amp;"0123456789"))+1)),"")</f>
        <v/>
      </c>
    </row>
    <row r="1009" spans="28:28" x14ac:dyDescent="0.2">
      <c r="AB1009" s="660" t="str">
        <f>IFERROR(VALUE(RIGHT(AA1009,LEN(AA1009)-MIN(FIND({0;1;2;3;4;5;6;7;8;9},AA1009&amp;"0123456789"))+1)),"")</f>
        <v/>
      </c>
    </row>
    <row r="1010" spans="28:28" x14ac:dyDescent="0.2">
      <c r="AB1010" s="660" t="str">
        <f>IFERROR(VALUE(RIGHT(AA1010,LEN(AA1010)-MIN(FIND({0;1;2;3;4;5;6;7;8;9},AA1010&amp;"0123456789"))+1)),"")</f>
        <v/>
      </c>
    </row>
    <row r="1011" spans="28:28" x14ac:dyDescent="0.2">
      <c r="AB1011" s="660" t="str">
        <f>IFERROR(VALUE(RIGHT(AA1011,LEN(AA1011)-MIN(FIND({0;1;2;3;4;5;6;7;8;9},AA1011&amp;"0123456789"))+1)),"")</f>
        <v/>
      </c>
    </row>
    <row r="1012" spans="28:28" x14ac:dyDescent="0.2">
      <c r="AB1012" s="660" t="str">
        <f>IFERROR(VALUE(RIGHT(AA1012,LEN(AA1012)-MIN(FIND({0;1;2;3;4;5;6;7;8;9},AA1012&amp;"0123456789"))+1)),"")</f>
        <v/>
      </c>
    </row>
    <row r="1013" spans="28:28" x14ac:dyDescent="0.2">
      <c r="AB1013" s="660" t="str">
        <f>IFERROR(VALUE(RIGHT(AA1013,LEN(AA1013)-MIN(FIND({0;1;2;3;4;5;6;7;8;9},AA1013&amp;"0123456789"))+1)),"")</f>
        <v/>
      </c>
    </row>
    <row r="1014" spans="28:28" x14ac:dyDescent="0.2">
      <c r="AB1014" s="660" t="str">
        <f>IFERROR(VALUE(RIGHT(AA1014,LEN(AA1014)-MIN(FIND({0;1;2;3;4;5;6;7;8;9},AA1014&amp;"0123456789"))+1)),"")</f>
        <v/>
      </c>
    </row>
    <row r="1015" spans="28:28" x14ac:dyDescent="0.2">
      <c r="AB1015" s="660" t="str">
        <f>IFERROR(VALUE(RIGHT(AA1015,LEN(AA1015)-MIN(FIND({0;1;2;3;4;5;6;7;8;9},AA1015&amp;"0123456789"))+1)),"")</f>
        <v/>
      </c>
    </row>
    <row r="1016" spans="28:28" x14ac:dyDescent="0.2">
      <c r="AB1016" s="660" t="str">
        <f>IFERROR(VALUE(RIGHT(AA1016,LEN(AA1016)-MIN(FIND({0;1;2;3;4;5;6;7;8;9},AA1016&amp;"0123456789"))+1)),"")</f>
        <v/>
      </c>
    </row>
    <row r="1017" spans="28:28" x14ac:dyDescent="0.2">
      <c r="AB1017" s="660" t="str">
        <f>IFERROR(VALUE(RIGHT(AA1017,LEN(AA1017)-MIN(FIND({0;1;2;3;4;5;6;7;8;9},AA1017&amp;"0123456789"))+1)),"")</f>
        <v/>
      </c>
    </row>
    <row r="1018" spans="28:28" x14ac:dyDescent="0.2">
      <c r="AB1018" s="660" t="str">
        <f>IFERROR(VALUE(RIGHT(AA1018,LEN(AA1018)-MIN(FIND({0;1;2;3;4;5;6;7;8;9},AA1018&amp;"0123456789"))+1)),"")</f>
        <v/>
      </c>
    </row>
    <row r="1019" spans="28:28" x14ac:dyDescent="0.2">
      <c r="AB1019" s="660" t="str">
        <f>IFERROR(VALUE(RIGHT(AA1019,LEN(AA1019)-MIN(FIND({0;1;2;3;4;5;6;7;8;9},AA1019&amp;"0123456789"))+1)),"")</f>
        <v/>
      </c>
    </row>
    <row r="1020" spans="28:28" x14ac:dyDescent="0.2">
      <c r="AB1020" s="660" t="str">
        <f>IFERROR(VALUE(RIGHT(AA1020,LEN(AA1020)-MIN(FIND({0;1;2;3;4;5;6;7;8;9},AA1020&amp;"0123456789"))+1)),"")</f>
        <v/>
      </c>
    </row>
    <row r="1021" spans="28:28" x14ac:dyDescent="0.2">
      <c r="AB1021" s="660" t="str">
        <f>IFERROR(VALUE(RIGHT(AA1021,LEN(AA1021)-MIN(FIND({0;1;2;3;4;5;6;7;8;9},AA1021&amp;"0123456789"))+1)),"")</f>
        <v/>
      </c>
    </row>
    <row r="1022" spans="28:28" x14ac:dyDescent="0.2">
      <c r="AB1022" s="660" t="str">
        <f>IFERROR(VALUE(RIGHT(AA1022,LEN(AA1022)-MIN(FIND({0;1;2;3;4;5;6;7;8;9},AA1022&amp;"0123456789"))+1)),"")</f>
        <v/>
      </c>
    </row>
    <row r="1023" spans="28:28" x14ac:dyDescent="0.2">
      <c r="AB1023" s="660" t="str">
        <f>IFERROR(VALUE(RIGHT(AA1023,LEN(AA1023)-MIN(FIND({0;1;2;3;4;5;6;7;8;9},AA1023&amp;"0123456789"))+1)),"")</f>
        <v/>
      </c>
    </row>
    <row r="1024" spans="28:28" x14ac:dyDescent="0.2">
      <c r="AB1024" s="660" t="str">
        <f>IFERROR(VALUE(RIGHT(AA1024,LEN(AA1024)-MIN(FIND({0;1;2;3;4;5;6;7;8;9},AA1024&amp;"0123456789"))+1)),"")</f>
        <v/>
      </c>
    </row>
    <row r="1025" spans="28:28" x14ac:dyDescent="0.2">
      <c r="AB1025" s="660" t="str">
        <f>IFERROR(VALUE(RIGHT(AA1025,LEN(AA1025)-MIN(FIND({0;1;2;3;4;5;6;7;8;9},AA1025&amp;"0123456789"))+1)),"")</f>
        <v/>
      </c>
    </row>
    <row r="1026" spans="28:28" x14ac:dyDescent="0.2">
      <c r="AB1026" s="660" t="str">
        <f>IFERROR(VALUE(RIGHT(AA1026,LEN(AA1026)-MIN(FIND({0;1;2;3;4;5;6;7;8;9},AA1026&amp;"0123456789"))+1)),"")</f>
        <v/>
      </c>
    </row>
    <row r="1027" spans="28:28" x14ac:dyDescent="0.2">
      <c r="AB1027" s="660" t="str">
        <f>IFERROR(VALUE(RIGHT(AA1027,LEN(AA1027)-MIN(FIND({0;1;2;3;4;5;6;7;8;9},AA1027&amp;"0123456789"))+1)),"")</f>
        <v/>
      </c>
    </row>
    <row r="1028" spans="28:28" x14ac:dyDescent="0.2">
      <c r="AB1028" s="660" t="str">
        <f>IFERROR(VALUE(RIGHT(AA1028,LEN(AA1028)-MIN(FIND({0;1;2;3;4;5;6;7;8;9},AA1028&amp;"0123456789"))+1)),"")</f>
        <v/>
      </c>
    </row>
    <row r="1029" spans="28:28" x14ac:dyDescent="0.2">
      <c r="AB1029" s="660" t="str">
        <f>IFERROR(VALUE(RIGHT(AA1029,LEN(AA1029)-MIN(FIND({0;1;2;3;4;5;6;7;8;9},AA1029&amp;"0123456789"))+1)),"")</f>
        <v/>
      </c>
    </row>
    <row r="1030" spans="28:28" x14ac:dyDescent="0.2">
      <c r="AB1030" s="660" t="str">
        <f>IFERROR(VALUE(RIGHT(AA1030,LEN(AA1030)-MIN(FIND({0;1;2;3;4;5;6;7;8;9},AA1030&amp;"0123456789"))+1)),"")</f>
        <v/>
      </c>
    </row>
    <row r="1031" spans="28:28" x14ac:dyDescent="0.2">
      <c r="AB1031" s="660" t="str">
        <f>IFERROR(VALUE(RIGHT(AA1031,LEN(AA1031)-MIN(FIND({0;1;2;3;4;5;6;7;8;9},AA1031&amp;"0123456789"))+1)),"")</f>
        <v/>
      </c>
    </row>
    <row r="1032" spans="28:28" x14ac:dyDescent="0.2">
      <c r="AB1032" s="660" t="str">
        <f>IFERROR(VALUE(RIGHT(AA1032,LEN(AA1032)-MIN(FIND({0;1;2;3;4;5;6;7;8;9},AA1032&amp;"0123456789"))+1)),"")</f>
        <v/>
      </c>
    </row>
    <row r="1033" spans="28:28" x14ac:dyDescent="0.2">
      <c r="AB1033" s="660" t="str">
        <f>IFERROR(VALUE(RIGHT(AA1033,LEN(AA1033)-MIN(FIND({0;1;2;3;4;5;6;7;8;9},AA1033&amp;"0123456789"))+1)),"")</f>
        <v/>
      </c>
    </row>
    <row r="1034" spans="28:28" x14ac:dyDescent="0.2">
      <c r="AB1034" s="660" t="str">
        <f>IFERROR(VALUE(RIGHT(AA1034,LEN(AA1034)-MIN(FIND({0;1;2;3;4;5;6;7;8;9},AA1034&amp;"0123456789"))+1)),"")</f>
        <v/>
      </c>
    </row>
    <row r="1035" spans="28:28" x14ac:dyDescent="0.2">
      <c r="AB1035" s="660" t="str">
        <f>IFERROR(VALUE(RIGHT(AA1035,LEN(AA1035)-MIN(FIND({0;1;2;3;4;5;6;7;8;9},AA1035&amp;"0123456789"))+1)),"")</f>
        <v/>
      </c>
    </row>
    <row r="1036" spans="28:28" x14ac:dyDescent="0.2">
      <c r="AB1036" s="660" t="str">
        <f>IFERROR(VALUE(RIGHT(AA1036,LEN(AA1036)-MIN(FIND({0;1;2;3;4;5;6;7;8;9},AA1036&amp;"0123456789"))+1)),"")</f>
        <v/>
      </c>
    </row>
    <row r="1037" spans="28:28" x14ac:dyDescent="0.2">
      <c r="AB1037" s="660" t="str">
        <f>IFERROR(VALUE(RIGHT(AA1037,LEN(AA1037)-MIN(FIND({0;1;2;3;4;5;6;7;8;9},AA1037&amp;"0123456789"))+1)),"")</f>
        <v/>
      </c>
    </row>
    <row r="1038" spans="28:28" x14ac:dyDescent="0.2">
      <c r="AB1038" s="660" t="str">
        <f>IFERROR(VALUE(RIGHT(AA1038,LEN(AA1038)-MIN(FIND({0;1;2;3;4;5;6;7;8;9},AA1038&amp;"0123456789"))+1)),"")</f>
        <v/>
      </c>
    </row>
    <row r="1039" spans="28:28" x14ac:dyDescent="0.2">
      <c r="AB1039" s="660" t="str">
        <f>IFERROR(VALUE(RIGHT(AA1039,LEN(AA1039)-MIN(FIND({0;1;2;3;4;5;6;7;8;9},AA1039&amp;"0123456789"))+1)),"")</f>
        <v/>
      </c>
    </row>
    <row r="1040" spans="28:28" x14ac:dyDescent="0.2">
      <c r="AB1040" s="660" t="str">
        <f>IFERROR(VALUE(RIGHT(AA1040,LEN(AA1040)-MIN(FIND({0;1;2;3;4;5;6;7;8;9},AA1040&amp;"0123456789"))+1)),"")</f>
        <v/>
      </c>
    </row>
    <row r="1041" spans="28:28" x14ac:dyDescent="0.2">
      <c r="AB1041" s="660" t="str">
        <f>IFERROR(VALUE(RIGHT(AA1041,LEN(AA1041)-MIN(FIND({0;1;2;3;4;5;6;7;8;9},AA1041&amp;"0123456789"))+1)),"")</f>
        <v/>
      </c>
    </row>
    <row r="1042" spans="28:28" x14ac:dyDescent="0.2">
      <c r="AB1042" s="660" t="str">
        <f>IFERROR(VALUE(RIGHT(AA1042,LEN(AA1042)-MIN(FIND({0;1;2;3;4;5;6;7;8;9},AA1042&amp;"0123456789"))+1)),"")</f>
        <v/>
      </c>
    </row>
    <row r="1043" spans="28:28" x14ac:dyDescent="0.2">
      <c r="AB1043" s="660" t="str">
        <f>IFERROR(VALUE(RIGHT(AA1043,LEN(AA1043)-MIN(FIND({0;1;2;3;4;5;6;7;8;9},AA1043&amp;"0123456789"))+1)),"")</f>
        <v/>
      </c>
    </row>
    <row r="1044" spans="28:28" x14ac:dyDescent="0.2">
      <c r="AB1044" s="660" t="str">
        <f>IFERROR(VALUE(RIGHT(AA1044,LEN(AA1044)-MIN(FIND({0;1;2;3;4;5;6;7;8;9},AA1044&amp;"0123456789"))+1)),"")</f>
        <v/>
      </c>
    </row>
    <row r="1045" spans="28:28" x14ac:dyDescent="0.2">
      <c r="AB1045" s="660" t="str">
        <f>IFERROR(VALUE(RIGHT(AA1045,LEN(AA1045)-MIN(FIND({0;1;2;3;4;5;6;7;8;9},AA1045&amp;"0123456789"))+1)),"")</f>
        <v/>
      </c>
    </row>
    <row r="1046" spans="28:28" x14ac:dyDescent="0.2">
      <c r="AB1046" s="660" t="str">
        <f>IFERROR(VALUE(RIGHT(AA1046,LEN(AA1046)-MIN(FIND({0;1;2;3;4;5;6;7;8;9},AA1046&amp;"0123456789"))+1)),"")</f>
        <v/>
      </c>
    </row>
    <row r="1047" spans="28:28" x14ac:dyDescent="0.2">
      <c r="AB1047" s="660" t="str">
        <f>IFERROR(VALUE(RIGHT(AA1047,LEN(AA1047)-MIN(FIND({0;1;2;3;4;5;6;7;8;9},AA1047&amp;"0123456789"))+1)),"")</f>
        <v/>
      </c>
    </row>
    <row r="1048" spans="28:28" x14ac:dyDescent="0.2">
      <c r="AB1048" s="660" t="str">
        <f>IFERROR(VALUE(RIGHT(AA1048,LEN(AA1048)-MIN(FIND({0;1;2;3;4;5;6;7;8;9},AA1048&amp;"0123456789"))+1)),"")</f>
        <v/>
      </c>
    </row>
    <row r="1049" spans="28:28" x14ac:dyDescent="0.2">
      <c r="AB1049" s="660" t="str">
        <f>IFERROR(VALUE(RIGHT(AA1049,LEN(AA1049)-MIN(FIND({0;1;2;3;4;5;6;7;8;9},AA1049&amp;"0123456789"))+1)),"")</f>
        <v/>
      </c>
    </row>
    <row r="1050" spans="28:28" x14ac:dyDescent="0.2">
      <c r="AB1050" s="660" t="str">
        <f>IFERROR(VALUE(RIGHT(AA1050,LEN(AA1050)-MIN(FIND({0;1;2;3;4;5;6;7;8;9},AA1050&amp;"0123456789"))+1)),"")</f>
        <v/>
      </c>
    </row>
    <row r="1051" spans="28:28" x14ac:dyDescent="0.2">
      <c r="AB1051" s="660" t="str">
        <f>IFERROR(VALUE(RIGHT(AA1051,LEN(AA1051)-MIN(FIND({0;1;2;3;4;5;6;7;8;9},AA1051&amp;"0123456789"))+1)),"")</f>
        <v/>
      </c>
    </row>
    <row r="1052" spans="28:28" x14ac:dyDescent="0.2">
      <c r="AB1052" s="660" t="str">
        <f>IFERROR(VALUE(RIGHT(AA1052,LEN(AA1052)-MIN(FIND({0;1;2;3;4;5;6;7;8;9},AA1052&amp;"0123456789"))+1)),"")</f>
        <v/>
      </c>
    </row>
    <row r="1053" spans="28:28" x14ac:dyDescent="0.2">
      <c r="AB1053" s="660" t="str">
        <f>IFERROR(VALUE(RIGHT(AA1053,LEN(AA1053)-MIN(FIND({0;1;2;3;4;5;6;7;8;9},AA1053&amp;"0123456789"))+1)),"")</f>
        <v/>
      </c>
    </row>
    <row r="1054" spans="28:28" x14ac:dyDescent="0.2">
      <c r="AB1054" s="660" t="str">
        <f>IFERROR(VALUE(RIGHT(AA1054,LEN(AA1054)-MIN(FIND({0;1;2;3;4;5;6;7;8;9},AA1054&amp;"0123456789"))+1)),"")</f>
        <v/>
      </c>
    </row>
    <row r="1055" spans="28:28" x14ac:dyDescent="0.2">
      <c r="AB1055" s="660" t="str">
        <f>IFERROR(VALUE(RIGHT(AA1055,LEN(AA1055)-MIN(FIND({0;1;2;3;4;5;6;7;8;9},AA1055&amp;"0123456789"))+1)),"")</f>
        <v/>
      </c>
    </row>
    <row r="1056" spans="28:28" x14ac:dyDescent="0.2">
      <c r="AB1056" s="660" t="str">
        <f>IFERROR(VALUE(RIGHT(AA1056,LEN(AA1056)-MIN(FIND({0;1;2;3;4;5;6;7;8;9},AA1056&amp;"0123456789"))+1)),"")</f>
        <v/>
      </c>
    </row>
    <row r="1057" spans="28:28" x14ac:dyDescent="0.2">
      <c r="AB1057" s="660" t="str">
        <f>IFERROR(VALUE(RIGHT(AA1057,LEN(AA1057)-MIN(FIND({0;1;2;3;4;5;6;7;8;9},AA1057&amp;"0123456789"))+1)),"")</f>
        <v/>
      </c>
    </row>
    <row r="1058" spans="28:28" x14ac:dyDescent="0.2">
      <c r="AB1058" s="660" t="str">
        <f>IFERROR(VALUE(RIGHT(AA1058,LEN(AA1058)-MIN(FIND({0;1;2;3;4;5;6;7;8;9},AA1058&amp;"0123456789"))+1)),"")</f>
        <v/>
      </c>
    </row>
    <row r="1059" spans="28:28" x14ac:dyDescent="0.2">
      <c r="AB1059" s="660" t="str">
        <f>IFERROR(VALUE(RIGHT(AA1059,LEN(AA1059)-MIN(FIND({0;1;2;3;4;5;6;7;8;9},AA1059&amp;"0123456789"))+1)),"")</f>
        <v/>
      </c>
    </row>
    <row r="1060" spans="28:28" x14ac:dyDescent="0.2">
      <c r="AB1060" s="660" t="str">
        <f>IFERROR(VALUE(RIGHT(AA1060,LEN(AA1060)-MIN(FIND({0;1;2;3;4;5;6;7;8;9},AA1060&amp;"0123456789"))+1)),"")</f>
        <v/>
      </c>
    </row>
    <row r="1061" spans="28:28" x14ac:dyDescent="0.2">
      <c r="AB1061" s="660" t="str">
        <f>IFERROR(VALUE(RIGHT(AA1061,LEN(AA1061)-MIN(FIND({0;1;2;3;4;5;6;7;8;9},AA1061&amp;"0123456789"))+1)),"")</f>
        <v/>
      </c>
    </row>
    <row r="1062" spans="28:28" x14ac:dyDescent="0.2">
      <c r="AB1062" s="660" t="str">
        <f>IFERROR(VALUE(RIGHT(AA1062,LEN(AA1062)-MIN(FIND({0;1;2;3;4;5;6;7;8;9},AA1062&amp;"0123456789"))+1)),"")</f>
        <v/>
      </c>
    </row>
    <row r="1063" spans="28:28" x14ac:dyDescent="0.2">
      <c r="AB1063" s="660" t="str">
        <f>IFERROR(VALUE(RIGHT(AA1063,LEN(AA1063)-MIN(FIND({0;1;2;3;4;5;6;7;8;9},AA1063&amp;"0123456789"))+1)),"")</f>
        <v/>
      </c>
    </row>
    <row r="1064" spans="28:28" x14ac:dyDescent="0.2">
      <c r="AB1064" s="660" t="str">
        <f>IFERROR(VALUE(RIGHT(AA1064,LEN(AA1064)-MIN(FIND({0;1;2;3;4;5;6;7;8;9},AA1064&amp;"0123456789"))+1)),"")</f>
        <v/>
      </c>
    </row>
    <row r="1065" spans="28:28" x14ac:dyDescent="0.2">
      <c r="AB1065" s="660" t="str">
        <f>IFERROR(VALUE(RIGHT(AA1065,LEN(AA1065)-MIN(FIND({0;1;2;3;4;5;6;7;8;9},AA1065&amp;"0123456789"))+1)),"")</f>
        <v/>
      </c>
    </row>
    <row r="1066" spans="28:28" x14ac:dyDescent="0.2">
      <c r="AB1066" s="660" t="str">
        <f>IFERROR(VALUE(RIGHT(AA1066,LEN(AA1066)-MIN(FIND({0;1;2;3;4;5;6;7;8;9},AA1066&amp;"0123456789"))+1)),"")</f>
        <v/>
      </c>
    </row>
    <row r="1067" spans="28:28" x14ac:dyDescent="0.2">
      <c r="AB1067" s="660" t="str">
        <f>IFERROR(VALUE(RIGHT(AA1067,LEN(AA1067)-MIN(FIND({0;1;2;3;4;5;6;7;8;9},AA1067&amp;"0123456789"))+1)),"")</f>
        <v/>
      </c>
    </row>
    <row r="1068" spans="28:28" x14ac:dyDescent="0.2">
      <c r="AB1068" s="660" t="str">
        <f>IFERROR(VALUE(RIGHT(AA1068,LEN(AA1068)-MIN(FIND({0;1;2;3;4;5;6;7;8;9},AA1068&amp;"0123456789"))+1)),"")</f>
        <v/>
      </c>
    </row>
    <row r="1069" spans="28:28" x14ac:dyDescent="0.2">
      <c r="AB1069" s="660" t="str">
        <f>IFERROR(VALUE(RIGHT(AA1069,LEN(AA1069)-MIN(FIND({0;1;2;3;4;5;6;7;8;9},AA1069&amp;"0123456789"))+1)),"")</f>
        <v/>
      </c>
    </row>
    <row r="1070" spans="28:28" x14ac:dyDescent="0.2">
      <c r="AB1070" s="660" t="str">
        <f>IFERROR(VALUE(RIGHT(AA1070,LEN(AA1070)-MIN(FIND({0;1;2;3;4;5;6;7;8;9},AA1070&amp;"0123456789"))+1)),"")</f>
        <v/>
      </c>
    </row>
    <row r="1071" spans="28:28" x14ac:dyDescent="0.2">
      <c r="AB1071" s="660" t="str">
        <f>IFERROR(VALUE(RIGHT(AA1071,LEN(AA1071)-MIN(FIND({0;1;2;3;4;5;6;7;8;9},AA1071&amp;"0123456789"))+1)),"")</f>
        <v/>
      </c>
    </row>
    <row r="1072" spans="28:28" x14ac:dyDescent="0.2">
      <c r="AB1072" s="660" t="str">
        <f>IFERROR(VALUE(RIGHT(AA1072,LEN(AA1072)-MIN(FIND({0;1;2;3;4;5;6;7;8;9},AA1072&amp;"0123456789"))+1)),"")</f>
        <v/>
      </c>
    </row>
    <row r="1073" spans="28:28" x14ac:dyDescent="0.2">
      <c r="AB1073" s="660" t="str">
        <f>IFERROR(VALUE(RIGHT(AA1073,LEN(AA1073)-MIN(FIND({0;1;2;3;4;5;6;7;8;9},AA1073&amp;"0123456789"))+1)),"")</f>
        <v/>
      </c>
    </row>
    <row r="1074" spans="28:28" x14ac:dyDescent="0.2">
      <c r="AB1074" s="660" t="str">
        <f>IFERROR(VALUE(RIGHT(AA1074,LEN(AA1074)-MIN(FIND({0;1;2;3;4;5;6;7;8;9},AA1074&amp;"0123456789"))+1)),"")</f>
        <v/>
      </c>
    </row>
    <row r="1075" spans="28:28" x14ac:dyDescent="0.2">
      <c r="AB1075" s="660" t="str">
        <f>IFERROR(VALUE(RIGHT(AA1075,LEN(AA1075)-MIN(FIND({0;1;2;3;4;5;6;7;8;9},AA1075&amp;"0123456789"))+1)),"")</f>
        <v/>
      </c>
    </row>
    <row r="1076" spans="28:28" x14ac:dyDescent="0.2">
      <c r="AB1076" s="660" t="str">
        <f>IFERROR(VALUE(RIGHT(AA1076,LEN(AA1076)-MIN(FIND({0;1;2;3;4;5;6;7;8;9},AA1076&amp;"0123456789"))+1)),"")</f>
        <v/>
      </c>
    </row>
    <row r="1077" spans="28:28" x14ac:dyDescent="0.2">
      <c r="AB1077" s="660" t="str">
        <f>IFERROR(VALUE(RIGHT(AA1077,LEN(AA1077)-MIN(FIND({0;1;2;3;4;5;6;7;8;9},AA1077&amp;"0123456789"))+1)),"")</f>
        <v/>
      </c>
    </row>
    <row r="1078" spans="28:28" x14ac:dyDescent="0.2">
      <c r="AB1078" s="660" t="str">
        <f>IFERROR(VALUE(RIGHT(AA1078,LEN(AA1078)-MIN(FIND({0;1;2;3;4;5;6;7;8;9},AA1078&amp;"0123456789"))+1)),"")</f>
        <v/>
      </c>
    </row>
    <row r="1079" spans="28:28" x14ac:dyDescent="0.2">
      <c r="AB1079" s="660" t="str">
        <f>IFERROR(VALUE(RIGHT(AA1079,LEN(AA1079)-MIN(FIND({0;1;2;3;4;5;6;7;8;9},AA1079&amp;"0123456789"))+1)),"")</f>
        <v/>
      </c>
    </row>
    <row r="1080" spans="28:28" x14ac:dyDescent="0.2">
      <c r="AB1080" s="660" t="str">
        <f>IFERROR(VALUE(RIGHT(AA1080,LEN(AA1080)-MIN(FIND({0;1;2;3;4;5;6;7;8;9},AA1080&amp;"0123456789"))+1)),"")</f>
        <v/>
      </c>
    </row>
    <row r="1081" spans="28:28" x14ac:dyDescent="0.2">
      <c r="AB1081" s="660" t="str">
        <f>IFERROR(VALUE(RIGHT(AA1081,LEN(AA1081)-MIN(FIND({0;1;2;3;4;5;6;7;8;9},AA1081&amp;"0123456789"))+1)),"")</f>
        <v/>
      </c>
    </row>
    <row r="1082" spans="28:28" x14ac:dyDescent="0.2">
      <c r="AB1082" s="660" t="str">
        <f>IFERROR(VALUE(RIGHT(AA1082,LEN(AA1082)-MIN(FIND({0;1;2;3;4;5;6;7;8;9},AA1082&amp;"0123456789"))+1)),"")</f>
        <v/>
      </c>
    </row>
    <row r="1083" spans="28:28" x14ac:dyDescent="0.2">
      <c r="AB1083" s="660" t="str">
        <f>IFERROR(VALUE(RIGHT(AA1083,LEN(AA1083)-MIN(FIND({0;1;2;3;4;5;6;7;8;9},AA1083&amp;"0123456789"))+1)),"")</f>
        <v/>
      </c>
    </row>
    <row r="1084" spans="28:28" x14ac:dyDescent="0.2">
      <c r="AB1084" s="660" t="str">
        <f>IFERROR(VALUE(RIGHT(AA1084,LEN(AA1084)-MIN(FIND({0;1;2;3;4;5;6;7;8;9},AA1084&amp;"0123456789"))+1)),"")</f>
        <v/>
      </c>
    </row>
    <row r="1085" spans="28:28" x14ac:dyDescent="0.2">
      <c r="AB1085" s="660" t="str">
        <f>IFERROR(VALUE(RIGHT(AA1085,LEN(AA1085)-MIN(FIND({0;1;2;3;4;5;6;7;8;9},AA1085&amp;"0123456789"))+1)),"")</f>
        <v/>
      </c>
    </row>
    <row r="1086" spans="28:28" x14ac:dyDescent="0.2">
      <c r="AB1086" s="660" t="str">
        <f>IFERROR(VALUE(RIGHT(AA1086,LEN(AA1086)-MIN(FIND({0;1;2;3;4;5;6;7;8;9},AA1086&amp;"0123456789"))+1)),"")</f>
        <v/>
      </c>
    </row>
    <row r="1087" spans="28:28" x14ac:dyDescent="0.2">
      <c r="AB1087" s="660" t="str">
        <f>IFERROR(VALUE(RIGHT(AA1087,LEN(AA1087)-MIN(FIND({0;1;2;3;4;5;6;7;8;9},AA1087&amp;"0123456789"))+1)),"")</f>
        <v/>
      </c>
    </row>
    <row r="1088" spans="28:28" x14ac:dyDescent="0.2">
      <c r="AB1088" s="660" t="str">
        <f>IFERROR(VALUE(RIGHT(AA1088,LEN(AA1088)-MIN(FIND({0;1;2;3;4;5;6;7;8;9},AA1088&amp;"0123456789"))+1)),"")</f>
        <v/>
      </c>
    </row>
    <row r="1089" spans="28:28" x14ac:dyDescent="0.2">
      <c r="AB1089" s="660" t="str">
        <f>IFERROR(VALUE(RIGHT(AA1089,LEN(AA1089)-MIN(FIND({0;1;2;3;4;5;6;7;8;9},AA1089&amp;"0123456789"))+1)),"")</f>
        <v/>
      </c>
    </row>
    <row r="1090" spans="28:28" x14ac:dyDescent="0.2">
      <c r="AB1090" s="660" t="str">
        <f>IFERROR(VALUE(RIGHT(AA1090,LEN(AA1090)-MIN(FIND({0;1;2;3;4;5;6;7;8;9},AA1090&amp;"0123456789"))+1)),"")</f>
        <v/>
      </c>
    </row>
    <row r="1091" spans="28:28" x14ac:dyDescent="0.2">
      <c r="AB1091" s="660" t="str">
        <f>IFERROR(VALUE(RIGHT(AA1091,LEN(AA1091)-MIN(FIND({0;1;2;3;4;5;6;7;8;9},AA1091&amp;"0123456789"))+1)),"")</f>
        <v/>
      </c>
    </row>
    <row r="1092" spans="28:28" x14ac:dyDescent="0.2">
      <c r="AB1092" s="660" t="str">
        <f>IFERROR(VALUE(RIGHT(AA1092,LEN(AA1092)-MIN(FIND({0;1;2;3;4;5;6;7;8;9},AA1092&amp;"0123456789"))+1)),"")</f>
        <v/>
      </c>
    </row>
    <row r="1093" spans="28:28" x14ac:dyDescent="0.2">
      <c r="AB1093" s="660" t="str">
        <f>IFERROR(VALUE(RIGHT(AA1093,LEN(AA1093)-MIN(FIND({0;1;2;3;4;5;6;7;8;9},AA1093&amp;"0123456789"))+1)),"")</f>
        <v/>
      </c>
    </row>
    <row r="1094" spans="28:28" x14ac:dyDescent="0.2">
      <c r="AB1094" s="660" t="str">
        <f>IFERROR(VALUE(RIGHT(AA1094,LEN(AA1094)-MIN(FIND({0;1;2;3;4;5;6;7;8;9},AA1094&amp;"0123456789"))+1)),"")</f>
        <v/>
      </c>
    </row>
    <row r="1095" spans="28:28" x14ac:dyDescent="0.2">
      <c r="AB1095" s="660" t="str">
        <f>IFERROR(VALUE(RIGHT(AA1095,LEN(AA1095)-MIN(FIND({0;1;2;3;4;5;6;7;8;9},AA1095&amp;"0123456789"))+1)),"")</f>
        <v/>
      </c>
    </row>
    <row r="1096" spans="28:28" x14ac:dyDescent="0.2">
      <c r="AB1096" s="660" t="str">
        <f>IFERROR(VALUE(RIGHT(AA1096,LEN(AA1096)-MIN(FIND({0;1;2;3;4;5;6;7;8;9},AA1096&amp;"0123456789"))+1)),"")</f>
        <v/>
      </c>
    </row>
    <row r="1097" spans="28:28" x14ac:dyDescent="0.2">
      <c r="AB1097" s="660" t="str">
        <f>IFERROR(VALUE(RIGHT(AA1097,LEN(AA1097)-MIN(FIND({0;1;2;3;4;5;6;7;8;9},AA1097&amp;"0123456789"))+1)),"")</f>
        <v/>
      </c>
    </row>
    <row r="1098" spans="28:28" x14ac:dyDescent="0.2">
      <c r="AB1098" s="660" t="str">
        <f>IFERROR(VALUE(RIGHT(AA1098,LEN(AA1098)-MIN(FIND({0;1;2;3;4;5;6;7;8;9},AA1098&amp;"0123456789"))+1)),"")</f>
        <v/>
      </c>
    </row>
    <row r="1099" spans="28:28" x14ac:dyDescent="0.2">
      <c r="AB1099" s="660" t="str">
        <f>IFERROR(VALUE(RIGHT(AA1099,LEN(AA1099)-MIN(FIND({0;1;2;3;4;5;6;7;8;9},AA1099&amp;"0123456789"))+1)),"")</f>
        <v/>
      </c>
    </row>
    <row r="1100" spans="28:28" x14ac:dyDescent="0.2">
      <c r="AB1100" s="660" t="str">
        <f>IFERROR(VALUE(RIGHT(AA1100,LEN(AA1100)-MIN(FIND({0;1;2;3;4;5;6;7;8;9},AA1100&amp;"0123456789"))+1)),"")</f>
        <v/>
      </c>
    </row>
    <row r="1101" spans="28:28" x14ac:dyDescent="0.2">
      <c r="AB1101" s="660" t="str">
        <f>IFERROR(VALUE(RIGHT(AA1101,LEN(AA1101)-MIN(FIND({0;1;2;3;4;5;6;7;8;9},AA1101&amp;"0123456789"))+1)),"")</f>
        <v/>
      </c>
    </row>
    <row r="1102" spans="28:28" x14ac:dyDescent="0.2">
      <c r="AB1102" s="660" t="str">
        <f>IFERROR(VALUE(RIGHT(AA1102,LEN(AA1102)-MIN(FIND({0;1;2;3;4;5;6;7;8;9},AA1102&amp;"0123456789"))+1)),"")</f>
        <v/>
      </c>
    </row>
    <row r="1103" spans="28:28" x14ac:dyDescent="0.2">
      <c r="AB1103" s="660" t="str">
        <f>IFERROR(VALUE(RIGHT(AA1103,LEN(AA1103)-MIN(FIND({0;1;2;3;4;5;6;7;8;9},AA1103&amp;"0123456789"))+1)),"")</f>
        <v/>
      </c>
    </row>
    <row r="1104" spans="28:28" x14ac:dyDescent="0.2">
      <c r="AB1104" s="660" t="str">
        <f>IFERROR(VALUE(RIGHT(AA1104,LEN(AA1104)-MIN(FIND({0;1;2;3;4;5;6;7;8;9},AA1104&amp;"0123456789"))+1)),"")</f>
        <v/>
      </c>
    </row>
    <row r="1105" spans="28:28" x14ac:dyDescent="0.2">
      <c r="AB1105" s="660" t="str">
        <f>IFERROR(VALUE(RIGHT(AA1105,LEN(AA1105)-MIN(FIND({0;1;2;3;4;5;6;7;8;9},AA1105&amp;"0123456789"))+1)),"")</f>
        <v/>
      </c>
    </row>
    <row r="1106" spans="28:28" x14ac:dyDescent="0.2">
      <c r="AB1106" s="660" t="str">
        <f>IFERROR(VALUE(RIGHT(AA1106,LEN(AA1106)-MIN(FIND({0;1;2;3;4;5;6;7;8;9},AA1106&amp;"0123456789"))+1)),"")</f>
        <v/>
      </c>
    </row>
    <row r="1107" spans="28:28" x14ac:dyDescent="0.2">
      <c r="AB1107" s="660" t="str">
        <f>IFERROR(VALUE(RIGHT(AA1107,LEN(AA1107)-MIN(FIND({0;1;2;3;4;5;6;7;8;9},AA1107&amp;"0123456789"))+1)),"")</f>
        <v/>
      </c>
    </row>
    <row r="1108" spans="28:28" x14ac:dyDescent="0.2">
      <c r="AB1108" s="660" t="str">
        <f>IFERROR(VALUE(RIGHT(AA1108,LEN(AA1108)-MIN(FIND({0;1;2;3;4;5;6;7;8;9},AA1108&amp;"0123456789"))+1)),"")</f>
        <v/>
      </c>
    </row>
    <row r="1109" spans="28:28" x14ac:dyDescent="0.2">
      <c r="AB1109" s="660" t="str">
        <f>IFERROR(VALUE(RIGHT(AA1109,LEN(AA1109)-MIN(FIND({0;1;2;3;4;5;6;7;8;9},AA1109&amp;"0123456789"))+1)),"")</f>
        <v/>
      </c>
    </row>
    <row r="1110" spans="28:28" x14ac:dyDescent="0.2">
      <c r="AB1110" s="660" t="str">
        <f>IFERROR(VALUE(RIGHT(AA1110,LEN(AA1110)-MIN(FIND({0;1;2;3;4;5;6;7;8;9},AA1110&amp;"0123456789"))+1)),"")</f>
        <v/>
      </c>
    </row>
    <row r="1111" spans="28:28" x14ac:dyDescent="0.2">
      <c r="AB1111" s="660" t="str">
        <f>IFERROR(VALUE(RIGHT(AA1111,LEN(AA1111)-MIN(FIND({0;1;2;3;4;5;6;7;8;9},AA1111&amp;"0123456789"))+1)),"")</f>
        <v/>
      </c>
    </row>
    <row r="1112" spans="28:28" x14ac:dyDescent="0.2">
      <c r="AB1112" s="660" t="str">
        <f>IFERROR(VALUE(RIGHT(AA1112,LEN(AA1112)-MIN(FIND({0;1;2;3;4;5;6;7;8;9},AA1112&amp;"0123456789"))+1)),"")</f>
        <v/>
      </c>
    </row>
    <row r="1113" spans="28:28" x14ac:dyDescent="0.2">
      <c r="AB1113" s="660" t="str">
        <f>IFERROR(VALUE(RIGHT(AA1113,LEN(AA1113)-MIN(FIND({0;1;2;3;4;5;6;7;8;9},AA1113&amp;"0123456789"))+1)),"")</f>
        <v/>
      </c>
    </row>
    <row r="1114" spans="28:28" x14ac:dyDescent="0.2">
      <c r="AB1114" s="660" t="str">
        <f>IFERROR(VALUE(RIGHT(AA1114,LEN(AA1114)-MIN(FIND({0;1;2;3;4;5;6;7;8;9},AA1114&amp;"0123456789"))+1)),"")</f>
        <v/>
      </c>
    </row>
    <row r="1115" spans="28:28" x14ac:dyDescent="0.2">
      <c r="AB1115" s="660" t="str">
        <f>IFERROR(VALUE(RIGHT(AA1115,LEN(AA1115)-MIN(FIND({0;1;2;3;4;5;6;7;8;9},AA1115&amp;"0123456789"))+1)),"")</f>
        <v/>
      </c>
    </row>
    <row r="1116" spans="28:28" x14ac:dyDescent="0.2">
      <c r="AB1116" s="660" t="str">
        <f>IFERROR(VALUE(RIGHT(AA1116,LEN(AA1116)-MIN(FIND({0;1;2;3;4;5;6;7;8;9},AA1116&amp;"0123456789"))+1)),"")</f>
        <v/>
      </c>
    </row>
    <row r="1117" spans="28:28" x14ac:dyDescent="0.2">
      <c r="AB1117" s="660" t="str">
        <f>IFERROR(VALUE(RIGHT(AA1117,LEN(AA1117)-MIN(FIND({0;1;2;3;4;5;6;7;8;9},AA1117&amp;"0123456789"))+1)),"")</f>
        <v/>
      </c>
    </row>
    <row r="1118" spans="28:28" x14ac:dyDescent="0.2">
      <c r="AB1118" s="660" t="str">
        <f>IFERROR(VALUE(RIGHT(AA1118,LEN(AA1118)-MIN(FIND({0;1;2;3;4;5;6;7;8;9},AA1118&amp;"0123456789"))+1)),"")</f>
        <v/>
      </c>
    </row>
    <row r="1119" spans="28:28" x14ac:dyDescent="0.2">
      <c r="AB1119" s="660" t="str">
        <f>IFERROR(VALUE(RIGHT(AA1119,LEN(AA1119)-MIN(FIND({0;1;2;3;4;5;6;7;8;9},AA1119&amp;"0123456789"))+1)),"")</f>
        <v/>
      </c>
    </row>
    <row r="1120" spans="28:28" x14ac:dyDescent="0.2">
      <c r="AB1120" s="660" t="str">
        <f>IFERROR(VALUE(RIGHT(AA1120,LEN(AA1120)-MIN(FIND({0;1;2;3;4;5;6;7;8;9},AA1120&amp;"0123456789"))+1)),"")</f>
        <v/>
      </c>
    </row>
    <row r="1121" spans="28:28" x14ac:dyDescent="0.2">
      <c r="AB1121" s="660" t="str">
        <f>IFERROR(VALUE(RIGHT(AA1121,LEN(AA1121)-MIN(FIND({0;1;2;3;4;5;6;7;8;9},AA1121&amp;"0123456789"))+1)),"")</f>
        <v/>
      </c>
    </row>
    <row r="1122" spans="28:28" x14ac:dyDescent="0.2">
      <c r="AB1122" s="660" t="str">
        <f>IFERROR(VALUE(RIGHT(AA1122,LEN(AA1122)-MIN(FIND({0;1;2;3;4;5;6;7;8;9},AA1122&amp;"0123456789"))+1)),"")</f>
        <v/>
      </c>
    </row>
    <row r="1123" spans="28:28" x14ac:dyDescent="0.2">
      <c r="AB1123" s="660" t="str">
        <f>IFERROR(VALUE(RIGHT(AA1123,LEN(AA1123)-MIN(FIND({0;1;2;3;4;5;6;7;8;9},AA1123&amp;"0123456789"))+1)),"")</f>
        <v/>
      </c>
    </row>
    <row r="1124" spans="28:28" x14ac:dyDescent="0.2">
      <c r="AB1124" s="660" t="str">
        <f>IFERROR(VALUE(RIGHT(AA1124,LEN(AA1124)-MIN(FIND({0;1;2;3;4;5;6;7;8;9},AA1124&amp;"0123456789"))+1)),"")</f>
        <v/>
      </c>
    </row>
    <row r="1125" spans="28:28" x14ac:dyDescent="0.2">
      <c r="AB1125" s="660" t="str">
        <f>IFERROR(VALUE(RIGHT(AA1125,LEN(AA1125)-MIN(FIND({0;1;2;3;4;5;6;7;8;9},AA1125&amp;"0123456789"))+1)),"")</f>
        <v/>
      </c>
    </row>
    <row r="1126" spans="28:28" x14ac:dyDescent="0.2">
      <c r="AB1126" s="660" t="str">
        <f>IFERROR(VALUE(RIGHT(AA1126,LEN(AA1126)-MIN(FIND({0;1;2;3;4;5;6;7;8;9},AA1126&amp;"0123456789"))+1)),"")</f>
        <v/>
      </c>
    </row>
    <row r="1127" spans="28:28" x14ac:dyDescent="0.2">
      <c r="AB1127" s="660" t="str">
        <f>IFERROR(VALUE(RIGHT(AA1127,LEN(AA1127)-MIN(FIND({0;1;2;3;4;5;6;7;8;9},AA1127&amp;"0123456789"))+1)),"")</f>
        <v/>
      </c>
    </row>
    <row r="1128" spans="28:28" x14ac:dyDescent="0.2">
      <c r="AB1128" s="660" t="str">
        <f>IFERROR(VALUE(RIGHT(AA1128,LEN(AA1128)-MIN(FIND({0;1;2;3;4;5;6;7;8;9},AA1128&amp;"0123456789"))+1)),"")</f>
        <v/>
      </c>
    </row>
    <row r="1129" spans="28:28" x14ac:dyDescent="0.2">
      <c r="AB1129" s="660" t="str">
        <f>IFERROR(VALUE(RIGHT(AA1129,LEN(AA1129)-MIN(FIND({0;1;2;3;4;5;6;7;8;9},AA1129&amp;"0123456789"))+1)),"")</f>
        <v/>
      </c>
    </row>
    <row r="1130" spans="28:28" x14ac:dyDescent="0.2">
      <c r="AB1130" s="660" t="str">
        <f>IFERROR(VALUE(RIGHT(AA1130,LEN(AA1130)-MIN(FIND({0;1;2;3;4;5;6;7;8;9},AA1130&amp;"0123456789"))+1)),"")</f>
        <v/>
      </c>
    </row>
    <row r="1131" spans="28:28" x14ac:dyDescent="0.2">
      <c r="AB1131" s="660" t="str">
        <f>IFERROR(VALUE(RIGHT(AA1131,LEN(AA1131)-MIN(FIND({0;1;2;3;4;5;6;7;8;9},AA1131&amp;"0123456789"))+1)),"")</f>
        <v/>
      </c>
    </row>
    <row r="1132" spans="28:28" x14ac:dyDescent="0.2">
      <c r="AB1132" s="660" t="str">
        <f>IFERROR(VALUE(RIGHT(AA1132,LEN(AA1132)-MIN(FIND({0;1;2;3;4;5;6;7;8;9},AA1132&amp;"0123456789"))+1)),"")</f>
        <v/>
      </c>
    </row>
    <row r="1133" spans="28:28" x14ac:dyDescent="0.2">
      <c r="AB1133" s="660" t="str">
        <f>IFERROR(VALUE(RIGHT(AA1133,LEN(AA1133)-MIN(FIND({0;1;2;3;4;5;6;7;8;9},AA1133&amp;"0123456789"))+1)),"")</f>
        <v/>
      </c>
    </row>
    <row r="1134" spans="28:28" x14ac:dyDescent="0.2">
      <c r="AB1134" s="660" t="str">
        <f>IFERROR(VALUE(RIGHT(AA1134,LEN(AA1134)-MIN(FIND({0;1;2;3;4;5;6;7;8;9},AA1134&amp;"0123456789"))+1)),"")</f>
        <v/>
      </c>
    </row>
    <row r="1135" spans="28:28" x14ac:dyDescent="0.2">
      <c r="AB1135" s="660" t="str">
        <f>IFERROR(VALUE(RIGHT(AA1135,LEN(AA1135)-MIN(FIND({0;1;2;3;4;5;6;7;8;9},AA1135&amp;"0123456789"))+1)),"")</f>
        <v/>
      </c>
    </row>
    <row r="1136" spans="28:28" x14ac:dyDescent="0.2">
      <c r="AB1136" s="660" t="str">
        <f>IFERROR(VALUE(RIGHT(AA1136,LEN(AA1136)-MIN(FIND({0;1;2;3;4;5;6;7;8;9},AA1136&amp;"0123456789"))+1)),"")</f>
        <v/>
      </c>
    </row>
    <row r="1137" spans="28:28" x14ac:dyDescent="0.2">
      <c r="AB1137" s="660" t="str">
        <f>IFERROR(VALUE(RIGHT(AA1137,LEN(AA1137)-MIN(FIND({0;1;2;3;4;5;6;7;8;9},AA1137&amp;"0123456789"))+1)),"")</f>
        <v/>
      </c>
    </row>
    <row r="1138" spans="28:28" x14ac:dyDescent="0.2">
      <c r="AB1138" s="660" t="str">
        <f>IFERROR(VALUE(RIGHT(AA1138,LEN(AA1138)-MIN(FIND({0;1;2;3;4;5;6;7;8;9},AA1138&amp;"0123456789"))+1)),"")</f>
        <v/>
      </c>
    </row>
    <row r="1139" spans="28:28" x14ac:dyDescent="0.2">
      <c r="AB1139" s="660" t="str">
        <f>IFERROR(VALUE(RIGHT(AA1139,LEN(AA1139)-MIN(FIND({0;1;2;3;4;5;6;7;8;9},AA1139&amp;"0123456789"))+1)),"")</f>
        <v/>
      </c>
    </row>
    <row r="1140" spans="28:28" x14ac:dyDescent="0.2">
      <c r="AB1140" s="660" t="str">
        <f>IFERROR(VALUE(RIGHT(AA1140,LEN(AA1140)-MIN(FIND({0;1;2;3;4;5;6;7;8;9},AA1140&amp;"0123456789"))+1)),"")</f>
        <v/>
      </c>
    </row>
    <row r="1141" spans="28:28" x14ac:dyDescent="0.2">
      <c r="AB1141" s="660" t="str">
        <f>IFERROR(VALUE(RIGHT(AA1141,LEN(AA1141)-MIN(FIND({0;1;2;3;4;5;6;7;8;9},AA1141&amp;"0123456789"))+1)),"")</f>
        <v/>
      </c>
    </row>
    <row r="1142" spans="28:28" x14ac:dyDescent="0.2">
      <c r="AB1142" s="660" t="str">
        <f>IFERROR(VALUE(RIGHT(AA1142,LEN(AA1142)-MIN(FIND({0;1;2;3;4;5;6;7;8;9},AA1142&amp;"0123456789"))+1)),"")</f>
        <v/>
      </c>
    </row>
    <row r="1143" spans="28:28" x14ac:dyDescent="0.2">
      <c r="AB1143" s="660" t="str">
        <f>IFERROR(VALUE(RIGHT(AA1143,LEN(AA1143)-MIN(FIND({0;1;2;3;4;5;6;7;8;9},AA1143&amp;"0123456789"))+1)),"")</f>
        <v/>
      </c>
    </row>
    <row r="1144" spans="28:28" x14ac:dyDescent="0.2">
      <c r="AB1144" s="660" t="str">
        <f>IFERROR(VALUE(RIGHT(AA1144,LEN(AA1144)-MIN(FIND({0;1;2;3;4;5;6;7;8;9},AA1144&amp;"0123456789"))+1)),"")</f>
        <v/>
      </c>
    </row>
    <row r="1145" spans="28:28" x14ac:dyDescent="0.2">
      <c r="AB1145" s="660" t="str">
        <f>IFERROR(VALUE(RIGHT(AA1145,LEN(AA1145)-MIN(FIND({0;1;2;3;4;5;6;7;8;9},AA1145&amp;"0123456789"))+1)),"")</f>
        <v/>
      </c>
    </row>
    <row r="1146" spans="28:28" x14ac:dyDescent="0.2">
      <c r="AB1146" s="660" t="str">
        <f>IFERROR(VALUE(RIGHT(AA1146,LEN(AA1146)-MIN(FIND({0;1;2;3;4;5;6;7;8;9},AA1146&amp;"0123456789"))+1)),"")</f>
        <v/>
      </c>
    </row>
    <row r="1147" spans="28:28" x14ac:dyDescent="0.2">
      <c r="AB1147" s="660" t="str">
        <f>IFERROR(VALUE(RIGHT(AA1147,LEN(AA1147)-MIN(FIND({0;1;2;3;4;5;6;7;8;9},AA1147&amp;"0123456789"))+1)),"")</f>
        <v/>
      </c>
    </row>
    <row r="1148" spans="28:28" x14ac:dyDescent="0.2">
      <c r="AB1148" s="660" t="str">
        <f>IFERROR(VALUE(RIGHT(AA1148,LEN(AA1148)-MIN(FIND({0;1;2;3;4;5;6;7;8;9},AA1148&amp;"0123456789"))+1)),"")</f>
        <v/>
      </c>
    </row>
    <row r="1149" spans="28:28" x14ac:dyDescent="0.2">
      <c r="AB1149" s="660" t="str">
        <f>IFERROR(VALUE(RIGHT(AA1149,LEN(AA1149)-MIN(FIND({0;1;2;3;4;5;6;7;8;9},AA1149&amp;"0123456789"))+1)),"")</f>
        <v/>
      </c>
    </row>
    <row r="1150" spans="28:28" x14ac:dyDescent="0.2">
      <c r="AB1150" s="660" t="str">
        <f>IFERROR(VALUE(RIGHT(AA1150,LEN(AA1150)-MIN(FIND({0;1;2;3;4;5;6;7;8;9},AA1150&amp;"0123456789"))+1)),"")</f>
        <v/>
      </c>
    </row>
    <row r="1151" spans="28:28" x14ac:dyDescent="0.2">
      <c r="AB1151" s="660" t="str">
        <f>IFERROR(VALUE(RIGHT(AA1151,LEN(AA1151)-MIN(FIND({0;1;2;3;4;5;6;7;8;9},AA1151&amp;"0123456789"))+1)),"")</f>
        <v/>
      </c>
    </row>
    <row r="1152" spans="28:28" x14ac:dyDescent="0.2">
      <c r="AB1152" s="660" t="str">
        <f>IFERROR(VALUE(RIGHT(AA1152,LEN(AA1152)-MIN(FIND({0;1;2;3;4;5;6;7;8;9},AA1152&amp;"0123456789"))+1)),"")</f>
        <v/>
      </c>
    </row>
    <row r="1153" spans="28:28" x14ac:dyDescent="0.2">
      <c r="AB1153" s="660" t="str">
        <f>IFERROR(VALUE(RIGHT(AA1153,LEN(AA1153)-MIN(FIND({0;1;2;3;4;5;6;7;8;9},AA1153&amp;"0123456789"))+1)),"")</f>
        <v/>
      </c>
    </row>
    <row r="1154" spans="28:28" x14ac:dyDescent="0.2">
      <c r="AB1154" s="660" t="str">
        <f>IFERROR(VALUE(RIGHT(AA1154,LEN(AA1154)-MIN(FIND({0;1;2;3;4;5;6;7;8;9},AA1154&amp;"0123456789"))+1)),"")</f>
        <v/>
      </c>
    </row>
    <row r="1155" spans="28:28" x14ac:dyDescent="0.2">
      <c r="AB1155" s="660" t="str">
        <f>IFERROR(VALUE(RIGHT(AA1155,LEN(AA1155)-MIN(FIND({0;1;2;3;4;5;6;7;8;9},AA1155&amp;"0123456789"))+1)),"")</f>
        <v/>
      </c>
    </row>
    <row r="1156" spans="28:28" x14ac:dyDescent="0.2">
      <c r="AB1156" s="660" t="str">
        <f>IFERROR(VALUE(RIGHT(AA1156,LEN(AA1156)-MIN(FIND({0;1;2;3;4;5;6;7;8;9},AA1156&amp;"0123456789"))+1)),"")</f>
        <v/>
      </c>
    </row>
    <row r="1157" spans="28:28" x14ac:dyDescent="0.2">
      <c r="AB1157" s="660" t="str">
        <f>IFERROR(VALUE(RIGHT(AA1157,LEN(AA1157)-MIN(FIND({0;1;2;3;4;5;6;7;8;9},AA1157&amp;"0123456789"))+1)),"")</f>
        <v/>
      </c>
    </row>
    <row r="1158" spans="28:28" x14ac:dyDescent="0.2">
      <c r="AB1158" s="660" t="str">
        <f>IFERROR(VALUE(RIGHT(AA1158,LEN(AA1158)-MIN(FIND({0;1;2;3;4;5;6;7;8;9},AA1158&amp;"0123456789"))+1)),"")</f>
        <v/>
      </c>
    </row>
    <row r="1159" spans="28:28" x14ac:dyDescent="0.2">
      <c r="AB1159" s="660" t="str">
        <f>IFERROR(VALUE(RIGHT(AA1159,LEN(AA1159)-MIN(FIND({0;1;2;3;4;5;6;7;8;9},AA1159&amp;"0123456789"))+1)),"")</f>
        <v/>
      </c>
    </row>
    <row r="1160" spans="28:28" x14ac:dyDescent="0.2">
      <c r="AB1160" s="660" t="str">
        <f>IFERROR(VALUE(RIGHT(AA1160,LEN(AA1160)-MIN(FIND({0;1;2;3;4;5;6;7;8;9},AA1160&amp;"0123456789"))+1)),"")</f>
        <v/>
      </c>
    </row>
    <row r="1161" spans="28:28" x14ac:dyDescent="0.2">
      <c r="AB1161" s="660" t="str">
        <f>IFERROR(VALUE(RIGHT(AA1161,LEN(AA1161)-MIN(FIND({0;1;2;3;4;5;6;7;8;9},AA1161&amp;"0123456789"))+1)),"")</f>
        <v/>
      </c>
    </row>
    <row r="1162" spans="28:28" x14ac:dyDescent="0.2">
      <c r="AB1162" s="660" t="str">
        <f>IFERROR(VALUE(RIGHT(AA1162,LEN(AA1162)-MIN(FIND({0;1;2;3;4;5;6;7;8;9},AA1162&amp;"0123456789"))+1)),"")</f>
        <v/>
      </c>
    </row>
    <row r="1163" spans="28:28" x14ac:dyDescent="0.2">
      <c r="AB1163" s="660" t="str">
        <f>IFERROR(VALUE(RIGHT(AA1163,LEN(AA1163)-MIN(FIND({0;1;2;3;4;5;6;7;8;9},AA1163&amp;"0123456789"))+1)),"")</f>
        <v/>
      </c>
    </row>
    <row r="1164" spans="28:28" x14ac:dyDescent="0.2">
      <c r="AB1164" s="660" t="str">
        <f>IFERROR(VALUE(RIGHT(AA1164,LEN(AA1164)-MIN(FIND({0;1;2;3;4;5;6;7;8;9},AA1164&amp;"0123456789"))+1)),"")</f>
        <v/>
      </c>
    </row>
    <row r="1165" spans="28:28" x14ac:dyDescent="0.2">
      <c r="AB1165" s="660" t="str">
        <f>IFERROR(VALUE(RIGHT(AA1165,LEN(AA1165)-MIN(FIND({0;1;2;3;4;5;6;7;8;9},AA1165&amp;"0123456789"))+1)),"")</f>
        <v/>
      </c>
    </row>
    <row r="1166" spans="28:28" x14ac:dyDescent="0.2">
      <c r="AB1166" s="660" t="str">
        <f>IFERROR(VALUE(RIGHT(AA1166,LEN(AA1166)-MIN(FIND({0;1;2;3;4;5;6;7;8;9},AA1166&amp;"0123456789"))+1)),"")</f>
        <v/>
      </c>
    </row>
    <row r="1167" spans="28:28" x14ac:dyDescent="0.2">
      <c r="AB1167" s="660" t="str">
        <f>IFERROR(VALUE(RIGHT(AA1167,LEN(AA1167)-MIN(FIND({0;1;2;3;4;5;6;7;8;9},AA1167&amp;"0123456789"))+1)),"")</f>
        <v/>
      </c>
    </row>
    <row r="1168" spans="28:28" x14ac:dyDescent="0.2">
      <c r="AB1168" s="660" t="str">
        <f>IFERROR(VALUE(RIGHT(AA1168,LEN(AA1168)-MIN(FIND({0;1;2;3;4;5;6;7;8;9},AA1168&amp;"0123456789"))+1)),"")</f>
        <v/>
      </c>
    </row>
    <row r="1169" spans="28:28" x14ac:dyDescent="0.2">
      <c r="AB1169" s="660" t="str">
        <f>IFERROR(VALUE(RIGHT(AA1169,LEN(AA1169)-MIN(FIND({0;1;2;3;4;5;6;7;8;9},AA1169&amp;"0123456789"))+1)),"")</f>
        <v/>
      </c>
    </row>
    <row r="1170" spans="28:28" x14ac:dyDescent="0.2">
      <c r="AB1170" s="660" t="str">
        <f>IFERROR(VALUE(RIGHT(AA1170,LEN(AA1170)-MIN(FIND({0;1;2;3;4;5;6;7;8;9},AA1170&amp;"0123456789"))+1)),"")</f>
        <v/>
      </c>
    </row>
    <row r="1171" spans="28:28" x14ac:dyDescent="0.2">
      <c r="AB1171" s="660" t="str">
        <f>IFERROR(VALUE(RIGHT(AA1171,LEN(AA1171)-MIN(FIND({0;1;2;3;4;5;6;7;8;9},AA1171&amp;"0123456789"))+1)),"")</f>
        <v/>
      </c>
    </row>
    <row r="1172" spans="28:28" x14ac:dyDescent="0.2">
      <c r="AB1172" s="660" t="str">
        <f>IFERROR(VALUE(RIGHT(AA1172,LEN(AA1172)-MIN(FIND({0;1;2;3;4;5;6;7;8;9},AA1172&amp;"0123456789"))+1)),"")</f>
        <v/>
      </c>
    </row>
    <row r="1173" spans="28:28" x14ac:dyDescent="0.2">
      <c r="AB1173" s="660" t="str">
        <f>IFERROR(VALUE(RIGHT(AA1173,LEN(AA1173)-MIN(FIND({0;1;2;3;4;5;6;7;8;9},AA1173&amp;"0123456789"))+1)),"")</f>
        <v/>
      </c>
    </row>
    <row r="1174" spans="28:28" x14ac:dyDescent="0.2">
      <c r="AB1174" s="660" t="str">
        <f>IFERROR(VALUE(RIGHT(AA1174,LEN(AA1174)-MIN(FIND({0;1;2;3;4;5;6;7;8;9},AA1174&amp;"0123456789"))+1)),"")</f>
        <v/>
      </c>
    </row>
    <row r="1175" spans="28:28" x14ac:dyDescent="0.2">
      <c r="AB1175" s="660" t="str">
        <f>IFERROR(VALUE(RIGHT(AA1175,LEN(AA1175)-MIN(FIND({0;1;2;3;4;5;6;7;8;9},AA1175&amp;"0123456789"))+1)),"")</f>
        <v/>
      </c>
    </row>
    <row r="1176" spans="28:28" x14ac:dyDescent="0.2">
      <c r="AB1176" s="660" t="str">
        <f>IFERROR(VALUE(RIGHT(AA1176,LEN(AA1176)-MIN(FIND({0;1;2;3;4;5;6;7;8;9},AA1176&amp;"0123456789"))+1)),"")</f>
        <v/>
      </c>
    </row>
    <row r="1177" spans="28:28" x14ac:dyDescent="0.2">
      <c r="AB1177" s="660" t="str">
        <f>IFERROR(VALUE(RIGHT(AA1177,LEN(AA1177)-MIN(FIND({0;1;2;3;4;5;6;7;8;9},AA1177&amp;"0123456789"))+1)),"")</f>
        <v/>
      </c>
    </row>
    <row r="1178" spans="28:28" x14ac:dyDescent="0.2">
      <c r="AB1178" s="660" t="str">
        <f>IFERROR(VALUE(RIGHT(AA1178,LEN(AA1178)-MIN(FIND({0;1;2;3;4;5;6;7;8;9},AA1178&amp;"0123456789"))+1)),"")</f>
        <v/>
      </c>
    </row>
    <row r="1179" spans="28:28" x14ac:dyDescent="0.2">
      <c r="AB1179" s="660" t="str">
        <f>IFERROR(VALUE(RIGHT(AA1179,LEN(AA1179)-MIN(FIND({0;1;2;3;4;5;6;7;8;9},AA1179&amp;"0123456789"))+1)),"")</f>
        <v/>
      </c>
    </row>
    <row r="1180" spans="28:28" x14ac:dyDescent="0.2">
      <c r="AB1180" s="660" t="str">
        <f>IFERROR(VALUE(RIGHT(AA1180,LEN(AA1180)-MIN(FIND({0;1;2;3;4;5;6;7;8;9},AA1180&amp;"0123456789"))+1)),"")</f>
        <v/>
      </c>
    </row>
    <row r="1181" spans="28:28" x14ac:dyDescent="0.2">
      <c r="AB1181" s="660" t="str">
        <f>IFERROR(VALUE(RIGHT(AA1181,LEN(AA1181)-MIN(FIND({0;1;2;3;4;5;6;7;8;9},AA1181&amp;"0123456789"))+1)),"")</f>
        <v/>
      </c>
    </row>
    <row r="1182" spans="28:28" x14ac:dyDescent="0.2">
      <c r="AB1182" s="660" t="str">
        <f>IFERROR(VALUE(RIGHT(AA1182,LEN(AA1182)-MIN(FIND({0;1;2;3;4;5;6;7;8;9},AA1182&amp;"0123456789"))+1)),"")</f>
        <v/>
      </c>
    </row>
    <row r="1183" spans="28:28" x14ac:dyDescent="0.2">
      <c r="AB1183" s="660" t="str">
        <f>IFERROR(VALUE(RIGHT(AA1183,LEN(AA1183)-MIN(FIND({0;1;2;3;4;5;6;7;8;9},AA1183&amp;"0123456789"))+1)),"")</f>
        <v/>
      </c>
    </row>
    <row r="1184" spans="28:28" x14ac:dyDescent="0.2">
      <c r="AB1184" s="660" t="str">
        <f>IFERROR(VALUE(RIGHT(AA1184,LEN(AA1184)-MIN(FIND({0;1;2;3;4;5;6;7;8;9},AA1184&amp;"0123456789"))+1)),"")</f>
        <v/>
      </c>
    </row>
    <row r="1185" spans="28:28" x14ac:dyDescent="0.2">
      <c r="AB1185" s="660" t="str">
        <f>IFERROR(VALUE(RIGHT(AA1185,LEN(AA1185)-MIN(FIND({0;1;2;3;4;5;6;7;8;9},AA1185&amp;"0123456789"))+1)),"")</f>
        <v/>
      </c>
    </row>
    <row r="1186" spans="28:28" x14ac:dyDescent="0.2">
      <c r="AB1186" s="660" t="str">
        <f>IFERROR(VALUE(RIGHT(AA1186,LEN(AA1186)-MIN(FIND({0;1;2;3;4;5;6;7;8;9},AA1186&amp;"0123456789"))+1)),"")</f>
        <v/>
      </c>
    </row>
    <row r="1187" spans="28:28" x14ac:dyDescent="0.2">
      <c r="AB1187" s="660" t="str">
        <f>IFERROR(VALUE(RIGHT(AA1187,LEN(AA1187)-MIN(FIND({0;1;2;3;4;5;6;7;8;9},AA1187&amp;"0123456789"))+1)),"")</f>
        <v/>
      </c>
    </row>
    <row r="1188" spans="28:28" x14ac:dyDescent="0.2">
      <c r="AB1188" s="660" t="str">
        <f>IFERROR(VALUE(RIGHT(AA1188,LEN(AA1188)-MIN(FIND({0;1;2;3;4;5;6;7;8;9},AA1188&amp;"0123456789"))+1)),"")</f>
        <v/>
      </c>
    </row>
    <row r="1189" spans="28:28" x14ac:dyDescent="0.2">
      <c r="AB1189" s="660" t="str">
        <f>IFERROR(VALUE(RIGHT(AA1189,LEN(AA1189)-MIN(FIND({0;1;2;3;4;5;6;7;8;9},AA1189&amp;"0123456789"))+1)),"")</f>
        <v/>
      </c>
    </row>
    <row r="1190" spans="28:28" x14ac:dyDescent="0.2">
      <c r="AB1190" s="660" t="str">
        <f>IFERROR(VALUE(RIGHT(AA1190,LEN(AA1190)-MIN(FIND({0;1;2;3;4;5;6;7;8;9},AA1190&amp;"0123456789"))+1)),"")</f>
        <v/>
      </c>
    </row>
    <row r="1191" spans="28:28" x14ac:dyDescent="0.2">
      <c r="AB1191" s="660" t="str">
        <f>IFERROR(VALUE(RIGHT(AA1191,LEN(AA1191)-MIN(FIND({0;1;2;3;4;5;6;7;8;9},AA1191&amp;"0123456789"))+1)),"")</f>
        <v/>
      </c>
    </row>
    <row r="1192" spans="28:28" x14ac:dyDescent="0.2">
      <c r="AB1192" s="660" t="str">
        <f>IFERROR(VALUE(RIGHT(AA1192,LEN(AA1192)-MIN(FIND({0;1;2;3;4;5;6;7;8;9},AA1192&amp;"0123456789"))+1)),"")</f>
        <v/>
      </c>
    </row>
    <row r="1193" spans="28:28" x14ac:dyDescent="0.2">
      <c r="AB1193" s="660" t="str">
        <f>IFERROR(VALUE(RIGHT(AA1193,LEN(AA1193)-MIN(FIND({0;1;2;3;4;5;6;7;8;9},AA1193&amp;"0123456789"))+1)),"")</f>
        <v/>
      </c>
    </row>
    <row r="1194" spans="28:28" x14ac:dyDescent="0.2">
      <c r="AB1194" s="660" t="str">
        <f>IFERROR(VALUE(RIGHT(AA1194,LEN(AA1194)-MIN(FIND({0;1;2;3;4;5;6;7;8;9},AA1194&amp;"0123456789"))+1)),"")</f>
        <v/>
      </c>
    </row>
    <row r="1195" spans="28:28" x14ac:dyDescent="0.2">
      <c r="AB1195" s="660" t="str">
        <f>IFERROR(VALUE(RIGHT(AA1195,LEN(AA1195)-MIN(FIND({0;1;2;3;4;5;6;7;8;9},AA1195&amp;"0123456789"))+1)),"")</f>
        <v/>
      </c>
    </row>
    <row r="1196" spans="28:28" x14ac:dyDescent="0.2">
      <c r="AB1196" s="660" t="str">
        <f>IFERROR(VALUE(RIGHT(AA1196,LEN(AA1196)-MIN(FIND({0;1;2;3;4;5;6;7;8;9},AA1196&amp;"0123456789"))+1)),"")</f>
        <v/>
      </c>
    </row>
    <row r="1197" spans="28:28" x14ac:dyDescent="0.2">
      <c r="AB1197" s="660" t="str">
        <f>IFERROR(VALUE(RIGHT(AA1197,LEN(AA1197)-MIN(FIND({0;1;2;3;4;5;6;7;8;9},AA1197&amp;"0123456789"))+1)),"")</f>
        <v/>
      </c>
    </row>
    <row r="1198" spans="28:28" x14ac:dyDescent="0.2">
      <c r="AB1198" s="660" t="str">
        <f>IFERROR(VALUE(RIGHT(AA1198,LEN(AA1198)-MIN(FIND({0;1;2;3;4;5;6;7;8;9},AA1198&amp;"0123456789"))+1)),"")</f>
        <v/>
      </c>
    </row>
    <row r="1199" spans="28:28" x14ac:dyDescent="0.2">
      <c r="AB1199" s="660" t="str">
        <f>IFERROR(VALUE(RIGHT(AA1199,LEN(AA1199)-MIN(FIND({0;1;2;3;4;5;6;7;8;9},AA1199&amp;"0123456789"))+1)),"")</f>
        <v/>
      </c>
    </row>
    <row r="1200" spans="28:28" x14ac:dyDescent="0.2">
      <c r="AB1200" s="660" t="str">
        <f>IFERROR(VALUE(RIGHT(AA1200,LEN(AA1200)-MIN(FIND({0;1;2;3;4;5;6;7;8;9},AA1200&amp;"0123456789"))+1)),"")</f>
        <v/>
      </c>
    </row>
    <row r="1201" spans="28:28" x14ac:dyDescent="0.2">
      <c r="AB1201" s="660" t="str">
        <f>IFERROR(VALUE(RIGHT(AA1201,LEN(AA1201)-MIN(FIND({0;1;2;3;4;5;6;7;8;9},AA1201&amp;"0123456789"))+1)),"")</f>
        <v/>
      </c>
    </row>
    <row r="1202" spans="28:28" x14ac:dyDescent="0.2">
      <c r="AB1202" s="660" t="str">
        <f>IFERROR(VALUE(RIGHT(AA1202,LEN(AA1202)-MIN(FIND({0;1;2;3;4;5;6;7;8;9},AA1202&amp;"0123456789"))+1)),"")</f>
        <v/>
      </c>
    </row>
    <row r="1203" spans="28:28" x14ac:dyDescent="0.2">
      <c r="AB1203" s="660" t="str">
        <f>IFERROR(VALUE(RIGHT(AA1203,LEN(AA1203)-MIN(FIND({0;1;2;3;4;5;6;7;8;9},AA1203&amp;"0123456789"))+1)),"")</f>
        <v/>
      </c>
    </row>
    <row r="1204" spans="28:28" x14ac:dyDescent="0.2">
      <c r="AB1204" s="660" t="str">
        <f>IFERROR(VALUE(RIGHT(AA1204,LEN(AA1204)-MIN(FIND({0;1;2;3;4;5;6;7;8;9},AA1204&amp;"0123456789"))+1)),"")</f>
        <v/>
      </c>
    </row>
    <row r="1205" spans="28:28" x14ac:dyDescent="0.2">
      <c r="AB1205" s="660" t="str">
        <f>IFERROR(VALUE(RIGHT(AA1205,LEN(AA1205)-MIN(FIND({0;1;2;3;4;5;6;7;8;9},AA1205&amp;"0123456789"))+1)),"")</f>
        <v/>
      </c>
    </row>
    <row r="1206" spans="28:28" x14ac:dyDescent="0.2">
      <c r="AB1206" s="660" t="str">
        <f>IFERROR(VALUE(RIGHT(AA1206,LEN(AA1206)-MIN(FIND({0;1;2;3;4;5;6;7;8;9},AA1206&amp;"0123456789"))+1)),"")</f>
        <v/>
      </c>
    </row>
    <row r="1207" spans="28:28" x14ac:dyDescent="0.2">
      <c r="AB1207" s="660" t="str">
        <f>IFERROR(VALUE(RIGHT(AA1207,LEN(AA1207)-MIN(FIND({0;1;2;3;4;5;6;7;8;9},AA1207&amp;"0123456789"))+1)),"")</f>
        <v/>
      </c>
    </row>
    <row r="1208" spans="28:28" x14ac:dyDescent="0.2">
      <c r="AB1208" s="660" t="str">
        <f>IFERROR(VALUE(RIGHT(AA1208,LEN(AA1208)-MIN(FIND({0;1;2;3;4;5;6;7;8;9},AA1208&amp;"0123456789"))+1)),"")</f>
        <v/>
      </c>
    </row>
    <row r="1209" spans="28:28" x14ac:dyDescent="0.2">
      <c r="AB1209" s="660" t="str">
        <f>IFERROR(VALUE(RIGHT(AA1209,LEN(AA1209)-MIN(FIND({0;1;2;3;4;5;6;7;8;9},AA1209&amp;"0123456789"))+1)),"")</f>
        <v/>
      </c>
    </row>
    <row r="1210" spans="28:28" x14ac:dyDescent="0.2">
      <c r="AB1210" s="660" t="str">
        <f>IFERROR(VALUE(RIGHT(AA1210,LEN(AA1210)-MIN(FIND({0;1;2;3;4;5;6;7;8;9},AA1210&amp;"0123456789"))+1)),"")</f>
        <v/>
      </c>
    </row>
    <row r="1211" spans="28:28" x14ac:dyDescent="0.2">
      <c r="AB1211" s="660" t="str">
        <f>IFERROR(VALUE(RIGHT(AA1211,LEN(AA1211)-MIN(FIND({0;1;2;3;4;5;6;7;8;9},AA1211&amp;"0123456789"))+1)),"")</f>
        <v/>
      </c>
    </row>
    <row r="1212" spans="28:28" x14ac:dyDescent="0.2">
      <c r="AB1212" s="660" t="str">
        <f>IFERROR(VALUE(RIGHT(AA1212,LEN(AA1212)-MIN(FIND({0;1;2;3;4;5;6;7;8;9},AA1212&amp;"0123456789"))+1)),"")</f>
        <v/>
      </c>
    </row>
    <row r="1213" spans="28:28" x14ac:dyDescent="0.2">
      <c r="AB1213" s="660" t="str">
        <f>IFERROR(VALUE(RIGHT(AA1213,LEN(AA1213)-MIN(FIND({0;1;2;3;4;5;6;7;8;9},AA1213&amp;"0123456789"))+1)),"")</f>
        <v/>
      </c>
    </row>
    <row r="1214" spans="28:28" x14ac:dyDescent="0.2">
      <c r="AB1214" s="660" t="str">
        <f>IFERROR(VALUE(RIGHT(AA1214,LEN(AA1214)-MIN(FIND({0;1;2;3;4;5;6;7;8;9},AA1214&amp;"0123456789"))+1)),"")</f>
        <v/>
      </c>
    </row>
    <row r="1215" spans="28:28" x14ac:dyDescent="0.2">
      <c r="AB1215" s="660" t="str">
        <f>IFERROR(VALUE(RIGHT(AA1215,LEN(AA1215)-MIN(FIND({0;1;2;3;4;5;6;7;8;9},AA1215&amp;"0123456789"))+1)),"")</f>
        <v/>
      </c>
    </row>
    <row r="1216" spans="28:28" x14ac:dyDescent="0.2">
      <c r="AB1216" s="660" t="str">
        <f>IFERROR(VALUE(RIGHT(AA1216,LEN(AA1216)-MIN(FIND({0;1;2;3;4;5;6;7;8;9},AA1216&amp;"0123456789"))+1)),"")</f>
        <v/>
      </c>
    </row>
    <row r="1217" spans="28:28" x14ac:dyDescent="0.2">
      <c r="AB1217" s="660" t="str">
        <f>IFERROR(VALUE(RIGHT(AA1217,LEN(AA1217)-MIN(FIND({0;1;2;3;4;5;6;7;8;9},AA1217&amp;"0123456789"))+1)),"")</f>
        <v/>
      </c>
    </row>
    <row r="1218" spans="28:28" x14ac:dyDescent="0.2">
      <c r="AB1218" s="660" t="str">
        <f>IFERROR(VALUE(RIGHT(AA1218,LEN(AA1218)-MIN(FIND({0;1;2;3;4;5;6;7;8;9},AA1218&amp;"0123456789"))+1)),"")</f>
        <v/>
      </c>
    </row>
    <row r="1219" spans="28:28" x14ac:dyDescent="0.2">
      <c r="AB1219" s="660" t="str">
        <f>IFERROR(VALUE(RIGHT(AA1219,LEN(AA1219)-MIN(FIND({0;1;2;3;4;5;6;7;8;9},AA1219&amp;"0123456789"))+1)),"")</f>
        <v/>
      </c>
    </row>
    <row r="1220" spans="28:28" x14ac:dyDescent="0.2">
      <c r="AB1220" s="660" t="str">
        <f>IFERROR(VALUE(RIGHT(AA1220,LEN(AA1220)-MIN(FIND({0;1;2;3;4;5;6;7;8;9},AA1220&amp;"0123456789"))+1)),"")</f>
        <v/>
      </c>
    </row>
    <row r="1221" spans="28:28" x14ac:dyDescent="0.2">
      <c r="AB1221" s="660" t="str">
        <f>IFERROR(VALUE(RIGHT(AA1221,LEN(AA1221)-MIN(FIND({0;1;2;3;4;5;6;7;8;9},AA1221&amp;"0123456789"))+1)),"")</f>
        <v/>
      </c>
    </row>
    <row r="1222" spans="28:28" x14ac:dyDescent="0.2">
      <c r="AB1222" s="660" t="str">
        <f>IFERROR(VALUE(RIGHT(AA1222,LEN(AA1222)-MIN(FIND({0;1;2;3;4;5;6;7;8;9},AA1222&amp;"0123456789"))+1)),"")</f>
        <v/>
      </c>
    </row>
    <row r="1223" spans="28:28" x14ac:dyDescent="0.2">
      <c r="AB1223" s="660" t="str">
        <f>IFERROR(VALUE(RIGHT(AA1223,LEN(AA1223)-MIN(FIND({0;1;2;3;4;5;6;7;8;9},AA1223&amp;"0123456789"))+1)),"")</f>
        <v/>
      </c>
    </row>
    <row r="1224" spans="28:28" x14ac:dyDescent="0.2">
      <c r="AB1224" s="660" t="str">
        <f>IFERROR(VALUE(RIGHT(AA1224,LEN(AA1224)-MIN(FIND({0;1;2;3;4;5;6;7;8;9},AA1224&amp;"0123456789"))+1)),"")</f>
        <v/>
      </c>
    </row>
    <row r="1225" spans="28:28" x14ac:dyDescent="0.2">
      <c r="AB1225" s="660" t="str">
        <f>IFERROR(VALUE(RIGHT(AA1225,LEN(AA1225)-MIN(FIND({0;1;2;3;4;5;6;7;8;9},AA1225&amp;"0123456789"))+1)),"")</f>
        <v/>
      </c>
    </row>
    <row r="1226" spans="28:28" x14ac:dyDescent="0.2">
      <c r="AB1226" s="660" t="str">
        <f>IFERROR(VALUE(RIGHT(AA1226,LEN(AA1226)-MIN(FIND({0;1;2;3;4;5;6;7;8;9},AA1226&amp;"0123456789"))+1)),"")</f>
        <v/>
      </c>
    </row>
    <row r="1227" spans="28:28" x14ac:dyDescent="0.2">
      <c r="AB1227" s="660" t="str">
        <f>IFERROR(VALUE(RIGHT(AA1227,LEN(AA1227)-MIN(FIND({0;1;2;3;4;5;6;7;8;9},AA1227&amp;"0123456789"))+1)),"")</f>
        <v/>
      </c>
    </row>
    <row r="1228" spans="28:28" x14ac:dyDescent="0.2">
      <c r="AB1228" s="660" t="str">
        <f>IFERROR(VALUE(RIGHT(AA1228,LEN(AA1228)-MIN(FIND({0;1;2;3;4;5;6;7;8;9},AA1228&amp;"0123456789"))+1)),"")</f>
        <v/>
      </c>
    </row>
    <row r="1229" spans="28:28" x14ac:dyDescent="0.2">
      <c r="AB1229" s="660" t="str">
        <f>IFERROR(VALUE(RIGHT(AA1229,LEN(AA1229)-MIN(FIND({0;1;2;3;4;5;6;7;8;9},AA1229&amp;"0123456789"))+1)),"")</f>
        <v/>
      </c>
    </row>
    <row r="1230" spans="28:28" x14ac:dyDescent="0.2">
      <c r="AB1230" s="660" t="str">
        <f>IFERROR(VALUE(RIGHT(AA1230,LEN(AA1230)-MIN(FIND({0;1;2;3;4;5;6;7;8;9},AA1230&amp;"0123456789"))+1)),"")</f>
        <v/>
      </c>
    </row>
    <row r="1231" spans="28:28" x14ac:dyDescent="0.2">
      <c r="AB1231" s="660" t="str">
        <f>IFERROR(VALUE(RIGHT(AA1231,LEN(AA1231)-MIN(FIND({0;1;2;3;4;5;6;7;8;9},AA1231&amp;"0123456789"))+1)),"")</f>
        <v/>
      </c>
    </row>
    <row r="1232" spans="28:28" x14ac:dyDescent="0.2">
      <c r="AB1232" s="660" t="str">
        <f>IFERROR(VALUE(RIGHT(AA1232,LEN(AA1232)-MIN(FIND({0;1;2;3;4;5;6;7;8;9},AA1232&amp;"0123456789"))+1)),"")</f>
        <v/>
      </c>
    </row>
    <row r="1233" spans="28:28" x14ac:dyDescent="0.2">
      <c r="AB1233" s="660" t="str">
        <f>IFERROR(VALUE(RIGHT(AA1233,LEN(AA1233)-MIN(FIND({0;1;2;3;4;5;6;7;8;9},AA1233&amp;"0123456789"))+1)),"")</f>
        <v/>
      </c>
    </row>
    <row r="1234" spans="28:28" x14ac:dyDescent="0.2">
      <c r="AB1234" s="660" t="str">
        <f>IFERROR(VALUE(RIGHT(AA1234,LEN(AA1234)-MIN(FIND({0;1;2;3;4;5;6;7;8;9},AA1234&amp;"0123456789"))+1)),"")</f>
        <v/>
      </c>
    </row>
    <row r="1235" spans="28:28" x14ac:dyDescent="0.2">
      <c r="AB1235" s="660" t="str">
        <f>IFERROR(VALUE(RIGHT(AA1235,LEN(AA1235)-MIN(FIND({0;1;2;3;4;5;6;7;8;9},AA1235&amp;"0123456789"))+1)),"")</f>
        <v/>
      </c>
    </row>
    <row r="1236" spans="28:28" x14ac:dyDescent="0.2">
      <c r="AB1236" s="660" t="str">
        <f>IFERROR(VALUE(RIGHT(AA1236,LEN(AA1236)-MIN(FIND({0;1;2;3;4;5;6;7;8;9},AA1236&amp;"0123456789"))+1)),"")</f>
        <v/>
      </c>
    </row>
    <row r="1237" spans="28:28" x14ac:dyDescent="0.2">
      <c r="AB1237" s="660" t="str">
        <f>IFERROR(VALUE(RIGHT(AA1237,LEN(AA1237)-MIN(FIND({0;1;2;3;4;5;6;7;8;9},AA1237&amp;"0123456789"))+1)),"")</f>
        <v/>
      </c>
    </row>
    <row r="1238" spans="28:28" x14ac:dyDescent="0.2">
      <c r="AB1238" s="660" t="str">
        <f>IFERROR(VALUE(RIGHT(AA1238,LEN(AA1238)-MIN(FIND({0;1;2;3;4;5;6;7;8;9},AA1238&amp;"0123456789"))+1)),"")</f>
        <v/>
      </c>
    </row>
    <row r="1239" spans="28:28" x14ac:dyDescent="0.2">
      <c r="AB1239" s="660" t="str">
        <f>IFERROR(VALUE(RIGHT(AA1239,LEN(AA1239)-MIN(FIND({0;1;2;3;4;5;6;7;8;9},AA1239&amp;"0123456789"))+1)),"")</f>
        <v/>
      </c>
    </row>
    <row r="1240" spans="28:28" x14ac:dyDescent="0.2">
      <c r="AB1240" s="660" t="str">
        <f>IFERROR(VALUE(RIGHT(AA1240,LEN(AA1240)-MIN(FIND({0;1;2;3;4;5;6;7;8;9},AA1240&amp;"0123456789"))+1)),"")</f>
        <v/>
      </c>
    </row>
    <row r="1241" spans="28:28" x14ac:dyDescent="0.2">
      <c r="AB1241" s="660" t="str">
        <f>IFERROR(VALUE(RIGHT(AA1241,LEN(AA1241)-MIN(FIND({0;1;2;3;4;5;6;7;8;9},AA1241&amp;"0123456789"))+1)),"")</f>
        <v/>
      </c>
    </row>
    <row r="1242" spans="28:28" x14ac:dyDescent="0.2">
      <c r="AB1242" s="660" t="str">
        <f>IFERROR(VALUE(RIGHT(AA1242,LEN(AA1242)-MIN(FIND({0;1;2;3;4;5;6;7;8;9},AA1242&amp;"0123456789"))+1)),"")</f>
        <v/>
      </c>
    </row>
    <row r="1243" spans="28:28" x14ac:dyDescent="0.2">
      <c r="AB1243" s="660" t="str">
        <f>IFERROR(VALUE(RIGHT(AA1243,LEN(AA1243)-MIN(FIND({0;1;2;3;4;5;6;7;8;9},AA1243&amp;"0123456789"))+1)),"")</f>
        <v/>
      </c>
    </row>
    <row r="1244" spans="28:28" x14ac:dyDescent="0.2">
      <c r="AB1244" s="660" t="str">
        <f>IFERROR(VALUE(RIGHT(AA1244,LEN(AA1244)-MIN(FIND({0;1;2;3;4;5;6;7;8;9},AA1244&amp;"0123456789"))+1)),"")</f>
        <v/>
      </c>
    </row>
    <row r="1245" spans="28:28" x14ac:dyDescent="0.2">
      <c r="AB1245" s="660" t="str">
        <f>IFERROR(VALUE(RIGHT(AA1245,LEN(AA1245)-MIN(FIND({0;1;2;3;4;5;6;7;8;9},AA1245&amp;"0123456789"))+1)),"")</f>
        <v/>
      </c>
    </row>
    <row r="1246" spans="28:28" x14ac:dyDescent="0.2">
      <c r="AB1246" s="660" t="str">
        <f>IFERROR(VALUE(RIGHT(AA1246,LEN(AA1246)-MIN(FIND({0;1;2;3;4;5;6;7;8;9},AA1246&amp;"0123456789"))+1)),"")</f>
        <v/>
      </c>
    </row>
    <row r="1247" spans="28:28" x14ac:dyDescent="0.2">
      <c r="AB1247" s="660" t="str">
        <f>IFERROR(VALUE(RIGHT(AA1247,LEN(AA1247)-MIN(FIND({0;1;2;3;4;5;6;7;8;9},AA1247&amp;"0123456789"))+1)),"")</f>
        <v/>
      </c>
    </row>
    <row r="1248" spans="28:28" x14ac:dyDescent="0.2">
      <c r="AB1248" s="660" t="str">
        <f>IFERROR(VALUE(RIGHT(AA1248,LEN(AA1248)-MIN(FIND({0;1;2;3;4;5;6;7;8;9},AA1248&amp;"0123456789"))+1)),"")</f>
        <v/>
      </c>
    </row>
    <row r="1249" spans="28:28" x14ac:dyDescent="0.2">
      <c r="AB1249" s="660" t="str">
        <f>IFERROR(VALUE(RIGHT(AA1249,LEN(AA1249)-MIN(FIND({0;1;2;3;4;5;6;7;8;9},AA1249&amp;"0123456789"))+1)),"")</f>
        <v/>
      </c>
    </row>
    <row r="1250" spans="28:28" x14ac:dyDescent="0.2">
      <c r="AB1250" s="660" t="str">
        <f>IFERROR(VALUE(RIGHT(AA1250,LEN(AA1250)-MIN(FIND({0;1;2;3;4;5;6;7;8;9},AA1250&amp;"0123456789"))+1)),"")</f>
        <v/>
      </c>
    </row>
    <row r="1251" spans="28:28" x14ac:dyDescent="0.2">
      <c r="AB1251" s="660" t="str">
        <f>IFERROR(VALUE(RIGHT(AA1251,LEN(AA1251)-MIN(FIND({0;1;2;3;4;5;6;7;8;9},AA1251&amp;"0123456789"))+1)),"")</f>
        <v/>
      </c>
    </row>
    <row r="1252" spans="28:28" x14ac:dyDescent="0.2">
      <c r="AB1252" s="660" t="str">
        <f>IFERROR(VALUE(RIGHT(AA1252,LEN(AA1252)-MIN(FIND({0;1;2;3;4;5;6;7;8;9},AA1252&amp;"0123456789"))+1)),"")</f>
        <v/>
      </c>
    </row>
    <row r="1253" spans="28:28" x14ac:dyDescent="0.2">
      <c r="AB1253" s="660" t="str">
        <f>IFERROR(VALUE(RIGHT(AA1253,LEN(AA1253)-MIN(FIND({0;1;2;3;4;5;6;7;8;9},AA1253&amp;"0123456789"))+1)),"")</f>
        <v/>
      </c>
    </row>
    <row r="1254" spans="28:28" x14ac:dyDescent="0.2">
      <c r="AB1254" s="660" t="str">
        <f>IFERROR(VALUE(RIGHT(AA1254,LEN(AA1254)-MIN(FIND({0;1;2;3;4;5;6;7;8;9},AA1254&amp;"0123456789"))+1)),"")</f>
        <v/>
      </c>
    </row>
    <row r="1255" spans="28:28" x14ac:dyDescent="0.2">
      <c r="AB1255" s="660" t="str">
        <f>IFERROR(VALUE(RIGHT(AA1255,LEN(AA1255)-MIN(FIND({0;1;2;3;4;5;6;7;8;9},AA1255&amp;"0123456789"))+1)),"")</f>
        <v/>
      </c>
    </row>
    <row r="1256" spans="28:28" x14ac:dyDescent="0.2">
      <c r="AB1256" s="660" t="str">
        <f>IFERROR(VALUE(RIGHT(AA1256,LEN(AA1256)-MIN(FIND({0;1;2;3;4;5;6;7;8;9},AA1256&amp;"0123456789"))+1)),"")</f>
        <v/>
      </c>
    </row>
    <row r="1257" spans="28:28" x14ac:dyDescent="0.2">
      <c r="AB1257" s="660" t="str">
        <f>IFERROR(VALUE(RIGHT(AA1257,LEN(AA1257)-MIN(FIND({0;1;2;3;4;5;6;7;8;9},AA1257&amp;"0123456789"))+1)),"")</f>
        <v/>
      </c>
    </row>
    <row r="1258" spans="28:28" x14ac:dyDescent="0.2">
      <c r="AB1258" s="660" t="str">
        <f>IFERROR(VALUE(RIGHT(AA1258,LEN(AA1258)-MIN(FIND({0;1;2;3;4;5;6;7;8;9},AA1258&amp;"0123456789"))+1)),"")</f>
        <v/>
      </c>
    </row>
    <row r="1259" spans="28:28" x14ac:dyDescent="0.2">
      <c r="AB1259" s="660" t="str">
        <f>IFERROR(VALUE(RIGHT(AA1259,LEN(AA1259)-MIN(FIND({0;1;2;3;4;5;6;7;8;9},AA1259&amp;"0123456789"))+1)),"")</f>
        <v/>
      </c>
    </row>
    <row r="1260" spans="28:28" x14ac:dyDescent="0.2">
      <c r="AB1260" s="660" t="str">
        <f>IFERROR(VALUE(RIGHT(AA1260,LEN(AA1260)-MIN(FIND({0;1;2;3;4;5;6;7;8;9},AA1260&amp;"0123456789"))+1)),"")</f>
        <v/>
      </c>
    </row>
    <row r="1261" spans="28:28" x14ac:dyDescent="0.2">
      <c r="AB1261" s="660" t="str">
        <f>IFERROR(VALUE(RIGHT(AA1261,LEN(AA1261)-MIN(FIND({0;1;2;3;4;5;6;7;8;9},AA1261&amp;"0123456789"))+1)),"")</f>
        <v/>
      </c>
    </row>
    <row r="1262" spans="28:28" x14ac:dyDescent="0.2">
      <c r="AB1262" s="660" t="str">
        <f>IFERROR(VALUE(RIGHT(AA1262,LEN(AA1262)-MIN(FIND({0;1;2;3;4;5;6;7;8;9},AA1262&amp;"0123456789"))+1)),"")</f>
        <v/>
      </c>
    </row>
    <row r="1263" spans="28:28" x14ac:dyDescent="0.2">
      <c r="AB1263" s="660" t="str">
        <f>IFERROR(VALUE(RIGHT(AA1263,LEN(AA1263)-MIN(FIND({0;1;2;3;4;5;6;7;8;9},AA1263&amp;"0123456789"))+1)),"")</f>
        <v/>
      </c>
    </row>
    <row r="1264" spans="28:28" x14ac:dyDescent="0.2">
      <c r="AB1264" s="660" t="str">
        <f>IFERROR(VALUE(RIGHT(AA1264,LEN(AA1264)-MIN(FIND({0;1;2;3;4;5;6;7;8;9},AA1264&amp;"0123456789"))+1)),"")</f>
        <v/>
      </c>
    </row>
    <row r="1265" spans="28:28" x14ac:dyDescent="0.2">
      <c r="AB1265" s="660" t="str">
        <f>IFERROR(VALUE(RIGHT(AA1265,LEN(AA1265)-MIN(FIND({0;1;2;3;4;5;6;7;8;9},AA1265&amp;"0123456789"))+1)),"")</f>
        <v/>
      </c>
    </row>
    <row r="1266" spans="28:28" x14ac:dyDescent="0.2">
      <c r="AB1266" s="660" t="str">
        <f>IFERROR(VALUE(RIGHT(AA1266,LEN(AA1266)-MIN(FIND({0;1;2;3;4;5;6;7;8;9},AA1266&amp;"0123456789"))+1)),"")</f>
        <v/>
      </c>
    </row>
    <row r="1267" spans="28:28" x14ac:dyDescent="0.2">
      <c r="AB1267" s="660" t="str">
        <f>IFERROR(VALUE(RIGHT(AA1267,LEN(AA1267)-MIN(FIND({0;1;2;3;4;5;6;7;8;9},AA1267&amp;"0123456789"))+1)),"")</f>
        <v/>
      </c>
    </row>
    <row r="1268" spans="28:28" x14ac:dyDescent="0.2">
      <c r="AB1268" s="660" t="str">
        <f>IFERROR(VALUE(RIGHT(AA1268,LEN(AA1268)-MIN(FIND({0;1;2;3;4;5;6;7;8;9},AA1268&amp;"0123456789"))+1)),"")</f>
        <v/>
      </c>
    </row>
    <row r="1269" spans="28:28" x14ac:dyDescent="0.2">
      <c r="AB1269" s="660" t="str">
        <f>IFERROR(VALUE(RIGHT(AA1269,LEN(AA1269)-MIN(FIND({0;1;2;3;4;5;6;7;8;9},AA1269&amp;"0123456789"))+1)),"")</f>
        <v/>
      </c>
    </row>
    <row r="1270" spans="28:28" x14ac:dyDescent="0.2">
      <c r="AB1270" s="660" t="str">
        <f>IFERROR(VALUE(RIGHT(AA1270,LEN(AA1270)-MIN(FIND({0;1;2;3;4;5;6;7;8;9},AA1270&amp;"0123456789"))+1)),"")</f>
        <v/>
      </c>
    </row>
    <row r="1271" spans="28:28" x14ac:dyDescent="0.2">
      <c r="AB1271" s="660" t="str">
        <f>IFERROR(VALUE(RIGHT(AA1271,LEN(AA1271)-MIN(FIND({0;1;2;3;4;5;6;7;8;9},AA1271&amp;"0123456789"))+1)),"")</f>
        <v/>
      </c>
    </row>
    <row r="1272" spans="28:28" x14ac:dyDescent="0.2">
      <c r="AB1272" s="660" t="str">
        <f>IFERROR(VALUE(RIGHT(AA1272,LEN(AA1272)-MIN(FIND({0;1;2;3;4;5;6;7;8;9},AA1272&amp;"0123456789"))+1)),"")</f>
        <v/>
      </c>
    </row>
    <row r="1273" spans="28:28" x14ac:dyDescent="0.2">
      <c r="AB1273" s="660" t="str">
        <f>IFERROR(VALUE(RIGHT(AA1273,LEN(AA1273)-MIN(FIND({0;1;2;3;4;5;6;7;8;9},AA1273&amp;"0123456789"))+1)),"")</f>
        <v/>
      </c>
    </row>
    <row r="1274" spans="28:28" x14ac:dyDescent="0.2">
      <c r="AB1274" s="660" t="str">
        <f>IFERROR(VALUE(RIGHT(AA1274,LEN(AA1274)-MIN(FIND({0;1;2;3;4;5;6;7;8;9},AA1274&amp;"0123456789"))+1)),"")</f>
        <v/>
      </c>
    </row>
    <row r="1275" spans="28:28" x14ac:dyDescent="0.2">
      <c r="AB1275" s="660" t="str">
        <f>IFERROR(VALUE(RIGHT(AA1275,LEN(AA1275)-MIN(FIND({0;1;2;3;4;5;6;7;8;9},AA1275&amp;"0123456789"))+1)),"")</f>
        <v/>
      </c>
    </row>
    <row r="1276" spans="28:28" x14ac:dyDescent="0.2">
      <c r="AB1276" s="660" t="str">
        <f>IFERROR(VALUE(RIGHT(AA1276,LEN(AA1276)-MIN(FIND({0;1;2;3;4;5;6;7;8;9},AA1276&amp;"0123456789"))+1)),"")</f>
        <v/>
      </c>
    </row>
    <row r="1277" spans="28:28" x14ac:dyDescent="0.2">
      <c r="AB1277" s="660" t="str">
        <f>IFERROR(VALUE(RIGHT(AA1277,LEN(AA1277)-MIN(FIND({0;1;2;3;4;5;6;7;8;9},AA1277&amp;"0123456789"))+1)),"")</f>
        <v/>
      </c>
    </row>
    <row r="1278" spans="28:28" x14ac:dyDescent="0.2">
      <c r="AB1278" s="660" t="str">
        <f>IFERROR(VALUE(RIGHT(AA1278,LEN(AA1278)-MIN(FIND({0;1;2;3;4;5;6;7;8;9},AA1278&amp;"0123456789"))+1)),"")</f>
        <v/>
      </c>
    </row>
    <row r="1279" spans="28:28" x14ac:dyDescent="0.2">
      <c r="AB1279" s="660" t="str">
        <f>IFERROR(VALUE(RIGHT(AA1279,LEN(AA1279)-MIN(FIND({0;1;2;3;4;5;6;7;8;9},AA1279&amp;"0123456789"))+1)),"")</f>
        <v/>
      </c>
    </row>
    <row r="1280" spans="28:28" x14ac:dyDescent="0.2">
      <c r="AB1280" s="660" t="str">
        <f>IFERROR(VALUE(RIGHT(AA1280,LEN(AA1280)-MIN(FIND({0;1;2;3;4;5;6;7;8;9},AA1280&amp;"0123456789"))+1)),"")</f>
        <v/>
      </c>
    </row>
    <row r="1281" spans="28:28" x14ac:dyDescent="0.2">
      <c r="AB1281" s="660" t="str">
        <f>IFERROR(VALUE(RIGHT(AA1281,LEN(AA1281)-MIN(FIND({0;1;2;3;4;5;6;7;8;9},AA1281&amp;"0123456789"))+1)),"")</f>
        <v/>
      </c>
    </row>
    <row r="1282" spans="28:28" x14ac:dyDescent="0.2">
      <c r="AB1282" s="660" t="str">
        <f>IFERROR(VALUE(RIGHT(AA1282,LEN(AA1282)-MIN(FIND({0;1;2;3;4;5;6;7;8;9},AA1282&amp;"0123456789"))+1)),"")</f>
        <v/>
      </c>
    </row>
    <row r="1283" spans="28:28" x14ac:dyDescent="0.2">
      <c r="AB1283" s="660" t="str">
        <f>IFERROR(VALUE(RIGHT(AA1283,LEN(AA1283)-MIN(FIND({0;1;2;3;4;5;6;7;8;9},AA1283&amp;"0123456789"))+1)),"")</f>
        <v/>
      </c>
    </row>
    <row r="1284" spans="28:28" x14ac:dyDescent="0.2">
      <c r="AB1284" s="660" t="str">
        <f>IFERROR(VALUE(RIGHT(AA1284,LEN(AA1284)-MIN(FIND({0;1;2;3;4;5;6;7;8;9},AA1284&amp;"0123456789"))+1)),"")</f>
        <v/>
      </c>
    </row>
    <row r="1285" spans="28:28" x14ac:dyDescent="0.2">
      <c r="AB1285" s="660" t="str">
        <f>IFERROR(VALUE(RIGHT(AA1285,LEN(AA1285)-MIN(FIND({0;1;2;3;4;5;6;7;8;9},AA1285&amp;"0123456789"))+1)),"")</f>
        <v/>
      </c>
    </row>
    <row r="1286" spans="28:28" x14ac:dyDescent="0.2">
      <c r="AB1286" s="660" t="str">
        <f>IFERROR(VALUE(RIGHT(AA1286,LEN(AA1286)-MIN(FIND({0;1;2;3;4;5;6;7;8;9},AA1286&amp;"0123456789"))+1)),"")</f>
        <v/>
      </c>
    </row>
    <row r="1287" spans="28:28" x14ac:dyDescent="0.2">
      <c r="AB1287" s="660" t="str">
        <f>IFERROR(VALUE(RIGHT(AA1287,LEN(AA1287)-MIN(FIND({0;1;2;3;4;5;6;7;8;9},AA1287&amp;"0123456789"))+1)),"")</f>
        <v/>
      </c>
    </row>
    <row r="1288" spans="28:28" x14ac:dyDescent="0.2">
      <c r="AB1288" s="660" t="str">
        <f>IFERROR(VALUE(RIGHT(AA1288,LEN(AA1288)-MIN(FIND({0;1;2;3;4;5;6;7;8;9},AA1288&amp;"0123456789"))+1)),"")</f>
        <v/>
      </c>
    </row>
    <row r="1289" spans="28:28" x14ac:dyDescent="0.2">
      <c r="AB1289" s="660" t="str">
        <f>IFERROR(VALUE(RIGHT(AA1289,LEN(AA1289)-MIN(FIND({0;1;2;3;4;5;6;7;8;9},AA1289&amp;"0123456789"))+1)),"")</f>
        <v/>
      </c>
    </row>
    <row r="1290" spans="28:28" x14ac:dyDescent="0.2">
      <c r="AB1290" s="660" t="str">
        <f>IFERROR(VALUE(RIGHT(AA1290,LEN(AA1290)-MIN(FIND({0;1;2;3;4;5;6;7;8;9},AA1290&amp;"0123456789"))+1)),"")</f>
        <v/>
      </c>
    </row>
    <row r="1291" spans="28:28" x14ac:dyDescent="0.2">
      <c r="AB1291" s="660" t="str">
        <f>IFERROR(VALUE(RIGHT(AA1291,LEN(AA1291)-MIN(FIND({0;1;2;3;4;5;6;7;8;9},AA1291&amp;"0123456789"))+1)),"")</f>
        <v/>
      </c>
    </row>
    <row r="1292" spans="28:28" x14ac:dyDescent="0.2">
      <c r="AB1292" s="660" t="str">
        <f>IFERROR(VALUE(RIGHT(AA1292,LEN(AA1292)-MIN(FIND({0;1;2;3;4;5;6;7;8;9},AA1292&amp;"0123456789"))+1)),"")</f>
        <v/>
      </c>
    </row>
    <row r="1293" spans="28:28" x14ac:dyDescent="0.2">
      <c r="AB1293" s="660" t="str">
        <f>IFERROR(VALUE(RIGHT(AA1293,LEN(AA1293)-MIN(FIND({0;1;2;3;4;5;6;7;8;9},AA1293&amp;"0123456789"))+1)),"")</f>
        <v/>
      </c>
    </row>
    <row r="1294" spans="28:28" x14ac:dyDescent="0.2">
      <c r="AB1294" s="660" t="str">
        <f>IFERROR(VALUE(RIGHT(AA1294,LEN(AA1294)-MIN(FIND({0;1;2;3;4;5;6;7;8;9},AA1294&amp;"0123456789"))+1)),"")</f>
        <v/>
      </c>
    </row>
    <row r="1295" spans="28:28" x14ac:dyDescent="0.2">
      <c r="AB1295" s="660" t="str">
        <f>IFERROR(VALUE(RIGHT(AA1295,LEN(AA1295)-MIN(FIND({0;1;2;3;4;5;6;7;8;9},AA1295&amp;"0123456789"))+1)),"")</f>
        <v/>
      </c>
    </row>
    <row r="1296" spans="28:28" x14ac:dyDescent="0.2">
      <c r="AB1296" s="660" t="str">
        <f>IFERROR(VALUE(RIGHT(AA1296,LEN(AA1296)-MIN(FIND({0;1;2;3;4;5;6;7;8;9},AA1296&amp;"0123456789"))+1)),"")</f>
        <v/>
      </c>
    </row>
    <row r="1297" spans="28:28" x14ac:dyDescent="0.2">
      <c r="AB1297" s="660" t="str">
        <f>IFERROR(VALUE(RIGHT(AA1297,LEN(AA1297)-MIN(FIND({0;1;2;3;4;5;6;7;8;9},AA1297&amp;"0123456789"))+1)),"")</f>
        <v/>
      </c>
    </row>
    <row r="1298" spans="28:28" x14ac:dyDescent="0.2">
      <c r="AB1298" s="660" t="str">
        <f>IFERROR(VALUE(RIGHT(AA1298,LEN(AA1298)-MIN(FIND({0;1;2;3;4;5;6;7;8;9},AA1298&amp;"0123456789"))+1)),"")</f>
        <v/>
      </c>
    </row>
    <row r="1299" spans="28:28" x14ac:dyDescent="0.2">
      <c r="AB1299" s="660" t="str">
        <f>IFERROR(VALUE(RIGHT(AA1299,LEN(AA1299)-MIN(FIND({0;1;2;3;4;5;6;7;8;9},AA1299&amp;"0123456789"))+1)),"")</f>
        <v/>
      </c>
    </row>
    <row r="1300" spans="28:28" x14ac:dyDescent="0.2">
      <c r="AB1300" s="660" t="str">
        <f>IFERROR(VALUE(RIGHT(AA1300,LEN(AA1300)-MIN(FIND({0;1;2;3;4;5;6;7;8;9},AA1300&amp;"0123456789"))+1)),"")</f>
        <v/>
      </c>
    </row>
    <row r="1301" spans="28:28" x14ac:dyDescent="0.2">
      <c r="AB1301" s="660" t="str">
        <f>IFERROR(VALUE(RIGHT(AA1301,LEN(AA1301)-MIN(FIND({0;1;2;3;4;5;6;7;8;9},AA1301&amp;"0123456789"))+1)),"")</f>
        <v/>
      </c>
    </row>
    <row r="1302" spans="28:28" x14ac:dyDescent="0.2">
      <c r="AB1302" s="660" t="str">
        <f>IFERROR(VALUE(RIGHT(AA1302,LEN(AA1302)-MIN(FIND({0;1;2;3;4;5;6;7;8;9},AA1302&amp;"0123456789"))+1)),"")</f>
        <v/>
      </c>
    </row>
    <row r="1303" spans="28:28" x14ac:dyDescent="0.2">
      <c r="AB1303" s="660" t="str">
        <f>IFERROR(VALUE(RIGHT(AA1303,LEN(AA1303)-MIN(FIND({0;1;2;3;4;5;6;7;8;9},AA1303&amp;"0123456789"))+1)),"")</f>
        <v/>
      </c>
    </row>
    <row r="1304" spans="28:28" x14ac:dyDescent="0.2">
      <c r="AB1304" s="660" t="str">
        <f>IFERROR(VALUE(RIGHT(AA1304,LEN(AA1304)-MIN(FIND({0;1;2;3;4;5;6;7;8;9},AA1304&amp;"0123456789"))+1)),"")</f>
        <v/>
      </c>
    </row>
    <row r="1305" spans="28:28" x14ac:dyDescent="0.2">
      <c r="AB1305" s="660" t="str">
        <f>IFERROR(VALUE(RIGHT(AA1305,LEN(AA1305)-MIN(FIND({0;1;2;3;4;5;6;7;8;9},AA1305&amp;"0123456789"))+1)),"")</f>
        <v/>
      </c>
    </row>
    <row r="1306" spans="28:28" x14ac:dyDescent="0.2">
      <c r="AB1306" s="660" t="str">
        <f>IFERROR(VALUE(RIGHT(AA1306,LEN(AA1306)-MIN(FIND({0;1;2;3;4;5;6;7;8;9},AA1306&amp;"0123456789"))+1)),"")</f>
        <v/>
      </c>
    </row>
    <row r="1307" spans="28:28" x14ac:dyDescent="0.2">
      <c r="AB1307" s="660" t="str">
        <f>IFERROR(VALUE(RIGHT(AA1307,LEN(AA1307)-MIN(FIND({0;1;2;3;4;5;6;7;8;9},AA1307&amp;"0123456789"))+1)),"")</f>
        <v/>
      </c>
    </row>
    <row r="1308" spans="28:28" x14ac:dyDescent="0.2">
      <c r="AB1308" s="660" t="str">
        <f>IFERROR(VALUE(RIGHT(AA1308,LEN(AA1308)-MIN(FIND({0;1;2;3;4;5;6;7;8;9},AA1308&amp;"0123456789"))+1)),"")</f>
        <v/>
      </c>
    </row>
    <row r="1309" spans="28:28" x14ac:dyDescent="0.2">
      <c r="AB1309" s="660" t="str">
        <f>IFERROR(VALUE(RIGHT(AA1309,LEN(AA1309)-MIN(FIND({0;1;2;3;4;5;6;7;8;9},AA1309&amp;"0123456789"))+1)),"")</f>
        <v/>
      </c>
    </row>
    <row r="1310" spans="28:28" x14ac:dyDescent="0.2">
      <c r="AB1310" s="660" t="str">
        <f>IFERROR(VALUE(RIGHT(AA1310,LEN(AA1310)-MIN(FIND({0;1;2;3;4;5;6;7;8;9},AA1310&amp;"0123456789"))+1)),"")</f>
        <v/>
      </c>
    </row>
    <row r="1311" spans="28:28" x14ac:dyDescent="0.2">
      <c r="AB1311" s="660" t="str">
        <f>IFERROR(VALUE(RIGHT(AA1311,LEN(AA1311)-MIN(FIND({0;1;2;3;4;5;6;7;8;9},AA1311&amp;"0123456789"))+1)),"")</f>
        <v/>
      </c>
    </row>
    <row r="1312" spans="28:28" x14ac:dyDescent="0.2">
      <c r="AB1312" s="660" t="str">
        <f>IFERROR(VALUE(RIGHT(AA1312,LEN(AA1312)-MIN(FIND({0;1;2;3;4;5;6;7;8;9},AA1312&amp;"0123456789"))+1)),"")</f>
        <v/>
      </c>
    </row>
    <row r="1313" spans="28:28" x14ac:dyDescent="0.2">
      <c r="AB1313" s="660" t="str">
        <f>IFERROR(VALUE(RIGHT(AA1313,LEN(AA1313)-MIN(FIND({0;1;2;3;4;5;6;7;8;9},AA1313&amp;"0123456789"))+1)),"")</f>
        <v/>
      </c>
    </row>
    <row r="1314" spans="28:28" x14ac:dyDescent="0.2">
      <c r="AB1314" s="660" t="str">
        <f>IFERROR(VALUE(RIGHT(AA1314,LEN(AA1314)-MIN(FIND({0;1;2;3;4;5;6;7;8;9},AA1314&amp;"0123456789"))+1)),"")</f>
        <v/>
      </c>
    </row>
    <row r="1315" spans="28:28" x14ac:dyDescent="0.2">
      <c r="AB1315" s="660" t="str">
        <f>IFERROR(VALUE(RIGHT(AA1315,LEN(AA1315)-MIN(FIND({0;1;2;3;4;5;6;7;8;9},AA1315&amp;"0123456789"))+1)),"")</f>
        <v/>
      </c>
    </row>
    <row r="1316" spans="28:28" x14ac:dyDescent="0.2">
      <c r="AB1316" s="660" t="str">
        <f>IFERROR(VALUE(RIGHT(AA1316,LEN(AA1316)-MIN(FIND({0;1;2;3;4;5;6;7;8;9},AA1316&amp;"0123456789"))+1)),"")</f>
        <v/>
      </c>
    </row>
    <row r="1317" spans="28:28" x14ac:dyDescent="0.2">
      <c r="AB1317" s="660" t="str">
        <f>IFERROR(VALUE(RIGHT(AA1317,LEN(AA1317)-MIN(FIND({0;1;2;3;4;5;6;7;8;9},AA1317&amp;"0123456789"))+1)),"")</f>
        <v/>
      </c>
    </row>
    <row r="1318" spans="28:28" x14ac:dyDescent="0.2">
      <c r="AB1318" s="660" t="str">
        <f>IFERROR(VALUE(RIGHT(AA1318,LEN(AA1318)-MIN(FIND({0;1;2;3;4;5;6;7;8;9},AA1318&amp;"0123456789"))+1)),"")</f>
        <v/>
      </c>
    </row>
    <row r="1319" spans="28:28" x14ac:dyDescent="0.2">
      <c r="AB1319" s="660" t="str">
        <f>IFERROR(VALUE(RIGHT(AA1319,LEN(AA1319)-MIN(FIND({0;1;2;3;4;5;6;7;8;9},AA1319&amp;"0123456789"))+1)),"")</f>
        <v/>
      </c>
    </row>
    <row r="1320" spans="28:28" x14ac:dyDescent="0.2">
      <c r="AB1320" s="660" t="str">
        <f>IFERROR(VALUE(RIGHT(AA1320,LEN(AA1320)-MIN(FIND({0;1;2;3;4;5;6;7;8;9},AA1320&amp;"0123456789"))+1)),"")</f>
        <v/>
      </c>
    </row>
    <row r="1321" spans="28:28" x14ac:dyDescent="0.2">
      <c r="AB1321" s="660" t="str">
        <f>IFERROR(VALUE(RIGHT(AA1321,LEN(AA1321)-MIN(FIND({0;1;2;3;4;5;6;7;8;9},AA1321&amp;"0123456789"))+1)),"")</f>
        <v/>
      </c>
    </row>
    <row r="1322" spans="28:28" x14ac:dyDescent="0.2">
      <c r="AB1322" s="660" t="str">
        <f>IFERROR(VALUE(RIGHT(AA1322,LEN(AA1322)-MIN(FIND({0;1;2;3;4;5;6;7;8;9},AA1322&amp;"0123456789"))+1)),"")</f>
        <v/>
      </c>
    </row>
    <row r="1323" spans="28:28" x14ac:dyDescent="0.2">
      <c r="AB1323" s="660" t="str">
        <f>IFERROR(VALUE(RIGHT(AA1323,LEN(AA1323)-MIN(FIND({0;1;2;3;4;5;6;7;8;9},AA1323&amp;"0123456789"))+1)),"")</f>
        <v/>
      </c>
    </row>
    <row r="1324" spans="28:28" x14ac:dyDescent="0.2">
      <c r="AB1324" s="660" t="str">
        <f>IFERROR(VALUE(RIGHT(AA1324,LEN(AA1324)-MIN(FIND({0;1;2;3;4;5;6;7;8;9},AA1324&amp;"0123456789"))+1)),"")</f>
        <v/>
      </c>
    </row>
    <row r="1325" spans="28:28" x14ac:dyDescent="0.2">
      <c r="AB1325" s="660" t="str">
        <f>IFERROR(VALUE(RIGHT(AA1325,LEN(AA1325)-MIN(FIND({0;1;2;3;4;5;6;7;8;9},AA1325&amp;"0123456789"))+1)),"")</f>
        <v/>
      </c>
    </row>
    <row r="1326" spans="28:28" x14ac:dyDescent="0.2">
      <c r="AB1326" s="660" t="str">
        <f>IFERROR(VALUE(RIGHT(AA1326,LEN(AA1326)-MIN(FIND({0;1;2;3;4;5;6;7;8;9},AA1326&amp;"0123456789"))+1)),"")</f>
        <v/>
      </c>
    </row>
    <row r="1327" spans="28:28" x14ac:dyDescent="0.2">
      <c r="AB1327" s="660" t="str">
        <f>IFERROR(VALUE(RIGHT(AA1327,LEN(AA1327)-MIN(FIND({0;1;2;3;4;5;6;7;8;9},AA1327&amp;"0123456789"))+1)),"")</f>
        <v/>
      </c>
    </row>
    <row r="1328" spans="28:28" x14ac:dyDescent="0.2">
      <c r="AB1328" s="660" t="str">
        <f>IFERROR(VALUE(RIGHT(AA1328,LEN(AA1328)-MIN(FIND({0;1;2;3;4;5;6;7;8;9},AA1328&amp;"0123456789"))+1)),"")</f>
        <v/>
      </c>
    </row>
    <row r="1329" spans="28:28" x14ac:dyDescent="0.2">
      <c r="AB1329" s="660" t="str">
        <f>IFERROR(VALUE(RIGHT(AA1329,LEN(AA1329)-MIN(FIND({0;1;2;3;4;5;6;7;8;9},AA1329&amp;"0123456789"))+1)),"")</f>
        <v/>
      </c>
    </row>
    <row r="1330" spans="28:28" x14ac:dyDescent="0.2">
      <c r="AB1330" s="660" t="str">
        <f>IFERROR(VALUE(RIGHT(AA1330,LEN(AA1330)-MIN(FIND({0;1;2;3;4;5;6;7;8;9},AA1330&amp;"0123456789"))+1)),"")</f>
        <v/>
      </c>
    </row>
    <row r="1331" spans="28:28" x14ac:dyDescent="0.2">
      <c r="AB1331" s="660" t="str">
        <f>IFERROR(VALUE(RIGHT(AA1331,LEN(AA1331)-MIN(FIND({0;1;2;3;4;5;6;7;8;9},AA1331&amp;"0123456789"))+1)),"")</f>
        <v/>
      </c>
    </row>
    <row r="1332" spans="28:28" x14ac:dyDescent="0.2">
      <c r="AB1332" s="660" t="str">
        <f>IFERROR(VALUE(RIGHT(AA1332,LEN(AA1332)-MIN(FIND({0;1;2;3;4;5;6;7;8;9},AA1332&amp;"0123456789"))+1)),"")</f>
        <v/>
      </c>
    </row>
    <row r="1333" spans="28:28" x14ac:dyDescent="0.2">
      <c r="AB1333" s="660" t="str">
        <f>IFERROR(VALUE(RIGHT(AA1333,LEN(AA1333)-MIN(FIND({0;1;2;3;4;5;6;7;8;9},AA1333&amp;"0123456789"))+1)),"")</f>
        <v/>
      </c>
    </row>
    <row r="1334" spans="28:28" x14ac:dyDescent="0.2">
      <c r="AB1334" s="660" t="str">
        <f>IFERROR(VALUE(RIGHT(AA1334,LEN(AA1334)-MIN(FIND({0;1;2;3;4;5;6;7;8;9},AA1334&amp;"0123456789"))+1)),"")</f>
        <v/>
      </c>
    </row>
    <row r="1335" spans="28:28" x14ac:dyDescent="0.2">
      <c r="AB1335" s="660" t="str">
        <f>IFERROR(VALUE(RIGHT(AA1335,LEN(AA1335)-MIN(FIND({0;1;2;3;4;5;6;7;8;9},AA1335&amp;"0123456789"))+1)),"")</f>
        <v/>
      </c>
    </row>
    <row r="1336" spans="28:28" x14ac:dyDescent="0.2">
      <c r="AB1336" s="660" t="str">
        <f>IFERROR(VALUE(RIGHT(AA1336,LEN(AA1336)-MIN(FIND({0;1;2;3;4;5;6;7;8;9},AA1336&amp;"0123456789"))+1)),"")</f>
        <v/>
      </c>
    </row>
    <row r="1337" spans="28:28" x14ac:dyDescent="0.2">
      <c r="AB1337" s="660" t="str">
        <f>IFERROR(VALUE(RIGHT(AA1337,LEN(AA1337)-MIN(FIND({0;1;2;3;4;5;6;7;8;9},AA1337&amp;"0123456789"))+1)),"")</f>
        <v/>
      </c>
    </row>
    <row r="1338" spans="28:28" x14ac:dyDescent="0.2">
      <c r="AB1338" s="660" t="str">
        <f>IFERROR(VALUE(RIGHT(AA1338,LEN(AA1338)-MIN(FIND({0;1;2;3;4;5;6;7;8;9},AA1338&amp;"0123456789"))+1)),"")</f>
        <v/>
      </c>
    </row>
    <row r="1339" spans="28:28" x14ac:dyDescent="0.2">
      <c r="AB1339" s="660" t="str">
        <f>IFERROR(VALUE(RIGHT(AA1339,LEN(AA1339)-MIN(FIND({0;1;2;3;4;5;6;7;8;9},AA1339&amp;"0123456789"))+1)),"")</f>
        <v/>
      </c>
    </row>
    <row r="1340" spans="28:28" x14ac:dyDescent="0.2">
      <c r="AB1340" s="660" t="str">
        <f>IFERROR(VALUE(RIGHT(AA1340,LEN(AA1340)-MIN(FIND({0;1;2;3;4;5;6;7;8;9},AA1340&amp;"0123456789"))+1)),"")</f>
        <v/>
      </c>
    </row>
    <row r="1341" spans="28:28" x14ac:dyDescent="0.2">
      <c r="AB1341" s="660" t="str">
        <f>IFERROR(VALUE(RIGHT(AA1341,LEN(AA1341)-MIN(FIND({0;1;2;3;4;5;6;7;8;9},AA1341&amp;"0123456789"))+1)),"")</f>
        <v/>
      </c>
    </row>
    <row r="1342" spans="28:28" x14ac:dyDescent="0.2">
      <c r="AB1342" s="660" t="str">
        <f>IFERROR(VALUE(RIGHT(AA1342,LEN(AA1342)-MIN(FIND({0;1;2;3;4;5;6;7;8;9},AA1342&amp;"0123456789"))+1)),"")</f>
        <v/>
      </c>
    </row>
    <row r="1343" spans="28:28" x14ac:dyDescent="0.2">
      <c r="AB1343" s="660" t="str">
        <f>IFERROR(VALUE(RIGHT(AA1343,LEN(AA1343)-MIN(FIND({0;1;2;3;4;5;6;7;8;9},AA1343&amp;"0123456789"))+1)),"")</f>
        <v/>
      </c>
    </row>
    <row r="1344" spans="28:28" x14ac:dyDescent="0.2">
      <c r="AB1344" s="660" t="str">
        <f>IFERROR(VALUE(RIGHT(AA1344,LEN(AA1344)-MIN(FIND({0;1;2;3;4;5;6;7;8;9},AA1344&amp;"0123456789"))+1)),"")</f>
        <v/>
      </c>
    </row>
    <row r="1345" spans="28:28" x14ac:dyDescent="0.2">
      <c r="AB1345" s="660" t="str">
        <f>IFERROR(VALUE(RIGHT(AA1345,LEN(AA1345)-MIN(FIND({0;1;2;3;4;5;6;7;8;9},AA1345&amp;"0123456789"))+1)),"")</f>
        <v/>
      </c>
    </row>
    <row r="1346" spans="28:28" x14ac:dyDescent="0.2">
      <c r="AB1346" s="660" t="str">
        <f>IFERROR(VALUE(RIGHT(AA1346,LEN(AA1346)-MIN(FIND({0;1;2;3;4;5;6;7;8;9},AA1346&amp;"0123456789"))+1)),"")</f>
        <v/>
      </c>
    </row>
    <row r="1347" spans="28:28" x14ac:dyDescent="0.2">
      <c r="AB1347" s="660" t="str">
        <f>IFERROR(VALUE(RIGHT(AA1347,LEN(AA1347)-MIN(FIND({0;1;2;3;4;5;6;7;8;9},AA1347&amp;"0123456789"))+1)),"")</f>
        <v/>
      </c>
    </row>
    <row r="1348" spans="28:28" x14ac:dyDescent="0.2">
      <c r="AB1348" s="660" t="str">
        <f>IFERROR(VALUE(RIGHT(AA1348,LEN(AA1348)-MIN(FIND({0;1;2;3;4;5;6;7;8;9},AA1348&amp;"0123456789"))+1)),"")</f>
        <v/>
      </c>
    </row>
    <row r="1349" spans="28:28" x14ac:dyDescent="0.2">
      <c r="AB1349" s="660" t="str">
        <f>IFERROR(VALUE(RIGHT(AA1349,LEN(AA1349)-MIN(FIND({0;1;2;3;4;5;6;7;8;9},AA1349&amp;"0123456789"))+1)),"")</f>
        <v/>
      </c>
    </row>
    <row r="1350" spans="28:28" x14ac:dyDescent="0.2">
      <c r="AB1350" s="660" t="str">
        <f>IFERROR(VALUE(RIGHT(AA1350,LEN(AA1350)-MIN(FIND({0;1;2;3;4;5;6;7;8;9},AA1350&amp;"0123456789"))+1)),"")</f>
        <v/>
      </c>
    </row>
    <row r="1351" spans="28:28" x14ac:dyDescent="0.2">
      <c r="AB1351" s="660" t="str">
        <f>IFERROR(VALUE(RIGHT(AA1351,LEN(AA1351)-MIN(FIND({0;1;2;3;4;5;6;7;8;9},AA1351&amp;"0123456789"))+1)),"")</f>
        <v/>
      </c>
    </row>
    <row r="1352" spans="28:28" x14ac:dyDescent="0.2">
      <c r="AB1352" s="660" t="str">
        <f>IFERROR(VALUE(RIGHT(AA1352,LEN(AA1352)-MIN(FIND({0;1;2;3;4;5;6;7;8;9},AA1352&amp;"0123456789"))+1)),"")</f>
        <v/>
      </c>
    </row>
    <row r="1353" spans="28:28" x14ac:dyDescent="0.2">
      <c r="AB1353" s="660" t="str">
        <f>IFERROR(VALUE(RIGHT(AA1353,LEN(AA1353)-MIN(FIND({0;1;2;3;4;5;6;7;8;9},AA1353&amp;"0123456789"))+1)),"")</f>
        <v/>
      </c>
    </row>
    <row r="1354" spans="28:28" x14ac:dyDescent="0.2">
      <c r="AB1354" s="660" t="str">
        <f>IFERROR(VALUE(RIGHT(AA1354,LEN(AA1354)-MIN(FIND({0;1;2;3;4;5;6;7;8;9},AA1354&amp;"0123456789"))+1)),"")</f>
        <v/>
      </c>
    </row>
    <row r="1355" spans="28:28" x14ac:dyDescent="0.2">
      <c r="AB1355" s="660" t="str">
        <f>IFERROR(VALUE(RIGHT(AA1355,LEN(AA1355)-MIN(FIND({0;1;2;3;4;5;6;7;8;9},AA1355&amp;"0123456789"))+1)),"")</f>
        <v/>
      </c>
    </row>
    <row r="1356" spans="28:28" x14ac:dyDescent="0.2">
      <c r="AB1356" s="660" t="str">
        <f>IFERROR(VALUE(RIGHT(AA1356,LEN(AA1356)-MIN(FIND({0;1;2;3;4;5;6;7;8;9},AA1356&amp;"0123456789"))+1)),"")</f>
        <v/>
      </c>
    </row>
    <row r="1357" spans="28:28" x14ac:dyDescent="0.2">
      <c r="AB1357" s="660" t="str">
        <f>IFERROR(VALUE(RIGHT(AA1357,LEN(AA1357)-MIN(FIND({0;1;2;3;4;5;6;7;8;9},AA1357&amp;"0123456789"))+1)),"")</f>
        <v/>
      </c>
    </row>
    <row r="1358" spans="28:28" x14ac:dyDescent="0.2">
      <c r="AB1358" s="660" t="str">
        <f>IFERROR(VALUE(RIGHT(AA1358,LEN(AA1358)-MIN(FIND({0;1;2;3;4;5;6;7;8;9},AA1358&amp;"0123456789"))+1)),"")</f>
        <v/>
      </c>
    </row>
    <row r="1359" spans="28:28" x14ac:dyDescent="0.2">
      <c r="AB1359" s="660" t="str">
        <f>IFERROR(VALUE(RIGHT(AA1359,LEN(AA1359)-MIN(FIND({0;1;2;3;4;5;6;7;8;9},AA1359&amp;"0123456789"))+1)),"")</f>
        <v/>
      </c>
    </row>
    <row r="1360" spans="28:28" x14ac:dyDescent="0.2">
      <c r="AB1360" s="660" t="str">
        <f>IFERROR(VALUE(RIGHT(AA1360,LEN(AA1360)-MIN(FIND({0;1;2;3;4;5;6;7;8;9},AA1360&amp;"0123456789"))+1)),"")</f>
        <v/>
      </c>
    </row>
    <row r="1361" spans="28:28" x14ac:dyDescent="0.2">
      <c r="AB1361" s="660" t="str">
        <f>IFERROR(VALUE(RIGHT(AA1361,LEN(AA1361)-MIN(FIND({0;1;2;3;4;5;6;7;8;9},AA1361&amp;"0123456789"))+1)),"")</f>
        <v/>
      </c>
    </row>
    <row r="1362" spans="28:28" x14ac:dyDescent="0.2">
      <c r="AB1362" s="660" t="str">
        <f>IFERROR(VALUE(RIGHT(AA1362,LEN(AA1362)-MIN(FIND({0;1;2;3;4;5;6;7;8;9},AA1362&amp;"0123456789"))+1)),"")</f>
        <v/>
      </c>
    </row>
    <row r="1363" spans="28:28" x14ac:dyDescent="0.2">
      <c r="AB1363" s="660" t="str">
        <f>IFERROR(VALUE(RIGHT(AA1363,LEN(AA1363)-MIN(FIND({0;1;2;3;4;5;6;7;8;9},AA1363&amp;"0123456789"))+1)),"")</f>
        <v/>
      </c>
    </row>
    <row r="1364" spans="28:28" x14ac:dyDescent="0.2">
      <c r="AB1364" s="660" t="str">
        <f>IFERROR(VALUE(RIGHT(AA1364,LEN(AA1364)-MIN(FIND({0;1;2;3;4;5;6;7;8;9},AA1364&amp;"0123456789"))+1)),"")</f>
        <v/>
      </c>
    </row>
    <row r="1365" spans="28:28" x14ac:dyDescent="0.2">
      <c r="AB1365" s="660" t="str">
        <f>IFERROR(VALUE(RIGHT(AA1365,LEN(AA1365)-MIN(FIND({0;1;2;3;4;5;6;7;8;9},AA1365&amp;"0123456789"))+1)),"")</f>
        <v/>
      </c>
    </row>
    <row r="1366" spans="28:28" x14ac:dyDescent="0.2">
      <c r="AB1366" s="660" t="str">
        <f>IFERROR(VALUE(RIGHT(AA1366,LEN(AA1366)-MIN(FIND({0;1;2;3;4;5;6;7;8;9},AA1366&amp;"0123456789"))+1)),"")</f>
        <v/>
      </c>
    </row>
    <row r="1367" spans="28:28" x14ac:dyDescent="0.2">
      <c r="AB1367" s="660" t="str">
        <f>IFERROR(VALUE(RIGHT(AA1367,LEN(AA1367)-MIN(FIND({0;1;2;3;4;5;6;7;8;9},AA1367&amp;"0123456789"))+1)),"")</f>
        <v/>
      </c>
    </row>
    <row r="1368" spans="28:28" x14ac:dyDescent="0.2">
      <c r="AB1368" s="660" t="str">
        <f>IFERROR(VALUE(RIGHT(AA1368,LEN(AA1368)-MIN(FIND({0;1;2;3;4;5;6;7;8;9},AA1368&amp;"0123456789"))+1)),"")</f>
        <v/>
      </c>
    </row>
    <row r="1369" spans="28:28" x14ac:dyDescent="0.2">
      <c r="AB1369" s="660" t="str">
        <f>IFERROR(VALUE(RIGHT(AA1369,LEN(AA1369)-MIN(FIND({0;1;2;3;4;5;6;7;8;9},AA1369&amp;"0123456789"))+1)),"")</f>
        <v/>
      </c>
    </row>
    <row r="1370" spans="28:28" x14ac:dyDescent="0.2">
      <c r="AB1370" s="660" t="str">
        <f>IFERROR(VALUE(RIGHT(AA1370,LEN(AA1370)-MIN(FIND({0;1;2;3;4;5;6;7;8;9},AA1370&amp;"0123456789"))+1)),"")</f>
        <v/>
      </c>
    </row>
    <row r="1371" spans="28:28" x14ac:dyDescent="0.2">
      <c r="AB1371" s="660" t="str">
        <f>IFERROR(VALUE(RIGHT(AA1371,LEN(AA1371)-MIN(FIND({0;1;2;3;4;5;6;7;8;9},AA1371&amp;"0123456789"))+1)),"")</f>
        <v/>
      </c>
    </row>
    <row r="1372" spans="28:28" x14ac:dyDescent="0.2">
      <c r="AB1372" s="660" t="str">
        <f>IFERROR(VALUE(RIGHT(AA1372,LEN(AA1372)-MIN(FIND({0;1;2;3;4;5;6;7;8;9},AA1372&amp;"0123456789"))+1)),"")</f>
        <v/>
      </c>
    </row>
    <row r="1373" spans="28:28" x14ac:dyDescent="0.2">
      <c r="AB1373" s="660" t="str">
        <f>IFERROR(VALUE(RIGHT(AA1373,LEN(AA1373)-MIN(FIND({0;1;2;3;4;5;6;7;8;9},AA1373&amp;"0123456789"))+1)),"")</f>
        <v/>
      </c>
    </row>
    <row r="1374" spans="28:28" x14ac:dyDescent="0.2">
      <c r="AB1374" s="660" t="str">
        <f>IFERROR(VALUE(RIGHT(AA1374,LEN(AA1374)-MIN(FIND({0;1;2;3;4;5;6;7;8;9},AA1374&amp;"0123456789"))+1)),"")</f>
        <v/>
      </c>
    </row>
    <row r="1375" spans="28:28" x14ac:dyDescent="0.2">
      <c r="AB1375" s="660" t="str">
        <f>IFERROR(VALUE(RIGHT(AA1375,LEN(AA1375)-MIN(FIND({0;1;2;3;4;5;6;7;8;9},AA1375&amp;"0123456789"))+1)),"")</f>
        <v/>
      </c>
    </row>
    <row r="1376" spans="28:28" x14ac:dyDescent="0.2">
      <c r="AB1376" s="660" t="str">
        <f>IFERROR(VALUE(RIGHT(AA1376,LEN(AA1376)-MIN(FIND({0;1;2;3;4;5;6;7;8;9},AA1376&amp;"0123456789"))+1)),"")</f>
        <v/>
      </c>
    </row>
    <row r="1377" spans="28:28" x14ac:dyDescent="0.2">
      <c r="AB1377" s="660" t="str">
        <f>IFERROR(VALUE(RIGHT(AA1377,LEN(AA1377)-MIN(FIND({0;1;2;3;4;5;6;7;8;9},AA1377&amp;"0123456789"))+1)),"")</f>
        <v/>
      </c>
    </row>
    <row r="1378" spans="28:28" x14ac:dyDescent="0.2">
      <c r="AB1378" s="660" t="str">
        <f>IFERROR(VALUE(RIGHT(AA1378,LEN(AA1378)-MIN(FIND({0;1;2;3;4;5;6;7;8;9},AA1378&amp;"0123456789"))+1)),"")</f>
        <v/>
      </c>
    </row>
    <row r="1379" spans="28:28" x14ac:dyDescent="0.2">
      <c r="AB1379" s="660" t="str">
        <f>IFERROR(VALUE(RIGHT(AA1379,LEN(AA1379)-MIN(FIND({0;1;2;3;4;5;6;7;8;9},AA1379&amp;"0123456789"))+1)),"")</f>
        <v/>
      </c>
    </row>
    <row r="1380" spans="28:28" x14ac:dyDescent="0.2">
      <c r="AB1380" s="660" t="str">
        <f>IFERROR(VALUE(RIGHT(AA1380,LEN(AA1380)-MIN(FIND({0;1;2;3;4;5;6;7;8;9},AA1380&amp;"0123456789"))+1)),"")</f>
        <v/>
      </c>
    </row>
    <row r="1381" spans="28:28" x14ac:dyDescent="0.2">
      <c r="AB1381" s="660" t="str">
        <f>IFERROR(VALUE(RIGHT(AA1381,LEN(AA1381)-MIN(FIND({0;1;2;3;4;5;6;7;8;9},AA1381&amp;"0123456789"))+1)),"")</f>
        <v/>
      </c>
    </row>
    <row r="1382" spans="28:28" x14ac:dyDescent="0.2">
      <c r="AB1382" s="660" t="str">
        <f>IFERROR(VALUE(RIGHT(AA1382,LEN(AA1382)-MIN(FIND({0;1;2;3;4;5;6;7;8;9},AA1382&amp;"0123456789"))+1)),"")</f>
        <v/>
      </c>
    </row>
    <row r="1383" spans="28:28" x14ac:dyDescent="0.2">
      <c r="AB1383" s="660" t="str">
        <f>IFERROR(VALUE(RIGHT(AA1383,LEN(AA1383)-MIN(FIND({0;1;2;3;4;5;6;7;8;9},AA1383&amp;"0123456789"))+1)),"")</f>
        <v/>
      </c>
    </row>
    <row r="1384" spans="28:28" x14ac:dyDescent="0.2">
      <c r="AB1384" s="660" t="str">
        <f>IFERROR(VALUE(RIGHT(AA1384,LEN(AA1384)-MIN(FIND({0;1;2;3;4;5;6;7;8;9},AA1384&amp;"0123456789"))+1)),"")</f>
        <v/>
      </c>
    </row>
    <row r="1385" spans="28:28" x14ac:dyDescent="0.2">
      <c r="AB1385" s="660" t="str">
        <f>IFERROR(VALUE(RIGHT(AA1385,LEN(AA1385)-MIN(FIND({0;1;2;3;4;5;6;7;8;9},AA1385&amp;"0123456789"))+1)),"")</f>
        <v/>
      </c>
    </row>
    <row r="1386" spans="28:28" x14ac:dyDescent="0.2">
      <c r="AB1386" s="660" t="str">
        <f>IFERROR(VALUE(RIGHT(AA1386,LEN(AA1386)-MIN(FIND({0;1;2;3;4;5;6;7;8;9},AA1386&amp;"0123456789"))+1)),"")</f>
        <v/>
      </c>
    </row>
    <row r="1387" spans="28:28" x14ac:dyDescent="0.2">
      <c r="AB1387" s="660" t="str">
        <f>IFERROR(VALUE(RIGHT(AA1387,LEN(AA1387)-MIN(FIND({0;1;2;3;4;5;6;7;8;9},AA1387&amp;"0123456789"))+1)),"")</f>
        <v/>
      </c>
    </row>
    <row r="1388" spans="28:28" x14ac:dyDescent="0.2">
      <c r="AB1388" s="660" t="str">
        <f>IFERROR(VALUE(RIGHT(AA1388,LEN(AA1388)-MIN(FIND({0;1;2;3;4;5;6;7;8;9},AA1388&amp;"0123456789"))+1)),"")</f>
        <v/>
      </c>
    </row>
    <row r="1389" spans="28:28" x14ac:dyDescent="0.2">
      <c r="AB1389" s="660" t="str">
        <f>IFERROR(VALUE(RIGHT(AA1389,LEN(AA1389)-MIN(FIND({0;1;2;3;4;5;6;7;8;9},AA1389&amp;"0123456789"))+1)),"")</f>
        <v/>
      </c>
    </row>
    <row r="1390" spans="28:28" x14ac:dyDescent="0.2">
      <c r="AB1390" s="660" t="str">
        <f>IFERROR(VALUE(RIGHT(AA1390,LEN(AA1390)-MIN(FIND({0;1;2;3;4;5;6;7;8;9},AA1390&amp;"0123456789"))+1)),"")</f>
        <v/>
      </c>
    </row>
    <row r="1391" spans="28:28" x14ac:dyDescent="0.2">
      <c r="AB1391" s="660" t="str">
        <f>IFERROR(VALUE(RIGHT(AA1391,LEN(AA1391)-MIN(FIND({0;1;2;3;4;5;6;7;8;9},AA1391&amp;"0123456789"))+1)),"")</f>
        <v/>
      </c>
    </row>
    <row r="1392" spans="28:28" x14ac:dyDescent="0.2">
      <c r="AB1392" s="660" t="str">
        <f>IFERROR(VALUE(RIGHT(AA1392,LEN(AA1392)-MIN(FIND({0;1;2;3;4;5;6;7;8;9},AA1392&amp;"0123456789"))+1)),"")</f>
        <v/>
      </c>
    </row>
    <row r="1393" spans="28:28" x14ac:dyDescent="0.2">
      <c r="AB1393" s="660" t="str">
        <f>IFERROR(VALUE(RIGHT(AA1393,LEN(AA1393)-MIN(FIND({0;1;2;3;4;5;6;7;8;9},AA1393&amp;"0123456789"))+1)),"")</f>
        <v/>
      </c>
    </row>
    <row r="1394" spans="28:28" x14ac:dyDescent="0.2">
      <c r="AB1394" s="660" t="str">
        <f>IFERROR(VALUE(RIGHT(AA1394,LEN(AA1394)-MIN(FIND({0;1;2;3;4;5;6;7;8;9},AA1394&amp;"0123456789"))+1)),"")</f>
        <v/>
      </c>
    </row>
    <row r="1395" spans="28:28" x14ac:dyDescent="0.2">
      <c r="AB1395" s="660" t="str">
        <f>IFERROR(VALUE(RIGHT(AA1395,LEN(AA1395)-MIN(FIND({0;1;2;3;4;5;6;7;8;9},AA1395&amp;"0123456789"))+1)),"")</f>
        <v/>
      </c>
    </row>
    <row r="1396" spans="28:28" x14ac:dyDescent="0.2">
      <c r="AB1396" s="660" t="str">
        <f>IFERROR(VALUE(RIGHT(AA1396,LEN(AA1396)-MIN(FIND({0;1;2;3;4;5;6;7;8;9},AA1396&amp;"0123456789"))+1)),"")</f>
        <v/>
      </c>
    </row>
    <row r="1397" spans="28:28" x14ac:dyDescent="0.2">
      <c r="AB1397" s="660" t="str">
        <f>IFERROR(VALUE(RIGHT(AA1397,LEN(AA1397)-MIN(FIND({0;1;2;3;4;5;6;7;8;9},AA1397&amp;"0123456789"))+1)),"")</f>
        <v/>
      </c>
    </row>
    <row r="1398" spans="28:28" x14ac:dyDescent="0.2">
      <c r="AB1398" s="660" t="str">
        <f>IFERROR(VALUE(RIGHT(AA1398,LEN(AA1398)-MIN(FIND({0;1;2;3;4;5;6;7;8;9},AA1398&amp;"0123456789"))+1)),"")</f>
        <v/>
      </c>
    </row>
    <row r="1399" spans="28:28" x14ac:dyDescent="0.2">
      <c r="AB1399" s="660" t="str">
        <f>IFERROR(VALUE(RIGHT(AA1399,LEN(AA1399)-MIN(FIND({0;1;2;3;4;5;6;7;8;9},AA1399&amp;"0123456789"))+1)),"")</f>
        <v/>
      </c>
    </row>
    <row r="1400" spans="28:28" x14ac:dyDescent="0.2">
      <c r="AB1400" s="660" t="str">
        <f>IFERROR(VALUE(RIGHT(AA1400,LEN(AA1400)-MIN(FIND({0;1;2;3;4;5;6;7;8;9},AA1400&amp;"0123456789"))+1)),"")</f>
        <v/>
      </c>
    </row>
    <row r="1401" spans="28:28" x14ac:dyDescent="0.2">
      <c r="AB1401" s="660" t="str">
        <f>IFERROR(VALUE(RIGHT(AA1401,LEN(AA1401)-MIN(FIND({0;1;2;3;4;5;6;7;8;9},AA1401&amp;"0123456789"))+1)),"")</f>
        <v/>
      </c>
    </row>
    <row r="1402" spans="28:28" x14ac:dyDescent="0.2">
      <c r="AB1402" s="660" t="str">
        <f>IFERROR(VALUE(RIGHT(AA1402,LEN(AA1402)-MIN(FIND({0;1;2;3;4;5;6;7;8;9},AA1402&amp;"0123456789"))+1)),"")</f>
        <v/>
      </c>
    </row>
    <row r="1403" spans="28:28" x14ac:dyDescent="0.2">
      <c r="AB1403" s="660" t="str">
        <f>IFERROR(VALUE(RIGHT(AA1403,LEN(AA1403)-MIN(FIND({0;1;2;3;4;5;6;7;8;9},AA1403&amp;"0123456789"))+1)),"")</f>
        <v/>
      </c>
    </row>
    <row r="1404" spans="28:28" x14ac:dyDescent="0.2">
      <c r="AB1404" s="660" t="str">
        <f>IFERROR(VALUE(RIGHT(AA1404,LEN(AA1404)-MIN(FIND({0;1;2;3;4;5;6;7;8;9},AA1404&amp;"0123456789"))+1)),"")</f>
        <v/>
      </c>
    </row>
    <row r="1405" spans="28:28" x14ac:dyDescent="0.2">
      <c r="AB1405" s="660" t="str">
        <f>IFERROR(VALUE(RIGHT(AA1405,LEN(AA1405)-MIN(FIND({0;1;2;3;4;5;6;7;8;9},AA1405&amp;"0123456789"))+1)),"")</f>
        <v/>
      </c>
    </row>
    <row r="1406" spans="28:28" x14ac:dyDescent="0.2">
      <c r="AB1406" s="660" t="str">
        <f>IFERROR(VALUE(RIGHT(AA1406,LEN(AA1406)-MIN(FIND({0;1;2;3;4;5;6;7;8;9},AA1406&amp;"0123456789"))+1)),"")</f>
        <v/>
      </c>
    </row>
    <row r="1407" spans="28:28" x14ac:dyDescent="0.2">
      <c r="AB1407" s="660" t="str">
        <f>IFERROR(VALUE(RIGHT(AA1407,LEN(AA1407)-MIN(FIND({0;1;2;3;4;5;6;7;8;9},AA1407&amp;"0123456789"))+1)),"")</f>
        <v/>
      </c>
    </row>
    <row r="1408" spans="28:28" x14ac:dyDescent="0.2">
      <c r="AB1408" s="660" t="str">
        <f>IFERROR(VALUE(RIGHT(AA1408,LEN(AA1408)-MIN(FIND({0;1;2;3;4;5;6;7;8;9},AA1408&amp;"0123456789"))+1)),"")</f>
        <v/>
      </c>
    </row>
    <row r="1409" spans="28:28" x14ac:dyDescent="0.2">
      <c r="AB1409" s="660" t="str">
        <f>IFERROR(VALUE(RIGHT(AA1409,LEN(AA1409)-MIN(FIND({0;1;2;3;4;5;6;7;8;9},AA1409&amp;"0123456789"))+1)),"")</f>
        <v/>
      </c>
    </row>
    <row r="1410" spans="28:28" x14ac:dyDescent="0.2">
      <c r="AB1410" s="660" t="str">
        <f>IFERROR(VALUE(RIGHT(AA1410,LEN(AA1410)-MIN(FIND({0;1;2;3;4;5;6;7;8;9},AA1410&amp;"0123456789"))+1)),"")</f>
        <v/>
      </c>
    </row>
    <row r="1411" spans="28:28" x14ac:dyDescent="0.2">
      <c r="AB1411" s="660" t="str">
        <f>IFERROR(VALUE(RIGHT(AA1411,LEN(AA1411)-MIN(FIND({0;1;2;3;4;5;6;7;8;9},AA1411&amp;"0123456789"))+1)),"")</f>
        <v/>
      </c>
    </row>
    <row r="1412" spans="28:28" x14ac:dyDescent="0.2">
      <c r="AB1412" s="660" t="str">
        <f>IFERROR(VALUE(RIGHT(AA1412,LEN(AA1412)-MIN(FIND({0;1;2;3;4;5;6;7;8;9},AA1412&amp;"0123456789"))+1)),"")</f>
        <v/>
      </c>
    </row>
    <row r="1413" spans="28:28" x14ac:dyDescent="0.2">
      <c r="AB1413" s="660" t="str">
        <f>IFERROR(VALUE(RIGHT(AA1413,LEN(AA1413)-MIN(FIND({0;1;2;3;4;5;6;7;8;9},AA1413&amp;"0123456789"))+1)),"")</f>
        <v/>
      </c>
    </row>
    <row r="1414" spans="28:28" x14ac:dyDescent="0.2">
      <c r="AB1414" s="660" t="str">
        <f>IFERROR(VALUE(RIGHT(AA1414,LEN(AA1414)-MIN(FIND({0;1;2;3;4;5;6;7;8;9},AA1414&amp;"0123456789"))+1)),"")</f>
        <v/>
      </c>
    </row>
    <row r="1415" spans="28:28" x14ac:dyDescent="0.2">
      <c r="AB1415" s="660" t="str">
        <f>IFERROR(VALUE(RIGHT(AA1415,LEN(AA1415)-MIN(FIND({0;1;2;3;4;5;6;7;8;9},AA1415&amp;"0123456789"))+1)),"")</f>
        <v/>
      </c>
    </row>
    <row r="1416" spans="28:28" x14ac:dyDescent="0.2">
      <c r="AB1416" s="660" t="str">
        <f>IFERROR(VALUE(RIGHT(AA1416,LEN(AA1416)-MIN(FIND({0;1;2;3;4;5;6;7;8;9},AA1416&amp;"0123456789"))+1)),"")</f>
        <v/>
      </c>
    </row>
    <row r="1417" spans="28:28" x14ac:dyDescent="0.2">
      <c r="AB1417" s="660" t="str">
        <f>IFERROR(VALUE(RIGHT(AA1417,LEN(AA1417)-MIN(FIND({0;1;2;3;4;5;6;7;8;9},AA1417&amp;"0123456789"))+1)),"")</f>
        <v/>
      </c>
    </row>
    <row r="1418" spans="28:28" x14ac:dyDescent="0.2">
      <c r="AB1418" s="660" t="str">
        <f>IFERROR(VALUE(RIGHT(AA1418,LEN(AA1418)-MIN(FIND({0;1;2;3;4;5;6;7;8;9},AA1418&amp;"0123456789"))+1)),"")</f>
        <v/>
      </c>
    </row>
    <row r="1419" spans="28:28" x14ac:dyDescent="0.2">
      <c r="AB1419" s="660" t="str">
        <f>IFERROR(VALUE(RIGHT(AA1419,LEN(AA1419)-MIN(FIND({0;1;2;3;4;5;6;7;8;9},AA1419&amp;"0123456789"))+1)),"")</f>
        <v/>
      </c>
    </row>
    <row r="1420" spans="28:28" x14ac:dyDescent="0.2">
      <c r="AB1420" s="660" t="str">
        <f>IFERROR(VALUE(RIGHT(AA1420,LEN(AA1420)-MIN(FIND({0;1;2;3;4;5;6;7;8;9},AA1420&amp;"0123456789"))+1)),"")</f>
        <v/>
      </c>
    </row>
    <row r="1421" spans="28:28" x14ac:dyDescent="0.2">
      <c r="AB1421" s="660" t="str">
        <f>IFERROR(VALUE(RIGHT(AA1421,LEN(AA1421)-MIN(FIND({0;1;2;3;4;5;6;7;8;9},AA1421&amp;"0123456789"))+1)),"")</f>
        <v/>
      </c>
    </row>
    <row r="1422" spans="28:28" x14ac:dyDescent="0.2">
      <c r="AB1422" s="660" t="str">
        <f>IFERROR(VALUE(RIGHT(AA1422,LEN(AA1422)-MIN(FIND({0;1;2;3;4;5;6;7;8;9},AA1422&amp;"0123456789"))+1)),"")</f>
        <v/>
      </c>
    </row>
    <row r="1423" spans="28:28" x14ac:dyDescent="0.2">
      <c r="AB1423" s="660" t="str">
        <f>IFERROR(VALUE(RIGHT(AA1423,LEN(AA1423)-MIN(FIND({0;1;2;3;4;5;6;7;8;9},AA1423&amp;"0123456789"))+1)),"")</f>
        <v/>
      </c>
    </row>
    <row r="1424" spans="28:28" x14ac:dyDescent="0.2">
      <c r="AB1424" s="660" t="str">
        <f>IFERROR(VALUE(RIGHT(AA1424,LEN(AA1424)-MIN(FIND({0;1;2;3;4;5;6;7;8;9},AA1424&amp;"0123456789"))+1)),"")</f>
        <v/>
      </c>
    </row>
    <row r="1425" spans="28:28" x14ac:dyDescent="0.2">
      <c r="AB1425" s="660" t="str">
        <f>IFERROR(VALUE(RIGHT(AA1425,LEN(AA1425)-MIN(FIND({0;1;2;3;4;5;6;7;8;9},AA1425&amp;"0123456789"))+1)),"")</f>
        <v/>
      </c>
    </row>
    <row r="1426" spans="28:28" x14ac:dyDescent="0.2">
      <c r="AB1426" s="660" t="str">
        <f>IFERROR(VALUE(RIGHT(AA1426,LEN(AA1426)-MIN(FIND({0;1;2;3;4;5;6;7;8;9},AA1426&amp;"0123456789"))+1)),"")</f>
        <v/>
      </c>
    </row>
    <row r="1427" spans="28:28" x14ac:dyDescent="0.2">
      <c r="AB1427" s="660" t="str">
        <f>IFERROR(VALUE(RIGHT(AA1427,LEN(AA1427)-MIN(FIND({0;1;2;3;4;5;6;7;8;9},AA1427&amp;"0123456789"))+1)),"")</f>
        <v/>
      </c>
    </row>
    <row r="1428" spans="28:28" x14ac:dyDescent="0.2">
      <c r="AB1428" s="660" t="str">
        <f>IFERROR(VALUE(RIGHT(AA1428,LEN(AA1428)-MIN(FIND({0;1;2;3;4;5;6;7;8;9},AA1428&amp;"0123456789"))+1)),"")</f>
        <v/>
      </c>
    </row>
    <row r="1429" spans="28:28" x14ac:dyDescent="0.2">
      <c r="AB1429" s="660" t="str">
        <f>IFERROR(VALUE(RIGHT(AA1429,LEN(AA1429)-MIN(FIND({0;1;2;3;4;5;6;7;8;9},AA1429&amp;"0123456789"))+1)),"")</f>
        <v/>
      </c>
    </row>
    <row r="1430" spans="28:28" x14ac:dyDescent="0.2">
      <c r="AB1430" s="660" t="str">
        <f>IFERROR(VALUE(RIGHT(AA1430,LEN(AA1430)-MIN(FIND({0;1;2;3;4;5;6;7;8;9},AA1430&amp;"0123456789"))+1)),"")</f>
        <v/>
      </c>
    </row>
    <row r="1431" spans="28:28" x14ac:dyDescent="0.2">
      <c r="AB1431" s="660" t="str">
        <f>IFERROR(VALUE(RIGHT(AA1431,LEN(AA1431)-MIN(FIND({0;1;2;3;4;5;6;7;8;9},AA1431&amp;"0123456789"))+1)),"")</f>
        <v/>
      </c>
    </row>
    <row r="1432" spans="28:28" x14ac:dyDescent="0.2">
      <c r="AB1432" s="660" t="str">
        <f>IFERROR(VALUE(RIGHT(AA1432,LEN(AA1432)-MIN(FIND({0;1;2;3;4;5;6;7;8;9},AA1432&amp;"0123456789"))+1)),"")</f>
        <v/>
      </c>
    </row>
    <row r="1433" spans="28:28" x14ac:dyDescent="0.2">
      <c r="AB1433" s="660" t="str">
        <f>IFERROR(VALUE(RIGHT(AA1433,LEN(AA1433)-MIN(FIND({0;1;2;3;4;5;6;7;8;9},AA1433&amp;"0123456789"))+1)),"")</f>
        <v/>
      </c>
    </row>
    <row r="1434" spans="28:28" x14ac:dyDescent="0.2">
      <c r="AB1434" s="660" t="str">
        <f>IFERROR(VALUE(RIGHT(AA1434,LEN(AA1434)-MIN(FIND({0;1;2;3;4;5;6;7;8;9},AA1434&amp;"0123456789"))+1)),"")</f>
        <v/>
      </c>
    </row>
    <row r="1435" spans="28:28" x14ac:dyDescent="0.2">
      <c r="AB1435" s="660" t="str">
        <f>IFERROR(VALUE(RIGHT(AA1435,LEN(AA1435)-MIN(FIND({0;1;2;3;4;5;6;7;8;9},AA1435&amp;"0123456789"))+1)),"")</f>
        <v/>
      </c>
    </row>
    <row r="1436" spans="28:28" x14ac:dyDescent="0.2">
      <c r="AB1436" s="660" t="str">
        <f>IFERROR(VALUE(RIGHT(AA1436,LEN(AA1436)-MIN(FIND({0;1;2;3;4;5;6;7;8;9},AA1436&amp;"0123456789"))+1)),"")</f>
        <v/>
      </c>
    </row>
    <row r="1437" spans="28:28" x14ac:dyDescent="0.2">
      <c r="AB1437" s="660" t="str">
        <f>IFERROR(VALUE(RIGHT(AA1437,LEN(AA1437)-MIN(FIND({0;1;2;3;4;5;6;7;8;9},AA1437&amp;"0123456789"))+1)),"")</f>
        <v/>
      </c>
    </row>
    <row r="1438" spans="28:28" x14ac:dyDescent="0.2">
      <c r="AB1438" s="660" t="str">
        <f>IFERROR(VALUE(RIGHT(AA1438,LEN(AA1438)-MIN(FIND({0;1;2;3;4;5;6;7;8;9},AA1438&amp;"0123456789"))+1)),"")</f>
        <v/>
      </c>
    </row>
    <row r="1439" spans="28:28" x14ac:dyDescent="0.2">
      <c r="AB1439" s="660" t="str">
        <f>IFERROR(VALUE(RIGHT(AA1439,LEN(AA1439)-MIN(FIND({0;1;2;3;4;5;6;7;8;9},AA1439&amp;"0123456789"))+1)),"")</f>
        <v/>
      </c>
    </row>
    <row r="1440" spans="28:28" x14ac:dyDescent="0.2">
      <c r="AB1440" s="660" t="str">
        <f>IFERROR(VALUE(RIGHT(AA1440,LEN(AA1440)-MIN(FIND({0;1;2;3;4;5;6;7;8;9},AA1440&amp;"0123456789"))+1)),"")</f>
        <v/>
      </c>
    </row>
    <row r="1441" spans="28:28" x14ac:dyDescent="0.2">
      <c r="AB1441" s="660" t="str">
        <f>IFERROR(VALUE(RIGHT(AA1441,LEN(AA1441)-MIN(FIND({0;1;2;3;4;5;6;7;8;9},AA1441&amp;"0123456789"))+1)),"")</f>
        <v/>
      </c>
    </row>
    <row r="1442" spans="28:28" x14ac:dyDescent="0.2">
      <c r="AB1442" s="660" t="str">
        <f>IFERROR(VALUE(RIGHT(AA1442,LEN(AA1442)-MIN(FIND({0;1;2;3;4;5;6;7;8;9},AA1442&amp;"0123456789"))+1)),"")</f>
        <v/>
      </c>
    </row>
    <row r="1443" spans="28:28" x14ac:dyDescent="0.2">
      <c r="AB1443" s="660" t="str">
        <f>IFERROR(VALUE(RIGHT(AA1443,LEN(AA1443)-MIN(FIND({0;1;2;3;4;5;6;7;8;9},AA1443&amp;"0123456789"))+1)),"")</f>
        <v/>
      </c>
    </row>
    <row r="1444" spans="28:28" x14ac:dyDescent="0.2">
      <c r="AB1444" s="660" t="str">
        <f>IFERROR(VALUE(RIGHT(AA1444,LEN(AA1444)-MIN(FIND({0;1;2;3;4;5;6;7;8;9},AA1444&amp;"0123456789"))+1)),"")</f>
        <v/>
      </c>
    </row>
    <row r="1445" spans="28:28" x14ac:dyDescent="0.2">
      <c r="AB1445" s="660" t="str">
        <f>IFERROR(VALUE(RIGHT(AA1445,LEN(AA1445)-MIN(FIND({0;1;2;3;4;5;6;7;8;9},AA1445&amp;"0123456789"))+1)),"")</f>
        <v/>
      </c>
    </row>
    <row r="1446" spans="28:28" x14ac:dyDescent="0.2">
      <c r="AB1446" s="660" t="str">
        <f>IFERROR(VALUE(RIGHT(AA1446,LEN(AA1446)-MIN(FIND({0;1;2;3;4;5;6;7;8;9},AA1446&amp;"0123456789"))+1)),"")</f>
        <v/>
      </c>
    </row>
    <row r="1447" spans="28:28" x14ac:dyDescent="0.2">
      <c r="AB1447" s="660" t="str">
        <f>IFERROR(VALUE(RIGHT(AA1447,LEN(AA1447)-MIN(FIND({0;1;2;3;4;5;6;7;8;9},AA1447&amp;"0123456789"))+1)),"")</f>
        <v/>
      </c>
    </row>
    <row r="1448" spans="28:28" x14ac:dyDescent="0.2">
      <c r="AB1448" s="660" t="str">
        <f>IFERROR(VALUE(RIGHT(AA1448,LEN(AA1448)-MIN(FIND({0;1;2;3;4;5;6;7;8;9},AA1448&amp;"0123456789"))+1)),"")</f>
        <v/>
      </c>
    </row>
    <row r="1449" spans="28:28" x14ac:dyDescent="0.2">
      <c r="AB1449" s="660" t="str">
        <f>IFERROR(VALUE(RIGHT(AA1449,LEN(AA1449)-MIN(FIND({0;1;2;3;4;5;6;7;8;9},AA1449&amp;"0123456789"))+1)),"")</f>
        <v/>
      </c>
    </row>
    <row r="1450" spans="28:28" x14ac:dyDescent="0.2">
      <c r="AB1450" s="660" t="str">
        <f>IFERROR(VALUE(RIGHT(AA1450,LEN(AA1450)-MIN(FIND({0;1;2;3;4;5;6;7;8;9},AA1450&amp;"0123456789"))+1)),"")</f>
        <v/>
      </c>
    </row>
    <row r="1451" spans="28:28" x14ac:dyDescent="0.2">
      <c r="AB1451" s="660" t="str">
        <f>IFERROR(VALUE(RIGHT(AA1451,LEN(AA1451)-MIN(FIND({0;1;2;3;4;5;6;7;8;9},AA1451&amp;"0123456789"))+1)),"")</f>
        <v/>
      </c>
    </row>
    <row r="1452" spans="28:28" x14ac:dyDescent="0.2">
      <c r="AB1452" s="660" t="str">
        <f>IFERROR(VALUE(RIGHT(AA1452,LEN(AA1452)-MIN(FIND({0;1;2;3;4;5;6;7;8;9},AA1452&amp;"0123456789"))+1)),"")</f>
        <v/>
      </c>
    </row>
    <row r="1453" spans="28:28" x14ac:dyDescent="0.2">
      <c r="AB1453" s="660" t="str">
        <f>IFERROR(VALUE(RIGHT(AA1453,LEN(AA1453)-MIN(FIND({0;1;2;3;4;5;6;7;8;9},AA1453&amp;"0123456789"))+1)),"")</f>
        <v/>
      </c>
    </row>
    <row r="1454" spans="28:28" x14ac:dyDescent="0.2">
      <c r="AB1454" s="660" t="str">
        <f>IFERROR(VALUE(RIGHT(AA1454,LEN(AA1454)-MIN(FIND({0;1;2;3;4;5;6;7;8;9},AA1454&amp;"0123456789"))+1)),"")</f>
        <v/>
      </c>
    </row>
    <row r="1455" spans="28:28" x14ac:dyDescent="0.2">
      <c r="AB1455" s="660" t="str">
        <f>IFERROR(VALUE(RIGHT(AA1455,LEN(AA1455)-MIN(FIND({0;1;2;3;4;5;6;7;8;9},AA1455&amp;"0123456789"))+1)),"")</f>
        <v/>
      </c>
    </row>
    <row r="1456" spans="28:28" x14ac:dyDescent="0.2">
      <c r="AB1456" s="660" t="str">
        <f>IFERROR(VALUE(RIGHT(AA1456,LEN(AA1456)-MIN(FIND({0;1;2;3;4;5;6;7;8;9},AA1456&amp;"0123456789"))+1)),"")</f>
        <v/>
      </c>
    </row>
    <row r="1457" spans="28:28" x14ac:dyDescent="0.2">
      <c r="AB1457" s="660" t="str">
        <f>IFERROR(VALUE(RIGHT(AA1457,LEN(AA1457)-MIN(FIND({0;1;2;3;4;5;6;7;8;9},AA1457&amp;"0123456789"))+1)),"")</f>
        <v/>
      </c>
    </row>
    <row r="1458" spans="28:28" x14ac:dyDescent="0.2">
      <c r="AB1458" s="660" t="str">
        <f>IFERROR(VALUE(RIGHT(AA1458,LEN(AA1458)-MIN(FIND({0;1;2;3;4;5;6;7;8;9},AA1458&amp;"0123456789"))+1)),"")</f>
        <v/>
      </c>
    </row>
    <row r="1459" spans="28:28" x14ac:dyDescent="0.2">
      <c r="AB1459" s="660" t="str">
        <f>IFERROR(VALUE(RIGHT(AA1459,LEN(AA1459)-MIN(FIND({0;1;2;3;4;5;6;7;8;9},AA1459&amp;"0123456789"))+1)),"")</f>
        <v/>
      </c>
    </row>
    <row r="1460" spans="28:28" x14ac:dyDescent="0.2">
      <c r="AB1460" s="660" t="str">
        <f>IFERROR(VALUE(RIGHT(AA1460,LEN(AA1460)-MIN(FIND({0;1;2;3;4;5;6;7;8;9},AA1460&amp;"0123456789"))+1)),"")</f>
        <v/>
      </c>
    </row>
    <row r="1461" spans="28:28" x14ac:dyDescent="0.2">
      <c r="AB1461" s="660" t="str">
        <f>IFERROR(VALUE(RIGHT(AA1461,LEN(AA1461)-MIN(FIND({0;1;2;3;4;5;6;7;8;9},AA1461&amp;"0123456789"))+1)),"")</f>
        <v/>
      </c>
    </row>
    <row r="1462" spans="28:28" x14ac:dyDescent="0.2">
      <c r="AB1462" s="660" t="str">
        <f>IFERROR(VALUE(RIGHT(AA1462,LEN(AA1462)-MIN(FIND({0;1;2;3;4;5;6;7;8;9},AA1462&amp;"0123456789"))+1)),"")</f>
        <v/>
      </c>
    </row>
    <row r="1463" spans="28:28" x14ac:dyDescent="0.2">
      <c r="AB1463" s="660" t="str">
        <f>IFERROR(VALUE(RIGHT(AA1463,LEN(AA1463)-MIN(FIND({0;1;2;3;4;5;6;7;8;9},AA1463&amp;"0123456789"))+1)),"")</f>
        <v/>
      </c>
    </row>
    <row r="1464" spans="28:28" x14ac:dyDescent="0.2">
      <c r="AB1464" s="660" t="str">
        <f>IFERROR(VALUE(RIGHT(AA1464,LEN(AA1464)-MIN(FIND({0;1;2;3;4;5;6;7;8;9},AA1464&amp;"0123456789"))+1)),"")</f>
        <v/>
      </c>
    </row>
    <row r="1465" spans="28:28" x14ac:dyDescent="0.2">
      <c r="AB1465" s="660" t="str">
        <f>IFERROR(VALUE(RIGHT(AA1465,LEN(AA1465)-MIN(FIND({0;1;2;3;4;5;6;7;8;9},AA1465&amp;"0123456789"))+1)),"")</f>
        <v/>
      </c>
    </row>
    <row r="1466" spans="28:28" x14ac:dyDescent="0.2">
      <c r="AB1466" s="660" t="str">
        <f>IFERROR(VALUE(RIGHT(AA1466,LEN(AA1466)-MIN(FIND({0;1;2;3;4;5;6;7;8;9},AA1466&amp;"0123456789"))+1)),"")</f>
        <v/>
      </c>
    </row>
    <row r="1467" spans="28:28" x14ac:dyDescent="0.2">
      <c r="AB1467" s="660" t="str">
        <f>IFERROR(VALUE(RIGHT(AA1467,LEN(AA1467)-MIN(FIND({0;1;2;3;4;5;6;7;8;9},AA1467&amp;"0123456789"))+1)),"")</f>
        <v/>
      </c>
    </row>
    <row r="1468" spans="28:28" x14ac:dyDescent="0.2">
      <c r="AB1468" s="660" t="str">
        <f>IFERROR(VALUE(RIGHT(AA1468,LEN(AA1468)-MIN(FIND({0;1;2;3;4;5;6;7;8;9},AA1468&amp;"0123456789"))+1)),"")</f>
        <v/>
      </c>
    </row>
    <row r="1469" spans="28:28" x14ac:dyDescent="0.2">
      <c r="AB1469" s="660" t="str">
        <f>IFERROR(VALUE(RIGHT(AA1469,LEN(AA1469)-MIN(FIND({0;1;2;3;4;5;6;7;8;9},AA1469&amp;"0123456789"))+1)),"")</f>
        <v/>
      </c>
    </row>
    <row r="1470" spans="28:28" x14ac:dyDescent="0.2">
      <c r="AB1470" s="660" t="str">
        <f>IFERROR(VALUE(RIGHT(AA1470,LEN(AA1470)-MIN(FIND({0;1;2;3;4;5;6;7;8;9},AA1470&amp;"0123456789"))+1)),"")</f>
        <v/>
      </c>
    </row>
    <row r="1471" spans="28:28" x14ac:dyDescent="0.2">
      <c r="AB1471" s="660" t="str">
        <f>IFERROR(VALUE(RIGHT(AA1471,LEN(AA1471)-MIN(FIND({0;1;2;3;4;5;6;7;8;9},AA1471&amp;"0123456789"))+1)),"")</f>
        <v/>
      </c>
    </row>
    <row r="1472" spans="28:28" x14ac:dyDescent="0.2">
      <c r="AB1472" s="660" t="str">
        <f>IFERROR(VALUE(RIGHT(AA1472,LEN(AA1472)-MIN(FIND({0;1;2;3;4;5;6;7;8;9},AA1472&amp;"0123456789"))+1)),"")</f>
        <v/>
      </c>
    </row>
    <row r="1473" spans="28:28" x14ac:dyDescent="0.2">
      <c r="AB1473" s="660" t="str">
        <f>IFERROR(VALUE(RIGHT(AA1473,LEN(AA1473)-MIN(FIND({0;1;2;3;4;5;6;7;8;9},AA1473&amp;"0123456789"))+1)),"")</f>
        <v/>
      </c>
    </row>
    <row r="1474" spans="28:28" x14ac:dyDescent="0.2">
      <c r="AB1474" s="660" t="str">
        <f>IFERROR(VALUE(RIGHT(AA1474,LEN(AA1474)-MIN(FIND({0;1;2;3;4;5;6;7;8;9},AA1474&amp;"0123456789"))+1)),"")</f>
        <v/>
      </c>
    </row>
    <row r="1475" spans="28:28" x14ac:dyDescent="0.2">
      <c r="AB1475" s="660" t="str">
        <f>IFERROR(VALUE(RIGHT(AA1475,LEN(AA1475)-MIN(FIND({0;1;2;3;4;5;6;7;8;9},AA1475&amp;"0123456789"))+1)),"")</f>
        <v/>
      </c>
    </row>
    <row r="1476" spans="28:28" x14ac:dyDescent="0.2">
      <c r="AB1476" s="660" t="str">
        <f>IFERROR(VALUE(RIGHT(AA1476,LEN(AA1476)-MIN(FIND({0;1;2;3;4;5;6;7;8;9},AA1476&amp;"0123456789"))+1)),"")</f>
        <v/>
      </c>
    </row>
    <row r="1477" spans="28:28" x14ac:dyDescent="0.2">
      <c r="AB1477" s="660" t="str">
        <f>IFERROR(VALUE(RIGHT(AA1477,LEN(AA1477)-MIN(FIND({0;1;2;3;4;5;6;7;8;9},AA1477&amp;"0123456789"))+1)),"")</f>
        <v/>
      </c>
    </row>
    <row r="1478" spans="28:28" x14ac:dyDescent="0.2">
      <c r="AB1478" s="660" t="str">
        <f>IFERROR(VALUE(RIGHT(AA1478,LEN(AA1478)-MIN(FIND({0;1;2;3;4;5;6;7;8;9},AA1478&amp;"0123456789"))+1)),"")</f>
        <v/>
      </c>
    </row>
    <row r="1479" spans="28:28" x14ac:dyDescent="0.2">
      <c r="AB1479" s="660" t="str">
        <f>IFERROR(VALUE(RIGHT(AA1479,LEN(AA1479)-MIN(FIND({0;1;2;3;4;5;6;7;8;9},AA1479&amp;"0123456789"))+1)),"")</f>
        <v/>
      </c>
    </row>
    <row r="1480" spans="28:28" x14ac:dyDescent="0.2">
      <c r="AB1480" s="660" t="str">
        <f>IFERROR(VALUE(RIGHT(AA1480,LEN(AA1480)-MIN(FIND({0;1;2;3;4;5;6;7;8;9},AA1480&amp;"0123456789"))+1)),"")</f>
        <v/>
      </c>
    </row>
    <row r="1481" spans="28:28" x14ac:dyDescent="0.2">
      <c r="AB1481" s="660" t="str">
        <f>IFERROR(VALUE(RIGHT(AA1481,LEN(AA1481)-MIN(FIND({0;1;2;3;4;5;6;7;8;9},AA1481&amp;"0123456789"))+1)),"")</f>
        <v/>
      </c>
    </row>
    <row r="1482" spans="28:28" x14ac:dyDescent="0.2">
      <c r="AB1482" s="660" t="str">
        <f>IFERROR(VALUE(RIGHT(AA1482,LEN(AA1482)-MIN(FIND({0;1;2;3;4;5;6;7;8;9},AA1482&amp;"0123456789"))+1)),"")</f>
        <v/>
      </c>
    </row>
    <row r="1483" spans="28:28" x14ac:dyDescent="0.2">
      <c r="AB1483" s="660" t="str">
        <f>IFERROR(VALUE(RIGHT(AA1483,LEN(AA1483)-MIN(FIND({0;1;2;3;4;5;6;7;8;9},AA1483&amp;"0123456789"))+1)),"")</f>
        <v/>
      </c>
    </row>
    <row r="1484" spans="28:28" x14ac:dyDescent="0.2">
      <c r="AB1484" s="660" t="str">
        <f>IFERROR(VALUE(RIGHT(AA1484,LEN(AA1484)-MIN(FIND({0;1;2;3;4;5;6;7;8;9},AA1484&amp;"0123456789"))+1)),"")</f>
        <v/>
      </c>
    </row>
    <row r="1485" spans="28:28" x14ac:dyDescent="0.2">
      <c r="AB1485" s="660" t="str">
        <f>IFERROR(VALUE(RIGHT(AA1485,LEN(AA1485)-MIN(FIND({0;1;2;3;4;5;6;7;8;9},AA1485&amp;"0123456789"))+1)),"")</f>
        <v/>
      </c>
    </row>
    <row r="1486" spans="28:28" x14ac:dyDescent="0.2">
      <c r="AB1486" s="660" t="str">
        <f>IFERROR(VALUE(RIGHT(AA1486,LEN(AA1486)-MIN(FIND({0;1;2;3;4;5;6;7;8;9},AA1486&amp;"0123456789"))+1)),"")</f>
        <v/>
      </c>
    </row>
    <row r="1487" spans="28:28" x14ac:dyDescent="0.2">
      <c r="AB1487" s="660" t="str">
        <f>IFERROR(VALUE(RIGHT(AA1487,LEN(AA1487)-MIN(FIND({0;1;2;3;4;5;6;7;8;9},AA1487&amp;"0123456789"))+1)),"")</f>
        <v/>
      </c>
    </row>
    <row r="1488" spans="28:28" x14ac:dyDescent="0.2">
      <c r="AB1488" s="660" t="str">
        <f>IFERROR(VALUE(RIGHT(AA1488,LEN(AA1488)-MIN(FIND({0;1;2;3;4;5;6;7;8;9},AA1488&amp;"0123456789"))+1)),"")</f>
        <v/>
      </c>
    </row>
    <row r="1489" spans="28:28" x14ac:dyDescent="0.2">
      <c r="AB1489" s="660" t="str">
        <f>IFERROR(VALUE(RIGHT(AA1489,LEN(AA1489)-MIN(FIND({0;1;2;3;4;5;6;7;8;9},AA1489&amp;"0123456789"))+1)),"")</f>
        <v/>
      </c>
    </row>
    <row r="1490" spans="28:28" x14ac:dyDescent="0.2">
      <c r="AB1490" s="660" t="str">
        <f>IFERROR(VALUE(RIGHT(AA1490,LEN(AA1490)-MIN(FIND({0;1;2;3;4;5;6;7;8;9},AA1490&amp;"0123456789"))+1)),"")</f>
        <v/>
      </c>
    </row>
    <row r="1491" spans="28:28" x14ac:dyDescent="0.2">
      <c r="AB1491" s="660" t="str">
        <f>IFERROR(VALUE(RIGHT(AA1491,LEN(AA1491)-MIN(FIND({0;1;2;3;4;5;6;7;8;9},AA1491&amp;"0123456789"))+1)),"")</f>
        <v/>
      </c>
    </row>
    <row r="1492" spans="28:28" x14ac:dyDescent="0.2">
      <c r="AB1492" s="660" t="str">
        <f>IFERROR(VALUE(RIGHT(AA1492,LEN(AA1492)-MIN(FIND({0;1;2;3;4;5;6;7;8;9},AA1492&amp;"0123456789"))+1)),"")</f>
        <v/>
      </c>
    </row>
    <row r="1493" spans="28:28" x14ac:dyDescent="0.2">
      <c r="AB1493" s="660" t="str">
        <f>IFERROR(VALUE(RIGHT(AA1493,LEN(AA1493)-MIN(FIND({0;1;2;3;4;5;6;7;8;9},AA1493&amp;"0123456789"))+1)),"")</f>
        <v/>
      </c>
    </row>
    <row r="1494" spans="28:28" x14ac:dyDescent="0.2">
      <c r="AB1494" s="660" t="str">
        <f>IFERROR(VALUE(RIGHT(AA1494,LEN(AA1494)-MIN(FIND({0;1;2;3;4;5;6;7;8;9},AA1494&amp;"0123456789"))+1)),"")</f>
        <v/>
      </c>
    </row>
    <row r="1495" spans="28:28" x14ac:dyDescent="0.2">
      <c r="AB1495" s="660" t="str">
        <f>IFERROR(VALUE(RIGHT(AA1495,LEN(AA1495)-MIN(FIND({0;1;2;3;4;5;6;7;8;9},AA1495&amp;"0123456789"))+1)),"")</f>
        <v/>
      </c>
    </row>
    <row r="1496" spans="28:28" x14ac:dyDescent="0.2">
      <c r="AB1496" s="660" t="str">
        <f>IFERROR(VALUE(RIGHT(AA1496,LEN(AA1496)-MIN(FIND({0;1;2;3;4;5;6;7;8;9},AA1496&amp;"0123456789"))+1)),"")</f>
        <v/>
      </c>
    </row>
    <row r="1497" spans="28:28" x14ac:dyDescent="0.2">
      <c r="AB1497" s="660" t="str">
        <f>IFERROR(VALUE(RIGHT(AA1497,LEN(AA1497)-MIN(FIND({0;1;2;3;4;5;6;7;8;9},AA1497&amp;"0123456789"))+1)),"")</f>
        <v/>
      </c>
    </row>
    <row r="1498" spans="28:28" x14ac:dyDescent="0.2">
      <c r="AB1498" s="660" t="str">
        <f>IFERROR(VALUE(RIGHT(AA1498,LEN(AA1498)-MIN(FIND({0;1;2;3;4;5;6;7;8;9},AA1498&amp;"0123456789"))+1)),"")</f>
        <v/>
      </c>
    </row>
    <row r="1499" spans="28:28" x14ac:dyDescent="0.2">
      <c r="AB1499" s="660" t="str">
        <f>IFERROR(VALUE(RIGHT(AA1499,LEN(AA1499)-MIN(FIND({0;1;2;3;4;5;6;7;8;9},AA1499&amp;"0123456789"))+1)),"")</f>
        <v/>
      </c>
    </row>
    <row r="1500" spans="28:28" x14ac:dyDescent="0.2">
      <c r="AB1500" s="660" t="str">
        <f>IFERROR(VALUE(RIGHT(AA1500,LEN(AA1500)-MIN(FIND({0;1;2;3;4;5;6;7;8;9},AA1500&amp;"0123456789"))+1)),"")</f>
        <v/>
      </c>
    </row>
    <row r="1501" spans="28:28" x14ac:dyDescent="0.2">
      <c r="AB1501" s="660" t="str">
        <f>IFERROR(VALUE(RIGHT(AA1501,LEN(AA1501)-MIN(FIND({0;1;2;3;4;5;6;7;8;9},AA1501&amp;"0123456789"))+1)),"")</f>
        <v/>
      </c>
    </row>
    <row r="1502" spans="28:28" x14ac:dyDescent="0.2">
      <c r="AB1502" s="660" t="str">
        <f>IFERROR(VALUE(RIGHT(AA1502,LEN(AA1502)-MIN(FIND({0;1;2;3;4;5;6;7;8;9},AA1502&amp;"0123456789"))+1)),"")</f>
        <v/>
      </c>
    </row>
    <row r="1503" spans="28:28" x14ac:dyDescent="0.2">
      <c r="AB1503" s="660" t="str">
        <f>IFERROR(VALUE(RIGHT(AA1503,LEN(AA1503)-MIN(FIND({0;1;2;3;4;5;6;7;8;9},AA1503&amp;"0123456789"))+1)),"")</f>
        <v/>
      </c>
    </row>
    <row r="1504" spans="28:28" x14ac:dyDescent="0.2">
      <c r="AB1504" s="660" t="str">
        <f>IFERROR(VALUE(RIGHT(AA1504,LEN(AA1504)-MIN(FIND({0;1;2;3;4;5;6;7;8;9},AA1504&amp;"0123456789"))+1)),"")</f>
        <v/>
      </c>
    </row>
    <row r="1505" spans="28:28" x14ac:dyDescent="0.2">
      <c r="AB1505" s="660" t="str">
        <f>IFERROR(VALUE(RIGHT(AA1505,LEN(AA1505)-MIN(FIND({0;1;2;3;4;5;6;7;8;9},AA1505&amp;"0123456789"))+1)),"")</f>
        <v/>
      </c>
    </row>
    <row r="1506" spans="28:28" x14ac:dyDescent="0.2">
      <c r="AB1506" s="660" t="str">
        <f>IFERROR(VALUE(RIGHT(AA1506,LEN(AA1506)-MIN(FIND({0;1;2;3;4;5;6;7;8;9},AA1506&amp;"0123456789"))+1)),"")</f>
        <v/>
      </c>
    </row>
    <row r="1507" spans="28:28" x14ac:dyDescent="0.2">
      <c r="AB1507" s="660" t="str">
        <f>IFERROR(VALUE(RIGHT(AA1507,LEN(AA1507)-MIN(FIND({0;1;2;3;4;5;6;7;8;9},AA1507&amp;"0123456789"))+1)),"")</f>
        <v/>
      </c>
    </row>
    <row r="1508" spans="28:28" x14ac:dyDescent="0.2">
      <c r="AB1508" s="660" t="str">
        <f>IFERROR(VALUE(RIGHT(AA1508,LEN(AA1508)-MIN(FIND({0;1;2;3;4;5;6;7;8;9},AA1508&amp;"0123456789"))+1)),"")</f>
        <v/>
      </c>
    </row>
    <row r="1509" spans="28:28" x14ac:dyDescent="0.2">
      <c r="AB1509" s="660" t="str">
        <f>IFERROR(VALUE(RIGHT(AA1509,LEN(AA1509)-MIN(FIND({0;1;2;3;4;5;6;7;8;9},AA1509&amp;"0123456789"))+1)),"")</f>
        <v/>
      </c>
    </row>
    <row r="1510" spans="28:28" x14ac:dyDescent="0.2">
      <c r="AB1510" s="660" t="str">
        <f>IFERROR(VALUE(RIGHT(AA1510,LEN(AA1510)-MIN(FIND({0;1;2;3;4;5;6;7;8;9},AA1510&amp;"0123456789"))+1)),"")</f>
        <v/>
      </c>
    </row>
    <row r="1511" spans="28:28" x14ac:dyDescent="0.2">
      <c r="AB1511" s="660" t="str">
        <f>IFERROR(VALUE(RIGHT(AA1511,LEN(AA1511)-MIN(FIND({0;1;2;3;4;5;6;7;8;9},AA1511&amp;"0123456789"))+1)),"")</f>
        <v/>
      </c>
    </row>
    <row r="1512" spans="28:28" x14ac:dyDescent="0.2">
      <c r="AB1512" s="660" t="str">
        <f>IFERROR(VALUE(RIGHT(AA1512,LEN(AA1512)-MIN(FIND({0;1;2;3;4;5;6;7;8;9},AA1512&amp;"0123456789"))+1)),"")</f>
        <v/>
      </c>
    </row>
    <row r="1513" spans="28:28" x14ac:dyDescent="0.2">
      <c r="AB1513" s="660" t="str">
        <f>IFERROR(VALUE(RIGHT(AA1513,LEN(AA1513)-MIN(FIND({0;1;2;3;4;5;6;7;8;9},AA1513&amp;"0123456789"))+1)),"")</f>
        <v/>
      </c>
    </row>
    <row r="1514" spans="28:28" x14ac:dyDescent="0.2">
      <c r="AB1514" s="660" t="str">
        <f>IFERROR(VALUE(RIGHT(AA1514,LEN(AA1514)-MIN(FIND({0;1;2;3;4;5;6;7;8;9},AA1514&amp;"0123456789"))+1)),"")</f>
        <v/>
      </c>
    </row>
    <row r="1515" spans="28:28" x14ac:dyDescent="0.2">
      <c r="AB1515" s="660" t="str">
        <f>IFERROR(VALUE(RIGHT(AA1515,LEN(AA1515)-MIN(FIND({0;1;2;3;4;5;6;7;8;9},AA1515&amp;"0123456789"))+1)),"")</f>
        <v/>
      </c>
    </row>
    <row r="1516" spans="28:28" x14ac:dyDescent="0.2">
      <c r="AB1516" s="660" t="str">
        <f>IFERROR(VALUE(RIGHT(AA1516,LEN(AA1516)-MIN(FIND({0;1;2;3;4;5;6;7;8;9},AA1516&amp;"0123456789"))+1)),"")</f>
        <v/>
      </c>
    </row>
    <row r="1517" spans="28:28" x14ac:dyDescent="0.2">
      <c r="AB1517" s="660" t="str">
        <f>IFERROR(VALUE(RIGHT(AA1517,LEN(AA1517)-MIN(FIND({0;1;2;3;4;5;6;7;8;9},AA1517&amp;"0123456789"))+1)),"")</f>
        <v/>
      </c>
    </row>
    <row r="1518" spans="28:28" x14ac:dyDescent="0.2">
      <c r="AB1518" s="660" t="str">
        <f>IFERROR(VALUE(RIGHT(AA1518,LEN(AA1518)-MIN(FIND({0;1;2;3;4;5;6;7;8;9},AA1518&amp;"0123456789"))+1)),"")</f>
        <v/>
      </c>
    </row>
    <row r="1519" spans="28:28" x14ac:dyDescent="0.2">
      <c r="AB1519" s="660" t="str">
        <f>IFERROR(VALUE(RIGHT(AA1519,LEN(AA1519)-MIN(FIND({0;1;2;3;4;5;6;7;8;9},AA1519&amp;"0123456789"))+1)),"")</f>
        <v/>
      </c>
    </row>
    <row r="1520" spans="28:28" x14ac:dyDescent="0.2">
      <c r="AB1520" s="660" t="str">
        <f>IFERROR(VALUE(RIGHT(AA1520,LEN(AA1520)-MIN(FIND({0;1;2;3;4;5;6;7;8;9},AA1520&amp;"0123456789"))+1)),"")</f>
        <v/>
      </c>
    </row>
    <row r="1521" spans="28:28" x14ac:dyDescent="0.2">
      <c r="AB1521" s="660" t="str">
        <f>IFERROR(VALUE(RIGHT(AA1521,LEN(AA1521)-MIN(FIND({0;1;2;3;4;5;6;7;8;9},AA1521&amp;"0123456789"))+1)),"")</f>
        <v/>
      </c>
    </row>
    <row r="1522" spans="28:28" x14ac:dyDescent="0.2">
      <c r="AB1522" s="660" t="str">
        <f>IFERROR(VALUE(RIGHT(AA1522,LEN(AA1522)-MIN(FIND({0;1;2;3;4;5;6;7;8;9},AA1522&amp;"0123456789"))+1)),"")</f>
        <v/>
      </c>
    </row>
    <row r="1523" spans="28:28" x14ac:dyDescent="0.2">
      <c r="AB1523" s="660" t="str">
        <f>IFERROR(VALUE(RIGHT(AA1523,LEN(AA1523)-MIN(FIND({0;1;2;3;4;5;6;7;8;9},AA1523&amp;"0123456789"))+1)),"")</f>
        <v/>
      </c>
    </row>
    <row r="1524" spans="28:28" x14ac:dyDescent="0.2">
      <c r="AB1524" s="660" t="str">
        <f>IFERROR(VALUE(RIGHT(AA1524,LEN(AA1524)-MIN(FIND({0;1;2;3;4;5;6;7;8;9},AA1524&amp;"0123456789"))+1)),"")</f>
        <v/>
      </c>
    </row>
    <row r="1525" spans="28:28" x14ac:dyDescent="0.2">
      <c r="AB1525" s="660" t="str">
        <f>IFERROR(VALUE(RIGHT(AA1525,LEN(AA1525)-MIN(FIND({0;1;2;3;4;5;6;7;8;9},AA1525&amp;"0123456789"))+1)),"")</f>
        <v/>
      </c>
    </row>
    <row r="1526" spans="28:28" x14ac:dyDescent="0.2">
      <c r="AB1526" s="660" t="str">
        <f>IFERROR(VALUE(RIGHT(AA1526,LEN(AA1526)-MIN(FIND({0;1;2;3;4;5;6;7;8;9},AA1526&amp;"0123456789"))+1)),"")</f>
        <v/>
      </c>
    </row>
    <row r="1527" spans="28:28" x14ac:dyDescent="0.2">
      <c r="AB1527" s="660" t="str">
        <f>IFERROR(VALUE(RIGHT(AA1527,LEN(AA1527)-MIN(FIND({0;1;2;3;4;5;6;7;8;9},AA1527&amp;"0123456789"))+1)),"")</f>
        <v/>
      </c>
    </row>
    <row r="1528" spans="28:28" x14ac:dyDescent="0.2">
      <c r="AB1528" s="660" t="str">
        <f>IFERROR(VALUE(RIGHT(AA1528,LEN(AA1528)-MIN(FIND({0;1;2;3;4;5;6;7;8;9},AA1528&amp;"0123456789"))+1)),"")</f>
        <v/>
      </c>
    </row>
    <row r="1529" spans="28:28" x14ac:dyDescent="0.2">
      <c r="AB1529" s="660" t="str">
        <f>IFERROR(VALUE(RIGHT(AA1529,LEN(AA1529)-MIN(FIND({0;1;2;3;4;5;6;7;8;9},AA1529&amp;"0123456789"))+1)),"")</f>
        <v/>
      </c>
    </row>
    <row r="1530" spans="28:28" x14ac:dyDescent="0.2">
      <c r="AB1530" s="660" t="str">
        <f>IFERROR(VALUE(RIGHT(AA1530,LEN(AA1530)-MIN(FIND({0;1;2;3;4;5;6;7;8;9},AA1530&amp;"0123456789"))+1)),"")</f>
        <v/>
      </c>
    </row>
    <row r="1531" spans="28:28" x14ac:dyDescent="0.2">
      <c r="AB1531" s="660" t="str">
        <f>IFERROR(VALUE(RIGHT(AA1531,LEN(AA1531)-MIN(FIND({0;1;2;3;4;5;6;7;8;9},AA1531&amp;"0123456789"))+1)),"")</f>
        <v/>
      </c>
    </row>
    <row r="1532" spans="28:28" x14ac:dyDescent="0.2">
      <c r="AB1532" s="660" t="str">
        <f>IFERROR(VALUE(RIGHT(AA1532,LEN(AA1532)-MIN(FIND({0;1;2;3;4;5;6;7;8;9},AA1532&amp;"0123456789"))+1)),"")</f>
        <v/>
      </c>
    </row>
    <row r="1533" spans="28:28" x14ac:dyDescent="0.2">
      <c r="AB1533" s="660" t="str">
        <f>IFERROR(VALUE(RIGHT(AA1533,LEN(AA1533)-MIN(FIND({0;1;2;3;4;5;6;7;8;9},AA1533&amp;"0123456789"))+1)),"")</f>
        <v/>
      </c>
    </row>
    <row r="1534" spans="28:28" x14ac:dyDescent="0.2">
      <c r="AB1534" s="660" t="str">
        <f>IFERROR(VALUE(RIGHT(AA1534,LEN(AA1534)-MIN(FIND({0;1;2;3;4;5;6;7;8;9},AA1534&amp;"0123456789"))+1)),"")</f>
        <v/>
      </c>
    </row>
    <row r="1535" spans="28:28" x14ac:dyDescent="0.2">
      <c r="AB1535" s="660" t="str">
        <f>IFERROR(VALUE(RIGHT(AA1535,LEN(AA1535)-MIN(FIND({0;1;2;3;4;5;6;7;8;9},AA1535&amp;"0123456789"))+1)),"")</f>
        <v/>
      </c>
    </row>
    <row r="1536" spans="28:28" x14ac:dyDescent="0.2">
      <c r="AB1536" s="660" t="str">
        <f>IFERROR(VALUE(RIGHT(AA1536,LEN(AA1536)-MIN(FIND({0;1;2;3;4;5;6;7;8;9},AA1536&amp;"0123456789"))+1)),"")</f>
        <v/>
      </c>
    </row>
    <row r="1537" spans="28:28" x14ac:dyDescent="0.2">
      <c r="AB1537" s="660" t="str">
        <f>IFERROR(VALUE(RIGHT(AA1537,LEN(AA1537)-MIN(FIND({0;1;2;3;4;5;6;7;8;9},AA1537&amp;"0123456789"))+1)),"")</f>
        <v/>
      </c>
    </row>
    <row r="1538" spans="28:28" x14ac:dyDescent="0.2">
      <c r="AB1538" s="660" t="str">
        <f>IFERROR(VALUE(RIGHT(AA1538,LEN(AA1538)-MIN(FIND({0;1;2;3;4;5;6;7;8;9},AA1538&amp;"0123456789"))+1)),"")</f>
        <v/>
      </c>
    </row>
    <row r="1539" spans="28:28" x14ac:dyDescent="0.2">
      <c r="AB1539" s="660" t="str">
        <f>IFERROR(VALUE(RIGHT(AA1539,LEN(AA1539)-MIN(FIND({0;1;2;3;4;5;6;7;8;9},AA1539&amp;"0123456789"))+1)),"")</f>
        <v/>
      </c>
    </row>
    <row r="1540" spans="28:28" x14ac:dyDescent="0.2">
      <c r="AB1540" s="660" t="str">
        <f>IFERROR(VALUE(RIGHT(AA1540,LEN(AA1540)-MIN(FIND({0;1;2;3;4;5;6;7;8;9},AA1540&amp;"0123456789"))+1)),"")</f>
        <v/>
      </c>
    </row>
    <row r="1541" spans="28:28" x14ac:dyDescent="0.2">
      <c r="AB1541" s="660" t="str">
        <f>IFERROR(VALUE(RIGHT(AA1541,LEN(AA1541)-MIN(FIND({0;1;2;3;4;5;6;7;8;9},AA1541&amp;"0123456789"))+1)),"")</f>
        <v/>
      </c>
    </row>
    <row r="1542" spans="28:28" x14ac:dyDescent="0.2">
      <c r="AB1542" s="660" t="str">
        <f>IFERROR(VALUE(RIGHT(AA1542,LEN(AA1542)-MIN(FIND({0;1;2;3;4;5;6;7;8;9},AA1542&amp;"0123456789"))+1)),"")</f>
        <v/>
      </c>
    </row>
    <row r="1543" spans="28:28" x14ac:dyDescent="0.2">
      <c r="AB1543" s="660" t="str">
        <f>IFERROR(VALUE(RIGHT(AA1543,LEN(AA1543)-MIN(FIND({0;1;2;3;4;5;6;7;8;9},AA1543&amp;"0123456789"))+1)),"")</f>
        <v/>
      </c>
    </row>
    <row r="1544" spans="28:28" x14ac:dyDescent="0.2">
      <c r="AB1544" s="660" t="str">
        <f>IFERROR(VALUE(RIGHT(AA1544,LEN(AA1544)-MIN(FIND({0;1;2;3;4;5;6;7;8;9},AA1544&amp;"0123456789"))+1)),"")</f>
        <v/>
      </c>
    </row>
    <row r="1545" spans="28:28" x14ac:dyDescent="0.2">
      <c r="AB1545" s="660" t="str">
        <f>IFERROR(VALUE(RIGHT(AA1545,LEN(AA1545)-MIN(FIND({0;1;2;3;4;5;6;7;8;9},AA1545&amp;"0123456789"))+1)),"")</f>
        <v/>
      </c>
    </row>
    <row r="1546" spans="28:28" x14ac:dyDescent="0.2">
      <c r="AB1546" s="660" t="str">
        <f>IFERROR(VALUE(RIGHT(AA1546,LEN(AA1546)-MIN(FIND({0;1;2;3;4;5;6;7;8;9},AA1546&amp;"0123456789"))+1)),"")</f>
        <v/>
      </c>
    </row>
    <row r="1547" spans="28:28" x14ac:dyDescent="0.2">
      <c r="AB1547" s="660" t="str">
        <f>IFERROR(VALUE(RIGHT(AA1547,LEN(AA1547)-MIN(FIND({0;1;2;3;4;5;6;7;8;9},AA1547&amp;"0123456789"))+1)),"")</f>
        <v/>
      </c>
    </row>
    <row r="1548" spans="28:28" x14ac:dyDescent="0.2">
      <c r="AB1548" s="660" t="str">
        <f>IFERROR(VALUE(RIGHT(AA1548,LEN(AA1548)-MIN(FIND({0;1;2;3;4;5;6;7;8;9},AA1548&amp;"0123456789"))+1)),"")</f>
        <v/>
      </c>
    </row>
    <row r="1549" spans="28:28" x14ac:dyDescent="0.2">
      <c r="AB1549" s="660" t="str">
        <f>IFERROR(VALUE(RIGHT(AA1549,LEN(AA1549)-MIN(FIND({0;1;2;3;4;5;6;7;8;9},AA1549&amp;"0123456789"))+1)),"")</f>
        <v/>
      </c>
    </row>
    <row r="1550" spans="28:28" x14ac:dyDescent="0.2">
      <c r="AB1550" s="660" t="str">
        <f>IFERROR(VALUE(RIGHT(AA1550,LEN(AA1550)-MIN(FIND({0;1;2;3;4;5;6;7;8;9},AA1550&amp;"0123456789"))+1)),"")</f>
        <v/>
      </c>
    </row>
    <row r="1551" spans="28:28" x14ac:dyDescent="0.2">
      <c r="AB1551" s="660" t="str">
        <f>IFERROR(VALUE(RIGHT(AA1551,LEN(AA1551)-MIN(FIND({0;1;2;3;4;5;6;7;8;9},AA1551&amp;"0123456789"))+1)),"")</f>
        <v/>
      </c>
    </row>
    <row r="1552" spans="28:28" x14ac:dyDescent="0.2">
      <c r="AB1552" s="660" t="str">
        <f>IFERROR(VALUE(RIGHT(AA1552,LEN(AA1552)-MIN(FIND({0;1;2;3;4;5;6;7;8;9},AA1552&amp;"0123456789"))+1)),"")</f>
        <v/>
      </c>
    </row>
    <row r="1553" spans="28:28" x14ac:dyDescent="0.2">
      <c r="AB1553" s="660" t="str">
        <f>IFERROR(VALUE(RIGHT(AA1553,LEN(AA1553)-MIN(FIND({0;1;2;3;4;5;6;7;8;9},AA1553&amp;"0123456789"))+1)),"")</f>
        <v/>
      </c>
    </row>
    <row r="1554" spans="28:28" x14ac:dyDescent="0.2">
      <c r="AB1554" s="660" t="str">
        <f>IFERROR(VALUE(RIGHT(AA1554,LEN(AA1554)-MIN(FIND({0;1;2;3;4;5;6;7;8;9},AA1554&amp;"0123456789"))+1)),"")</f>
        <v/>
      </c>
    </row>
    <row r="1555" spans="28:28" x14ac:dyDescent="0.2">
      <c r="AB1555" s="660" t="str">
        <f>IFERROR(VALUE(RIGHT(AA1555,LEN(AA1555)-MIN(FIND({0;1;2;3;4;5;6;7;8;9},AA1555&amp;"0123456789"))+1)),"")</f>
        <v/>
      </c>
    </row>
    <row r="1556" spans="28:28" x14ac:dyDescent="0.2">
      <c r="AB1556" s="660" t="str">
        <f>IFERROR(VALUE(RIGHT(AA1556,LEN(AA1556)-MIN(FIND({0;1;2;3;4;5;6;7;8;9},AA1556&amp;"0123456789"))+1)),"")</f>
        <v/>
      </c>
    </row>
    <row r="1557" spans="28:28" x14ac:dyDescent="0.2">
      <c r="AB1557" s="660" t="str">
        <f>IFERROR(VALUE(RIGHT(AA1557,LEN(AA1557)-MIN(FIND({0;1;2;3;4;5;6;7;8;9},AA1557&amp;"0123456789"))+1)),"")</f>
        <v/>
      </c>
    </row>
    <row r="1558" spans="28:28" x14ac:dyDescent="0.2">
      <c r="AB1558" s="660" t="str">
        <f>IFERROR(VALUE(RIGHT(AA1558,LEN(AA1558)-MIN(FIND({0;1;2;3;4;5;6;7;8;9},AA1558&amp;"0123456789"))+1)),"")</f>
        <v/>
      </c>
    </row>
    <row r="1559" spans="28:28" x14ac:dyDescent="0.2">
      <c r="AB1559" s="660" t="str">
        <f>IFERROR(VALUE(RIGHT(AA1559,LEN(AA1559)-MIN(FIND({0;1;2;3;4;5;6;7;8;9},AA1559&amp;"0123456789"))+1)),"")</f>
        <v/>
      </c>
    </row>
    <row r="1560" spans="28:28" x14ac:dyDescent="0.2">
      <c r="AB1560" s="660" t="str">
        <f>IFERROR(VALUE(RIGHT(AA1560,LEN(AA1560)-MIN(FIND({0;1;2;3;4;5;6;7;8;9},AA1560&amp;"0123456789"))+1)),"")</f>
        <v/>
      </c>
    </row>
    <row r="1561" spans="28:28" x14ac:dyDescent="0.2">
      <c r="AB1561" s="660" t="str">
        <f>IFERROR(VALUE(RIGHT(AA1561,LEN(AA1561)-MIN(FIND({0;1;2;3;4;5;6;7;8;9},AA1561&amp;"0123456789"))+1)),"")</f>
        <v/>
      </c>
    </row>
    <row r="1562" spans="28:28" x14ac:dyDescent="0.2">
      <c r="AB1562" s="660" t="str">
        <f>IFERROR(VALUE(RIGHT(AA1562,LEN(AA1562)-MIN(FIND({0;1;2;3;4;5;6;7;8;9},AA1562&amp;"0123456789"))+1)),"")</f>
        <v/>
      </c>
    </row>
    <row r="1563" spans="28:28" x14ac:dyDescent="0.2">
      <c r="AB1563" s="660" t="str">
        <f>IFERROR(VALUE(RIGHT(AA1563,LEN(AA1563)-MIN(FIND({0;1;2;3;4;5;6;7;8;9},AA1563&amp;"0123456789"))+1)),"")</f>
        <v/>
      </c>
    </row>
    <row r="1564" spans="28:28" x14ac:dyDescent="0.2">
      <c r="AB1564" s="660" t="str">
        <f>IFERROR(VALUE(RIGHT(AA1564,LEN(AA1564)-MIN(FIND({0;1;2;3;4;5;6;7;8;9},AA1564&amp;"0123456789"))+1)),"")</f>
        <v/>
      </c>
    </row>
    <row r="1565" spans="28:28" x14ac:dyDescent="0.2">
      <c r="AB1565" s="660" t="str">
        <f>IFERROR(VALUE(RIGHT(AA1565,LEN(AA1565)-MIN(FIND({0;1;2;3;4;5;6;7;8;9},AA1565&amp;"0123456789"))+1)),"")</f>
        <v/>
      </c>
    </row>
    <row r="1566" spans="28:28" x14ac:dyDescent="0.2">
      <c r="AB1566" s="660" t="str">
        <f>IFERROR(VALUE(RIGHT(AA1566,LEN(AA1566)-MIN(FIND({0;1;2;3;4;5;6;7;8;9},AA1566&amp;"0123456789"))+1)),"")</f>
        <v/>
      </c>
    </row>
    <row r="1567" spans="28:28" x14ac:dyDescent="0.2">
      <c r="AB1567" s="660" t="str">
        <f>IFERROR(VALUE(RIGHT(AA1567,LEN(AA1567)-MIN(FIND({0;1;2;3;4;5;6;7;8;9},AA1567&amp;"0123456789"))+1)),"")</f>
        <v/>
      </c>
    </row>
    <row r="1568" spans="28:28" x14ac:dyDescent="0.2">
      <c r="AB1568" s="660" t="str">
        <f>IFERROR(VALUE(RIGHT(AA1568,LEN(AA1568)-MIN(FIND({0;1;2;3;4;5;6;7;8;9},AA1568&amp;"0123456789"))+1)),"")</f>
        <v/>
      </c>
    </row>
    <row r="1569" spans="28:28" x14ac:dyDescent="0.2">
      <c r="AB1569" s="660" t="str">
        <f>IFERROR(VALUE(RIGHT(AA1569,LEN(AA1569)-MIN(FIND({0;1;2;3;4;5;6;7;8;9},AA1569&amp;"0123456789"))+1)),"")</f>
        <v/>
      </c>
    </row>
    <row r="1570" spans="28:28" x14ac:dyDescent="0.2">
      <c r="AB1570" s="660" t="str">
        <f>IFERROR(VALUE(RIGHT(AA1570,LEN(AA1570)-MIN(FIND({0;1;2;3;4;5;6;7;8;9},AA1570&amp;"0123456789"))+1)),"")</f>
        <v/>
      </c>
    </row>
    <row r="1571" spans="28:28" x14ac:dyDescent="0.2">
      <c r="AB1571" s="660" t="str">
        <f>IFERROR(VALUE(RIGHT(AA1571,LEN(AA1571)-MIN(FIND({0;1;2;3;4;5;6;7;8;9},AA1571&amp;"0123456789"))+1)),"")</f>
        <v/>
      </c>
    </row>
    <row r="1572" spans="28:28" x14ac:dyDescent="0.2">
      <c r="AB1572" s="660" t="str">
        <f>IFERROR(VALUE(RIGHT(AA1572,LEN(AA1572)-MIN(FIND({0;1;2;3;4;5;6;7;8;9},AA1572&amp;"0123456789"))+1)),"")</f>
        <v/>
      </c>
    </row>
    <row r="1573" spans="28:28" x14ac:dyDescent="0.2">
      <c r="AB1573" s="660" t="str">
        <f>IFERROR(VALUE(RIGHT(AA1573,LEN(AA1573)-MIN(FIND({0;1;2;3;4;5;6;7;8;9},AA1573&amp;"0123456789"))+1)),"")</f>
        <v/>
      </c>
    </row>
    <row r="1574" spans="28:28" x14ac:dyDescent="0.2">
      <c r="AB1574" s="660" t="str">
        <f>IFERROR(VALUE(RIGHT(AA1574,LEN(AA1574)-MIN(FIND({0;1;2;3;4;5;6;7;8;9},AA1574&amp;"0123456789"))+1)),"")</f>
        <v/>
      </c>
    </row>
    <row r="1575" spans="28:28" x14ac:dyDescent="0.2">
      <c r="AB1575" s="660" t="str">
        <f>IFERROR(VALUE(RIGHT(AA1575,LEN(AA1575)-MIN(FIND({0;1;2;3;4;5;6;7;8;9},AA1575&amp;"0123456789"))+1)),"")</f>
        <v/>
      </c>
    </row>
    <row r="1576" spans="28:28" x14ac:dyDescent="0.2">
      <c r="AB1576" s="660" t="str">
        <f>IFERROR(VALUE(RIGHT(AA1576,LEN(AA1576)-MIN(FIND({0;1;2;3;4;5;6;7;8;9},AA1576&amp;"0123456789"))+1)),"")</f>
        <v/>
      </c>
    </row>
    <row r="1577" spans="28:28" x14ac:dyDescent="0.2">
      <c r="AB1577" s="660" t="str">
        <f>IFERROR(VALUE(RIGHT(AA1577,LEN(AA1577)-MIN(FIND({0;1;2;3;4;5;6;7;8;9},AA1577&amp;"0123456789"))+1)),"")</f>
        <v/>
      </c>
    </row>
    <row r="1578" spans="28:28" x14ac:dyDescent="0.2">
      <c r="AB1578" s="660" t="str">
        <f>IFERROR(VALUE(RIGHT(AA1578,LEN(AA1578)-MIN(FIND({0;1;2;3;4;5;6;7;8;9},AA1578&amp;"0123456789"))+1)),"")</f>
        <v/>
      </c>
    </row>
    <row r="1579" spans="28:28" x14ac:dyDescent="0.2">
      <c r="AB1579" s="660" t="str">
        <f>IFERROR(VALUE(RIGHT(AA1579,LEN(AA1579)-MIN(FIND({0;1;2;3;4;5;6;7;8;9},AA1579&amp;"0123456789"))+1)),"")</f>
        <v/>
      </c>
    </row>
    <row r="1580" spans="28:28" x14ac:dyDescent="0.2">
      <c r="AB1580" s="660" t="str">
        <f>IFERROR(VALUE(RIGHT(AA1580,LEN(AA1580)-MIN(FIND({0;1;2;3;4;5;6;7;8;9},AA1580&amp;"0123456789"))+1)),"")</f>
        <v/>
      </c>
    </row>
    <row r="1581" spans="28:28" x14ac:dyDescent="0.2">
      <c r="AB1581" s="660" t="str">
        <f>IFERROR(VALUE(RIGHT(AA1581,LEN(AA1581)-MIN(FIND({0;1;2;3;4;5;6;7;8;9},AA1581&amp;"0123456789"))+1)),"")</f>
        <v/>
      </c>
    </row>
    <row r="1582" spans="28:28" x14ac:dyDescent="0.2">
      <c r="AB1582" s="660" t="str">
        <f>IFERROR(VALUE(RIGHT(AA1582,LEN(AA1582)-MIN(FIND({0;1;2;3;4;5;6;7;8;9},AA1582&amp;"0123456789"))+1)),"")</f>
        <v/>
      </c>
    </row>
    <row r="1583" spans="28:28" x14ac:dyDescent="0.2">
      <c r="AB1583" s="660" t="str">
        <f>IFERROR(VALUE(RIGHT(AA1583,LEN(AA1583)-MIN(FIND({0;1;2;3;4;5;6;7;8;9},AA1583&amp;"0123456789"))+1)),"")</f>
        <v/>
      </c>
    </row>
    <row r="1584" spans="28:28" x14ac:dyDescent="0.2">
      <c r="AB1584" s="660" t="str">
        <f>IFERROR(VALUE(RIGHT(AA1584,LEN(AA1584)-MIN(FIND({0;1;2;3;4;5;6;7;8;9},AA1584&amp;"0123456789"))+1)),"")</f>
        <v/>
      </c>
    </row>
    <row r="1585" spans="28:28" x14ac:dyDescent="0.2">
      <c r="AB1585" s="660" t="str">
        <f>IFERROR(VALUE(RIGHT(AA1585,LEN(AA1585)-MIN(FIND({0;1;2;3;4;5;6;7;8;9},AA1585&amp;"0123456789"))+1)),"")</f>
        <v/>
      </c>
    </row>
    <row r="1586" spans="28:28" x14ac:dyDescent="0.2">
      <c r="AB1586" s="660" t="str">
        <f>IFERROR(VALUE(RIGHT(AA1586,LEN(AA1586)-MIN(FIND({0;1;2;3;4;5;6;7;8;9},AA1586&amp;"0123456789"))+1)),"")</f>
        <v/>
      </c>
    </row>
    <row r="1587" spans="28:28" x14ac:dyDescent="0.2">
      <c r="AB1587" s="660" t="str">
        <f>IFERROR(VALUE(RIGHT(AA1587,LEN(AA1587)-MIN(FIND({0;1;2;3;4;5;6;7;8;9},AA1587&amp;"0123456789"))+1)),"")</f>
        <v/>
      </c>
    </row>
    <row r="1588" spans="28:28" x14ac:dyDescent="0.2">
      <c r="AB1588" s="660" t="str">
        <f>IFERROR(VALUE(RIGHT(AA1588,LEN(AA1588)-MIN(FIND({0;1;2;3;4;5;6;7;8;9},AA1588&amp;"0123456789"))+1)),"")</f>
        <v/>
      </c>
    </row>
    <row r="1589" spans="28:28" x14ac:dyDescent="0.2">
      <c r="AB1589" s="660" t="str">
        <f>IFERROR(VALUE(RIGHT(AA1589,LEN(AA1589)-MIN(FIND({0;1;2;3;4;5;6;7;8;9},AA1589&amp;"0123456789"))+1)),"")</f>
        <v/>
      </c>
    </row>
    <row r="1590" spans="28:28" x14ac:dyDescent="0.2">
      <c r="AB1590" s="660" t="str">
        <f>IFERROR(VALUE(RIGHT(AA1590,LEN(AA1590)-MIN(FIND({0;1;2;3;4;5;6;7;8;9},AA1590&amp;"0123456789"))+1)),"")</f>
        <v/>
      </c>
    </row>
    <row r="1591" spans="28:28" x14ac:dyDescent="0.2">
      <c r="AB1591" s="660" t="str">
        <f>IFERROR(VALUE(RIGHT(AA1591,LEN(AA1591)-MIN(FIND({0;1;2;3;4;5;6;7;8;9},AA1591&amp;"0123456789"))+1)),"")</f>
        <v/>
      </c>
    </row>
    <row r="1592" spans="28:28" x14ac:dyDescent="0.2">
      <c r="AB1592" s="660" t="str">
        <f>IFERROR(VALUE(RIGHT(AA1592,LEN(AA1592)-MIN(FIND({0;1;2;3;4;5;6;7;8;9},AA1592&amp;"0123456789"))+1)),"")</f>
        <v/>
      </c>
    </row>
    <row r="1593" spans="28:28" x14ac:dyDescent="0.2">
      <c r="AB1593" s="660" t="str">
        <f>IFERROR(VALUE(RIGHT(AA1593,LEN(AA1593)-MIN(FIND({0;1;2;3;4;5;6;7;8;9},AA1593&amp;"0123456789"))+1)),"")</f>
        <v/>
      </c>
    </row>
    <row r="1594" spans="28:28" x14ac:dyDescent="0.2">
      <c r="AB1594" s="660" t="str">
        <f>IFERROR(VALUE(RIGHT(AA1594,LEN(AA1594)-MIN(FIND({0;1;2;3;4;5;6;7;8;9},AA1594&amp;"0123456789"))+1)),"")</f>
        <v/>
      </c>
    </row>
    <row r="1595" spans="28:28" x14ac:dyDescent="0.2">
      <c r="AB1595" s="660" t="str">
        <f>IFERROR(VALUE(RIGHT(AA1595,LEN(AA1595)-MIN(FIND({0;1;2;3;4;5;6;7;8;9},AA1595&amp;"0123456789"))+1)),"")</f>
        <v/>
      </c>
    </row>
    <row r="1596" spans="28:28" x14ac:dyDescent="0.2">
      <c r="AB1596" s="660" t="str">
        <f>IFERROR(VALUE(RIGHT(AA1596,LEN(AA1596)-MIN(FIND({0;1;2;3;4;5;6;7;8;9},AA1596&amp;"0123456789"))+1)),"")</f>
        <v/>
      </c>
    </row>
    <row r="1597" spans="28:28" x14ac:dyDescent="0.2">
      <c r="AB1597" s="660" t="str">
        <f>IFERROR(VALUE(RIGHT(AA1597,LEN(AA1597)-MIN(FIND({0;1;2;3;4;5;6;7;8;9},AA1597&amp;"0123456789"))+1)),"")</f>
        <v/>
      </c>
    </row>
    <row r="1598" spans="28:28" x14ac:dyDescent="0.2">
      <c r="AB1598" s="660" t="str">
        <f>IFERROR(VALUE(RIGHT(AA1598,LEN(AA1598)-MIN(FIND({0;1;2;3;4;5;6;7;8;9},AA1598&amp;"0123456789"))+1)),"")</f>
        <v/>
      </c>
    </row>
    <row r="1599" spans="28:28" x14ac:dyDescent="0.2">
      <c r="AB1599" s="660" t="str">
        <f>IFERROR(VALUE(RIGHT(AA1599,LEN(AA1599)-MIN(FIND({0;1;2;3;4;5;6;7;8;9},AA1599&amp;"0123456789"))+1)),"")</f>
        <v/>
      </c>
    </row>
    <row r="1600" spans="28:28" x14ac:dyDescent="0.2">
      <c r="AB1600" s="660" t="str">
        <f>IFERROR(VALUE(RIGHT(AA1600,LEN(AA1600)-MIN(FIND({0;1;2;3;4;5;6;7;8;9},AA1600&amp;"0123456789"))+1)),"")</f>
        <v/>
      </c>
    </row>
    <row r="1601" spans="28:28" x14ac:dyDescent="0.2">
      <c r="AB1601" s="660" t="str">
        <f>IFERROR(VALUE(RIGHT(AA1601,LEN(AA1601)-MIN(FIND({0;1;2;3;4;5;6;7;8;9},AA1601&amp;"0123456789"))+1)),"")</f>
        <v/>
      </c>
    </row>
    <row r="1602" spans="28:28" x14ac:dyDescent="0.2">
      <c r="AB1602" s="660" t="str">
        <f>IFERROR(VALUE(RIGHT(AA1602,LEN(AA1602)-MIN(FIND({0;1;2;3;4;5;6;7;8;9},AA1602&amp;"0123456789"))+1)),"")</f>
        <v/>
      </c>
    </row>
    <row r="1603" spans="28:28" x14ac:dyDescent="0.2">
      <c r="AB1603" s="660" t="str">
        <f>IFERROR(VALUE(RIGHT(AA1603,LEN(AA1603)-MIN(FIND({0;1;2;3;4;5;6;7;8;9},AA1603&amp;"0123456789"))+1)),"")</f>
        <v/>
      </c>
    </row>
    <row r="1604" spans="28:28" x14ac:dyDescent="0.2">
      <c r="AB1604" s="660" t="str">
        <f>IFERROR(VALUE(RIGHT(AA1604,LEN(AA1604)-MIN(FIND({0;1;2;3;4;5;6;7;8;9},AA1604&amp;"0123456789"))+1)),"")</f>
        <v/>
      </c>
    </row>
    <row r="1605" spans="28:28" x14ac:dyDescent="0.2">
      <c r="AB1605" s="660" t="str">
        <f>IFERROR(VALUE(RIGHT(AA1605,LEN(AA1605)-MIN(FIND({0;1;2;3;4;5;6;7;8;9},AA1605&amp;"0123456789"))+1)),"")</f>
        <v/>
      </c>
    </row>
    <row r="1606" spans="28:28" x14ac:dyDescent="0.2">
      <c r="AB1606" s="660" t="str">
        <f>IFERROR(VALUE(RIGHT(AA1606,LEN(AA1606)-MIN(FIND({0;1;2;3;4;5;6;7;8;9},AA1606&amp;"0123456789"))+1)),"")</f>
        <v/>
      </c>
    </row>
    <row r="1607" spans="28:28" x14ac:dyDescent="0.2">
      <c r="AB1607" s="660" t="str">
        <f>IFERROR(VALUE(RIGHT(AA1607,LEN(AA1607)-MIN(FIND({0;1;2;3;4;5;6;7;8;9},AA1607&amp;"0123456789"))+1)),"")</f>
        <v/>
      </c>
    </row>
    <row r="1608" spans="28:28" x14ac:dyDescent="0.2">
      <c r="AB1608" s="660" t="str">
        <f>IFERROR(VALUE(RIGHT(AA1608,LEN(AA1608)-MIN(FIND({0;1;2;3;4;5;6;7;8;9},AA1608&amp;"0123456789"))+1)),"")</f>
        <v/>
      </c>
    </row>
    <row r="1609" spans="28:28" x14ac:dyDescent="0.2">
      <c r="AB1609" s="660" t="str">
        <f>IFERROR(VALUE(RIGHT(AA1609,LEN(AA1609)-MIN(FIND({0;1;2;3;4;5;6;7;8;9},AA1609&amp;"0123456789"))+1)),"")</f>
        <v/>
      </c>
    </row>
    <row r="1610" spans="28:28" x14ac:dyDescent="0.2">
      <c r="AB1610" s="660" t="str">
        <f>IFERROR(VALUE(RIGHT(AA1610,LEN(AA1610)-MIN(FIND({0;1;2;3;4;5;6;7;8;9},AA1610&amp;"0123456789"))+1)),"")</f>
        <v/>
      </c>
    </row>
    <row r="1611" spans="28:28" x14ac:dyDescent="0.2">
      <c r="AB1611" s="660" t="str">
        <f>IFERROR(VALUE(RIGHT(AA1611,LEN(AA1611)-MIN(FIND({0;1;2;3;4;5;6;7;8;9},AA1611&amp;"0123456789"))+1)),"")</f>
        <v/>
      </c>
    </row>
    <row r="1612" spans="28:28" x14ac:dyDescent="0.2">
      <c r="AB1612" s="660" t="str">
        <f>IFERROR(VALUE(RIGHT(AA1612,LEN(AA1612)-MIN(FIND({0;1;2;3;4;5;6;7;8;9},AA1612&amp;"0123456789"))+1)),"")</f>
        <v/>
      </c>
    </row>
    <row r="1613" spans="28:28" x14ac:dyDescent="0.2">
      <c r="AB1613" s="660" t="str">
        <f>IFERROR(VALUE(RIGHT(AA1613,LEN(AA1613)-MIN(FIND({0;1;2;3;4;5;6;7;8;9},AA1613&amp;"0123456789"))+1)),"")</f>
        <v/>
      </c>
    </row>
    <row r="1614" spans="28:28" x14ac:dyDescent="0.2">
      <c r="AB1614" s="660" t="str">
        <f>IFERROR(VALUE(RIGHT(AA1614,LEN(AA1614)-MIN(FIND({0;1;2;3;4;5;6;7;8;9},AA1614&amp;"0123456789"))+1)),"")</f>
        <v/>
      </c>
    </row>
    <row r="1615" spans="28:28" x14ac:dyDescent="0.2">
      <c r="AB1615" s="660" t="str">
        <f>IFERROR(VALUE(RIGHT(AA1615,LEN(AA1615)-MIN(FIND({0;1;2;3;4;5;6;7;8;9},AA1615&amp;"0123456789"))+1)),"")</f>
        <v/>
      </c>
    </row>
    <row r="1616" spans="28:28" x14ac:dyDescent="0.2">
      <c r="AB1616" s="660" t="str">
        <f>IFERROR(VALUE(RIGHT(AA1616,LEN(AA1616)-MIN(FIND({0;1;2;3;4;5;6;7;8;9},AA1616&amp;"0123456789"))+1)),"")</f>
        <v/>
      </c>
    </row>
    <row r="1617" spans="28:28" x14ac:dyDescent="0.2">
      <c r="AB1617" s="660" t="str">
        <f>IFERROR(VALUE(RIGHT(AA1617,LEN(AA1617)-MIN(FIND({0;1;2;3;4;5;6;7;8;9},AA1617&amp;"0123456789"))+1)),"")</f>
        <v/>
      </c>
    </row>
    <row r="1618" spans="28:28" x14ac:dyDescent="0.2">
      <c r="AB1618" s="660" t="str">
        <f>IFERROR(VALUE(RIGHT(AA1618,LEN(AA1618)-MIN(FIND({0;1;2;3;4;5;6;7;8;9},AA1618&amp;"0123456789"))+1)),"")</f>
        <v/>
      </c>
    </row>
    <row r="1619" spans="28:28" x14ac:dyDescent="0.2">
      <c r="AB1619" s="660" t="str">
        <f>IFERROR(VALUE(RIGHT(AA1619,LEN(AA1619)-MIN(FIND({0;1;2;3;4;5;6;7;8;9},AA1619&amp;"0123456789"))+1)),"")</f>
        <v/>
      </c>
    </row>
    <row r="1620" spans="28:28" x14ac:dyDescent="0.2">
      <c r="AB1620" s="660" t="str">
        <f>IFERROR(VALUE(RIGHT(AA1620,LEN(AA1620)-MIN(FIND({0;1;2;3;4;5;6;7;8;9},AA1620&amp;"0123456789"))+1)),"")</f>
        <v/>
      </c>
    </row>
    <row r="1621" spans="28:28" x14ac:dyDescent="0.2">
      <c r="AB1621" s="660" t="str">
        <f>IFERROR(VALUE(RIGHT(AA1621,LEN(AA1621)-MIN(FIND({0;1;2;3;4;5;6;7;8;9},AA1621&amp;"0123456789"))+1)),"")</f>
        <v/>
      </c>
    </row>
    <row r="1622" spans="28:28" x14ac:dyDescent="0.2">
      <c r="AB1622" s="660" t="str">
        <f>IFERROR(VALUE(RIGHT(AA1622,LEN(AA1622)-MIN(FIND({0;1;2;3;4;5;6;7;8;9},AA1622&amp;"0123456789"))+1)),"")</f>
        <v/>
      </c>
    </row>
    <row r="1623" spans="28:28" x14ac:dyDescent="0.2">
      <c r="AB1623" s="660" t="str">
        <f>IFERROR(VALUE(RIGHT(AA1623,LEN(AA1623)-MIN(FIND({0;1;2;3;4;5;6;7;8;9},AA1623&amp;"0123456789"))+1)),"")</f>
        <v/>
      </c>
    </row>
    <row r="1624" spans="28:28" x14ac:dyDescent="0.2">
      <c r="AB1624" s="660" t="str">
        <f>IFERROR(VALUE(RIGHT(AA1624,LEN(AA1624)-MIN(FIND({0;1;2;3;4;5;6;7;8;9},AA1624&amp;"0123456789"))+1)),"")</f>
        <v/>
      </c>
    </row>
    <row r="1625" spans="28:28" x14ac:dyDescent="0.2">
      <c r="AB1625" s="660" t="str">
        <f>IFERROR(VALUE(RIGHT(AA1625,LEN(AA1625)-MIN(FIND({0;1;2;3;4;5;6;7;8;9},AA1625&amp;"0123456789"))+1)),"")</f>
        <v/>
      </c>
    </row>
    <row r="1626" spans="28:28" x14ac:dyDescent="0.2">
      <c r="AB1626" s="660" t="str">
        <f>IFERROR(VALUE(RIGHT(AA1626,LEN(AA1626)-MIN(FIND({0;1;2;3;4;5;6;7;8;9},AA1626&amp;"0123456789"))+1)),"")</f>
        <v/>
      </c>
    </row>
    <row r="1627" spans="28:28" x14ac:dyDescent="0.2">
      <c r="AB1627" s="660" t="str">
        <f>IFERROR(VALUE(RIGHT(AA1627,LEN(AA1627)-MIN(FIND({0;1;2;3;4;5;6;7;8;9},AA1627&amp;"0123456789"))+1)),"")</f>
        <v/>
      </c>
    </row>
    <row r="1628" spans="28:28" x14ac:dyDescent="0.2">
      <c r="AB1628" s="660" t="str">
        <f>IFERROR(VALUE(RIGHT(AA1628,LEN(AA1628)-MIN(FIND({0;1;2;3;4;5;6;7;8;9},AA1628&amp;"0123456789"))+1)),"")</f>
        <v/>
      </c>
    </row>
    <row r="1629" spans="28:28" x14ac:dyDescent="0.2">
      <c r="AB1629" s="660" t="str">
        <f>IFERROR(VALUE(RIGHT(AA1629,LEN(AA1629)-MIN(FIND({0;1;2;3;4;5;6;7;8;9},AA1629&amp;"0123456789"))+1)),"")</f>
        <v/>
      </c>
    </row>
    <row r="1630" spans="28:28" x14ac:dyDescent="0.2">
      <c r="AB1630" s="660" t="str">
        <f>IFERROR(VALUE(RIGHT(AA1630,LEN(AA1630)-MIN(FIND({0;1;2;3;4;5;6;7;8;9},AA1630&amp;"0123456789"))+1)),"")</f>
        <v/>
      </c>
    </row>
    <row r="1631" spans="28:28" x14ac:dyDescent="0.2">
      <c r="AB1631" s="660" t="str">
        <f>IFERROR(VALUE(RIGHT(AA1631,LEN(AA1631)-MIN(FIND({0;1;2;3;4;5;6;7;8;9},AA1631&amp;"0123456789"))+1)),"")</f>
        <v/>
      </c>
    </row>
    <row r="1632" spans="28:28" x14ac:dyDescent="0.2">
      <c r="AB1632" s="660" t="str">
        <f>IFERROR(VALUE(RIGHT(AA1632,LEN(AA1632)-MIN(FIND({0;1;2;3;4;5;6;7;8;9},AA1632&amp;"0123456789"))+1)),"")</f>
        <v/>
      </c>
    </row>
    <row r="1633" spans="28:28" x14ac:dyDescent="0.2">
      <c r="AB1633" s="660" t="str">
        <f>IFERROR(VALUE(RIGHT(AA1633,LEN(AA1633)-MIN(FIND({0;1;2;3;4;5;6;7;8;9},AA1633&amp;"0123456789"))+1)),"")</f>
        <v/>
      </c>
    </row>
    <row r="1634" spans="28:28" x14ac:dyDescent="0.2">
      <c r="AB1634" s="660" t="str">
        <f>IFERROR(VALUE(RIGHT(AA1634,LEN(AA1634)-MIN(FIND({0;1;2;3;4;5;6;7;8;9},AA1634&amp;"0123456789"))+1)),"")</f>
        <v/>
      </c>
    </row>
    <row r="1635" spans="28:28" x14ac:dyDescent="0.2">
      <c r="AB1635" s="660" t="str">
        <f>IFERROR(VALUE(RIGHT(AA1635,LEN(AA1635)-MIN(FIND({0;1;2;3;4;5;6;7;8;9},AA1635&amp;"0123456789"))+1)),"")</f>
        <v/>
      </c>
    </row>
    <row r="1636" spans="28:28" x14ac:dyDescent="0.2">
      <c r="AB1636" s="660" t="str">
        <f>IFERROR(VALUE(RIGHT(AA1636,LEN(AA1636)-MIN(FIND({0;1;2;3;4;5;6;7;8;9},AA1636&amp;"0123456789"))+1)),"")</f>
        <v/>
      </c>
    </row>
    <row r="1637" spans="28:28" x14ac:dyDescent="0.2">
      <c r="AB1637" s="660" t="str">
        <f>IFERROR(VALUE(RIGHT(AA1637,LEN(AA1637)-MIN(FIND({0;1;2;3;4;5;6;7;8;9},AA1637&amp;"0123456789"))+1)),"")</f>
        <v/>
      </c>
    </row>
    <row r="1638" spans="28:28" x14ac:dyDescent="0.2">
      <c r="AB1638" s="660" t="str">
        <f>IFERROR(VALUE(RIGHT(AA1638,LEN(AA1638)-MIN(FIND({0;1;2;3;4;5;6;7;8;9},AA1638&amp;"0123456789"))+1)),"")</f>
        <v/>
      </c>
    </row>
    <row r="1639" spans="28:28" x14ac:dyDescent="0.2">
      <c r="AB1639" s="660" t="str">
        <f>IFERROR(VALUE(RIGHT(AA1639,LEN(AA1639)-MIN(FIND({0;1;2;3;4;5;6;7;8;9},AA1639&amp;"0123456789"))+1)),"")</f>
        <v/>
      </c>
    </row>
    <row r="1640" spans="28:28" x14ac:dyDescent="0.2">
      <c r="AB1640" s="660" t="str">
        <f>IFERROR(VALUE(RIGHT(AA1640,LEN(AA1640)-MIN(FIND({0;1;2;3;4;5;6;7;8;9},AA1640&amp;"0123456789"))+1)),"")</f>
        <v/>
      </c>
    </row>
    <row r="1641" spans="28:28" x14ac:dyDescent="0.2">
      <c r="AB1641" s="660" t="str">
        <f>IFERROR(VALUE(RIGHT(AA1641,LEN(AA1641)-MIN(FIND({0;1;2;3;4;5;6;7;8;9},AA1641&amp;"0123456789"))+1)),"")</f>
        <v/>
      </c>
    </row>
    <row r="1642" spans="28:28" x14ac:dyDescent="0.2">
      <c r="AB1642" s="660" t="str">
        <f>IFERROR(VALUE(RIGHT(AA1642,LEN(AA1642)-MIN(FIND({0;1;2;3;4;5;6;7;8;9},AA1642&amp;"0123456789"))+1)),"")</f>
        <v/>
      </c>
    </row>
    <row r="1643" spans="28:28" x14ac:dyDescent="0.2">
      <c r="AB1643" s="660" t="str">
        <f>IFERROR(VALUE(RIGHT(AA1643,LEN(AA1643)-MIN(FIND({0;1;2;3;4;5;6;7;8;9},AA1643&amp;"0123456789"))+1)),"")</f>
        <v/>
      </c>
    </row>
    <row r="1644" spans="28:28" x14ac:dyDescent="0.2">
      <c r="AB1644" s="660" t="str">
        <f>IFERROR(VALUE(RIGHT(AA1644,LEN(AA1644)-MIN(FIND({0;1;2;3;4;5;6;7;8;9},AA1644&amp;"0123456789"))+1)),"")</f>
        <v/>
      </c>
    </row>
    <row r="1645" spans="28:28" x14ac:dyDescent="0.2">
      <c r="AB1645" s="660" t="str">
        <f>IFERROR(VALUE(RIGHT(AA1645,LEN(AA1645)-MIN(FIND({0;1;2;3;4;5;6;7;8;9},AA1645&amp;"0123456789"))+1)),"")</f>
        <v/>
      </c>
    </row>
    <row r="1646" spans="28:28" x14ac:dyDescent="0.2">
      <c r="AB1646" s="660" t="str">
        <f>IFERROR(VALUE(RIGHT(AA1646,LEN(AA1646)-MIN(FIND({0;1;2;3;4;5;6;7;8;9},AA1646&amp;"0123456789"))+1)),"")</f>
        <v/>
      </c>
    </row>
    <row r="1647" spans="28:28" x14ac:dyDescent="0.2">
      <c r="AB1647" s="660" t="str">
        <f>IFERROR(VALUE(RIGHT(AA1647,LEN(AA1647)-MIN(FIND({0;1;2;3;4;5;6;7;8;9},AA1647&amp;"0123456789"))+1)),"")</f>
        <v/>
      </c>
    </row>
    <row r="1648" spans="28:28" x14ac:dyDescent="0.2">
      <c r="AB1648" s="660" t="str">
        <f>IFERROR(VALUE(RIGHT(AA1648,LEN(AA1648)-MIN(FIND({0;1;2;3;4;5;6;7;8;9},AA1648&amp;"0123456789"))+1)),"")</f>
        <v/>
      </c>
    </row>
    <row r="1649" spans="28:28" x14ac:dyDescent="0.2">
      <c r="AB1649" s="660" t="str">
        <f>IFERROR(VALUE(RIGHT(AA1649,LEN(AA1649)-MIN(FIND({0;1;2;3;4;5;6;7;8;9},AA1649&amp;"0123456789"))+1)),"")</f>
        <v/>
      </c>
    </row>
    <row r="1650" spans="28:28" x14ac:dyDescent="0.2">
      <c r="AB1650" s="660" t="str">
        <f>IFERROR(VALUE(RIGHT(AA1650,LEN(AA1650)-MIN(FIND({0;1;2;3;4;5;6;7;8;9},AA1650&amp;"0123456789"))+1)),"")</f>
        <v/>
      </c>
    </row>
    <row r="1651" spans="28:28" x14ac:dyDescent="0.2">
      <c r="AB1651" s="660" t="str">
        <f>IFERROR(VALUE(RIGHT(AA1651,LEN(AA1651)-MIN(FIND({0;1;2;3;4;5;6;7;8;9},AA1651&amp;"0123456789"))+1)),"")</f>
        <v/>
      </c>
    </row>
    <row r="1652" spans="28:28" x14ac:dyDescent="0.2">
      <c r="AB1652" s="660" t="str">
        <f>IFERROR(VALUE(RIGHT(AA1652,LEN(AA1652)-MIN(FIND({0;1;2;3;4;5;6;7;8;9},AA1652&amp;"0123456789"))+1)),"")</f>
        <v/>
      </c>
    </row>
    <row r="1653" spans="28:28" x14ac:dyDescent="0.2">
      <c r="AB1653" s="660" t="str">
        <f>IFERROR(VALUE(RIGHT(AA1653,LEN(AA1653)-MIN(FIND({0;1;2;3;4;5;6;7;8;9},AA1653&amp;"0123456789"))+1)),"")</f>
        <v/>
      </c>
    </row>
    <row r="1654" spans="28:28" x14ac:dyDescent="0.2">
      <c r="AB1654" s="660" t="str">
        <f>IFERROR(VALUE(RIGHT(AA1654,LEN(AA1654)-MIN(FIND({0;1;2;3;4;5;6;7;8;9},AA1654&amp;"0123456789"))+1)),"")</f>
        <v/>
      </c>
    </row>
    <row r="1655" spans="28:28" x14ac:dyDescent="0.2">
      <c r="AB1655" s="660" t="str">
        <f>IFERROR(VALUE(RIGHT(AA1655,LEN(AA1655)-MIN(FIND({0;1;2;3;4;5;6;7;8;9},AA1655&amp;"0123456789"))+1)),"")</f>
        <v/>
      </c>
    </row>
    <row r="1656" spans="28:28" x14ac:dyDescent="0.2">
      <c r="AB1656" s="660" t="str">
        <f>IFERROR(VALUE(RIGHT(AA1656,LEN(AA1656)-MIN(FIND({0;1;2;3;4;5;6;7;8;9},AA1656&amp;"0123456789"))+1)),"")</f>
        <v/>
      </c>
    </row>
    <row r="1657" spans="28:28" x14ac:dyDescent="0.2">
      <c r="AB1657" s="660" t="str">
        <f>IFERROR(VALUE(RIGHT(AA1657,LEN(AA1657)-MIN(FIND({0;1;2;3;4;5;6;7;8;9},AA1657&amp;"0123456789"))+1)),"")</f>
        <v/>
      </c>
    </row>
    <row r="1658" spans="28:28" x14ac:dyDescent="0.2">
      <c r="AB1658" s="660" t="str">
        <f>IFERROR(VALUE(RIGHT(AA1658,LEN(AA1658)-MIN(FIND({0;1;2;3;4;5;6;7;8;9},AA1658&amp;"0123456789"))+1)),"")</f>
        <v/>
      </c>
    </row>
    <row r="1659" spans="28:28" x14ac:dyDescent="0.2">
      <c r="AB1659" s="660" t="str">
        <f>IFERROR(VALUE(RIGHT(AA1659,LEN(AA1659)-MIN(FIND({0;1;2;3;4;5;6;7;8;9},AA1659&amp;"0123456789"))+1)),"")</f>
        <v/>
      </c>
    </row>
    <row r="1660" spans="28:28" x14ac:dyDescent="0.2">
      <c r="AB1660" s="660" t="str">
        <f>IFERROR(VALUE(RIGHT(AA1660,LEN(AA1660)-MIN(FIND({0;1;2;3;4;5;6;7;8;9},AA1660&amp;"0123456789"))+1)),"")</f>
        <v/>
      </c>
    </row>
    <row r="1661" spans="28:28" x14ac:dyDescent="0.2">
      <c r="AB1661" s="660" t="str">
        <f>IFERROR(VALUE(RIGHT(AA1661,LEN(AA1661)-MIN(FIND({0;1;2;3;4;5;6;7;8;9},AA1661&amp;"0123456789"))+1)),"")</f>
        <v/>
      </c>
    </row>
    <row r="1662" spans="28:28" x14ac:dyDescent="0.2">
      <c r="AB1662" s="660" t="str">
        <f>IFERROR(VALUE(RIGHT(AA1662,LEN(AA1662)-MIN(FIND({0;1;2;3;4;5;6;7;8;9},AA1662&amp;"0123456789"))+1)),"")</f>
        <v/>
      </c>
    </row>
    <row r="1663" spans="28:28" x14ac:dyDescent="0.2">
      <c r="AB1663" s="660" t="str">
        <f>IFERROR(VALUE(RIGHT(AA1663,LEN(AA1663)-MIN(FIND({0;1;2;3;4;5;6;7;8;9},AA1663&amp;"0123456789"))+1)),"")</f>
        <v/>
      </c>
    </row>
    <row r="1664" spans="28:28" x14ac:dyDescent="0.2">
      <c r="AB1664" s="660" t="str">
        <f>IFERROR(VALUE(RIGHT(AA1664,LEN(AA1664)-MIN(FIND({0;1;2;3;4;5;6;7;8;9},AA1664&amp;"0123456789"))+1)),"")</f>
        <v/>
      </c>
    </row>
    <row r="1665" spans="28:28" x14ac:dyDescent="0.2">
      <c r="AB1665" s="660" t="str">
        <f>IFERROR(VALUE(RIGHT(AA1665,LEN(AA1665)-MIN(FIND({0;1;2;3;4;5;6;7;8;9},AA1665&amp;"0123456789"))+1)),"")</f>
        <v/>
      </c>
    </row>
    <row r="1666" spans="28:28" x14ac:dyDescent="0.2">
      <c r="AB1666" s="660" t="str">
        <f>IFERROR(VALUE(RIGHT(AA1666,LEN(AA1666)-MIN(FIND({0;1;2;3;4;5;6;7;8;9},AA1666&amp;"0123456789"))+1)),"")</f>
        <v/>
      </c>
    </row>
    <row r="1667" spans="28:28" x14ac:dyDescent="0.2">
      <c r="AB1667" s="660" t="str">
        <f>IFERROR(VALUE(RIGHT(AA1667,LEN(AA1667)-MIN(FIND({0;1;2;3;4;5;6;7;8;9},AA1667&amp;"0123456789"))+1)),"")</f>
        <v/>
      </c>
    </row>
    <row r="1668" spans="28:28" x14ac:dyDescent="0.2">
      <c r="AB1668" s="660" t="str">
        <f>IFERROR(VALUE(RIGHT(AA1668,LEN(AA1668)-MIN(FIND({0;1;2;3;4;5;6;7;8;9},AA1668&amp;"0123456789"))+1)),"")</f>
        <v/>
      </c>
    </row>
    <row r="1669" spans="28:28" x14ac:dyDescent="0.2">
      <c r="AB1669" s="660" t="str">
        <f>IFERROR(VALUE(RIGHT(AA1669,LEN(AA1669)-MIN(FIND({0;1;2;3;4;5;6;7;8;9},AA1669&amp;"0123456789"))+1)),"")</f>
        <v/>
      </c>
    </row>
    <row r="1670" spans="28:28" x14ac:dyDescent="0.2">
      <c r="AB1670" s="660" t="str">
        <f>IFERROR(VALUE(RIGHT(AA1670,LEN(AA1670)-MIN(FIND({0;1;2;3;4;5;6;7;8;9},AA1670&amp;"0123456789"))+1)),"")</f>
        <v/>
      </c>
    </row>
    <row r="1671" spans="28:28" x14ac:dyDescent="0.2">
      <c r="AB1671" s="660" t="str">
        <f>IFERROR(VALUE(RIGHT(AA1671,LEN(AA1671)-MIN(FIND({0;1;2;3;4;5;6;7;8;9},AA1671&amp;"0123456789"))+1)),"")</f>
        <v/>
      </c>
    </row>
    <row r="1672" spans="28:28" x14ac:dyDescent="0.2">
      <c r="AB1672" s="660" t="str">
        <f>IFERROR(VALUE(RIGHT(AA1672,LEN(AA1672)-MIN(FIND({0;1;2;3;4;5;6;7;8;9},AA1672&amp;"0123456789"))+1)),"")</f>
        <v/>
      </c>
    </row>
    <row r="1673" spans="28:28" x14ac:dyDescent="0.2">
      <c r="AB1673" s="660" t="str">
        <f>IFERROR(VALUE(RIGHT(AA1673,LEN(AA1673)-MIN(FIND({0;1;2;3;4;5;6;7;8;9},AA1673&amp;"0123456789"))+1)),"")</f>
        <v/>
      </c>
    </row>
    <row r="1674" spans="28:28" x14ac:dyDescent="0.2">
      <c r="AB1674" s="660" t="str">
        <f>IFERROR(VALUE(RIGHT(AA1674,LEN(AA1674)-MIN(FIND({0;1;2;3;4;5;6;7;8;9},AA1674&amp;"0123456789"))+1)),"")</f>
        <v/>
      </c>
    </row>
    <row r="1675" spans="28:28" x14ac:dyDescent="0.2">
      <c r="AB1675" s="660" t="str">
        <f>IFERROR(VALUE(RIGHT(AA1675,LEN(AA1675)-MIN(FIND({0;1;2;3;4;5;6;7;8;9},AA1675&amp;"0123456789"))+1)),"")</f>
        <v/>
      </c>
    </row>
    <row r="1676" spans="28:28" x14ac:dyDescent="0.2">
      <c r="AB1676" s="660" t="str">
        <f>IFERROR(VALUE(RIGHT(AA1676,LEN(AA1676)-MIN(FIND({0;1;2;3;4;5;6;7;8;9},AA1676&amp;"0123456789"))+1)),"")</f>
        <v/>
      </c>
    </row>
    <row r="1677" spans="28:28" x14ac:dyDescent="0.2">
      <c r="AB1677" s="660" t="str">
        <f>IFERROR(VALUE(RIGHT(AA1677,LEN(AA1677)-MIN(FIND({0;1;2;3;4;5;6;7;8;9},AA1677&amp;"0123456789"))+1)),"")</f>
        <v/>
      </c>
    </row>
    <row r="1678" spans="28:28" x14ac:dyDescent="0.2">
      <c r="AB1678" s="660" t="str">
        <f>IFERROR(VALUE(RIGHT(AA1678,LEN(AA1678)-MIN(FIND({0;1;2;3;4;5;6;7;8;9},AA1678&amp;"0123456789"))+1)),"")</f>
        <v/>
      </c>
    </row>
    <row r="1679" spans="28:28" x14ac:dyDescent="0.2">
      <c r="AB1679" s="660" t="str">
        <f>IFERROR(VALUE(RIGHT(AA1679,LEN(AA1679)-MIN(FIND({0;1;2;3;4;5;6;7;8;9},AA1679&amp;"0123456789"))+1)),"")</f>
        <v/>
      </c>
    </row>
    <row r="1680" spans="28:28" x14ac:dyDescent="0.2">
      <c r="AB1680" s="660" t="str">
        <f>IFERROR(VALUE(RIGHT(AA1680,LEN(AA1680)-MIN(FIND({0;1;2;3;4;5;6;7;8;9},AA1680&amp;"0123456789"))+1)),"")</f>
        <v/>
      </c>
    </row>
    <row r="1681" spans="28:28" x14ac:dyDescent="0.2">
      <c r="AB1681" s="660" t="str">
        <f>IFERROR(VALUE(RIGHT(AA1681,LEN(AA1681)-MIN(FIND({0;1;2;3;4;5;6;7;8;9},AA1681&amp;"0123456789"))+1)),"")</f>
        <v/>
      </c>
    </row>
    <row r="1682" spans="28:28" x14ac:dyDescent="0.2">
      <c r="AB1682" s="660" t="str">
        <f>IFERROR(VALUE(RIGHT(AA1682,LEN(AA1682)-MIN(FIND({0;1;2;3;4;5;6;7;8;9},AA1682&amp;"0123456789"))+1)),"")</f>
        <v/>
      </c>
    </row>
    <row r="1683" spans="28:28" x14ac:dyDescent="0.2">
      <c r="AB1683" s="660" t="str">
        <f>IFERROR(VALUE(RIGHT(AA1683,LEN(AA1683)-MIN(FIND({0;1;2;3;4;5;6;7;8;9},AA1683&amp;"0123456789"))+1)),"")</f>
        <v/>
      </c>
    </row>
    <row r="1684" spans="28:28" x14ac:dyDescent="0.2">
      <c r="AB1684" s="660" t="str">
        <f>IFERROR(VALUE(RIGHT(AA1684,LEN(AA1684)-MIN(FIND({0;1;2;3;4;5;6;7;8;9},AA1684&amp;"0123456789"))+1)),"")</f>
        <v/>
      </c>
    </row>
    <row r="1685" spans="28:28" x14ac:dyDescent="0.2">
      <c r="AB1685" s="660" t="str">
        <f>IFERROR(VALUE(RIGHT(AA1685,LEN(AA1685)-MIN(FIND({0;1;2;3;4;5;6;7;8;9},AA1685&amp;"0123456789"))+1)),"")</f>
        <v/>
      </c>
    </row>
    <row r="1686" spans="28:28" x14ac:dyDescent="0.2">
      <c r="AB1686" s="660" t="str">
        <f>IFERROR(VALUE(RIGHT(AA1686,LEN(AA1686)-MIN(FIND({0;1;2;3;4;5;6;7;8;9},AA1686&amp;"0123456789"))+1)),"")</f>
        <v/>
      </c>
    </row>
    <row r="1687" spans="28:28" x14ac:dyDescent="0.2">
      <c r="AB1687" s="660" t="str">
        <f>IFERROR(VALUE(RIGHT(AA1687,LEN(AA1687)-MIN(FIND({0;1;2;3;4;5;6;7;8;9},AA1687&amp;"0123456789"))+1)),"")</f>
        <v/>
      </c>
    </row>
    <row r="1688" spans="28:28" x14ac:dyDescent="0.2">
      <c r="AB1688" s="660" t="str">
        <f>IFERROR(VALUE(RIGHT(AA1688,LEN(AA1688)-MIN(FIND({0;1;2;3;4;5;6;7;8;9},AA1688&amp;"0123456789"))+1)),"")</f>
        <v/>
      </c>
    </row>
    <row r="1689" spans="28:28" x14ac:dyDescent="0.2">
      <c r="AB1689" s="660" t="str">
        <f>IFERROR(VALUE(RIGHT(AA1689,LEN(AA1689)-MIN(FIND({0;1;2;3;4;5;6;7;8;9},AA1689&amp;"0123456789"))+1)),"")</f>
        <v/>
      </c>
    </row>
    <row r="1690" spans="28:28" x14ac:dyDescent="0.2">
      <c r="AB1690" s="660" t="str">
        <f>IFERROR(VALUE(RIGHT(AA1690,LEN(AA1690)-MIN(FIND({0;1;2;3;4;5;6;7;8;9},AA1690&amp;"0123456789"))+1)),"")</f>
        <v/>
      </c>
    </row>
    <row r="1691" spans="28:28" x14ac:dyDescent="0.2">
      <c r="AB1691" s="660" t="str">
        <f>IFERROR(VALUE(RIGHT(AA1691,LEN(AA1691)-MIN(FIND({0;1;2;3;4;5;6;7;8;9},AA1691&amp;"0123456789"))+1)),"")</f>
        <v/>
      </c>
    </row>
    <row r="1692" spans="28:28" x14ac:dyDescent="0.2">
      <c r="AB1692" s="660" t="str">
        <f>IFERROR(VALUE(RIGHT(AA1692,LEN(AA1692)-MIN(FIND({0;1;2;3;4;5;6;7;8;9},AA1692&amp;"0123456789"))+1)),"")</f>
        <v/>
      </c>
    </row>
    <row r="1693" spans="28:28" x14ac:dyDescent="0.2">
      <c r="AB1693" s="660" t="str">
        <f>IFERROR(VALUE(RIGHT(AA1693,LEN(AA1693)-MIN(FIND({0;1;2;3;4;5;6;7;8;9},AA1693&amp;"0123456789"))+1)),"")</f>
        <v/>
      </c>
    </row>
    <row r="1694" spans="28:28" x14ac:dyDescent="0.2">
      <c r="AB1694" s="660" t="str">
        <f>IFERROR(VALUE(RIGHT(AA1694,LEN(AA1694)-MIN(FIND({0;1;2;3;4;5;6;7;8;9},AA1694&amp;"0123456789"))+1)),"")</f>
        <v/>
      </c>
    </row>
    <row r="1695" spans="28:28" x14ac:dyDescent="0.2">
      <c r="AB1695" s="660" t="str">
        <f>IFERROR(VALUE(RIGHT(AA1695,LEN(AA1695)-MIN(FIND({0;1;2;3;4;5;6;7;8;9},AA1695&amp;"0123456789"))+1)),"")</f>
        <v/>
      </c>
    </row>
    <row r="1696" spans="28:28" x14ac:dyDescent="0.2">
      <c r="AB1696" s="660" t="str">
        <f>IFERROR(VALUE(RIGHT(AA1696,LEN(AA1696)-MIN(FIND({0;1;2;3;4;5;6;7;8;9},AA1696&amp;"0123456789"))+1)),"")</f>
        <v/>
      </c>
    </row>
    <row r="1697" spans="28:28" x14ac:dyDescent="0.2">
      <c r="AB1697" s="660" t="str">
        <f>IFERROR(VALUE(RIGHT(AA1697,LEN(AA1697)-MIN(FIND({0;1;2;3;4;5;6;7;8;9},AA1697&amp;"0123456789"))+1)),"")</f>
        <v/>
      </c>
    </row>
    <row r="1698" spans="28:28" x14ac:dyDescent="0.2">
      <c r="AB1698" s="660" t="str">
        <f>IFERROR(VALUE(RIGHT(AA1698,LEN(AA1698)-MIN(FIND({0;1;2;3;4;5;6;7;8;9},AA1698&amp;"0123456789"))+1)),"")</f>
        <v/>
      </c>
    </row>
    <row r="1699" spans="28:28" x14ac:dyDescent="0.2">
      <c r="AB1699" s="660" t="str">
        <f>IFERROR(VALUE(RIGHT(AA1699,LEN(AA1699)-MIN(FIND({0;1;2;3;4;5;6;7;8;9},AA1699&amp;"0123456789"))+1)),"")</f>
        <v/>
      </c>
    </row>
    <row r="1700" spans="28:28" x14ac:dyDescent="0.2">
      <c r="AB1700" s="660" t="str">
        <f>IFERROR(VALUE(RIGHT(AA1700,LEN(AA1700)-MIN(FIND({0;1;2;3;4;5;6;7;8;9},AA1700&amp;"0123456789"))+1)),"")</f>
        <v/>
      </c>
    </row>
    <row r="1701" spans="28:28" x14ac:dyDescent="0.2">
      <c r="AB1701" s="660" t="str">
        <f>IFERROR(VALUE(RIGHT(AA1701,LEN(AA1701)-MIN(FIND({0;1;2;3;4;5;6;7;8;9},AA1701&amp;"0123456789"))+1)),"")</f>
        <v/>
      </c>
    </row>
    <row r="1702" spans="28:28" x14ac:dyDescent="0.2">
      <c r="AB1702" s="660" t="str">
        <f>IFERROR(VALUE(RIGHT(AA1702,LEN(AA1702)-MIN(FIND({0;1;2;3;4;5;6;7;8;9},AA1702&amp;"0123456789"))+1)),"")</f>
        <v/>
      </c>
    </row>
    <row r="1703" spans="28:28" x14ac:dyDescent="0.2">
      <c r="AB1703" s="660" t="str">
        <f>IFERROR(VALUE(RIGHT(AA1703,LEN(AA1703)-MIN(FIND({0;1;2;3;4;5;6;7;8;9},AA1703&amp;"0123456789"))+1)),"")</f>
        <v/>
      </c>
    </row>
    <row r="1704" spans="28:28" x14ac:dyDescent="0.2">
      <c r="AB1704" s="660" t="str">
        <f>IFERROR(VALUE(RIGHT(AA1704,LEN(AA1704)-MIN(FIND({0;1;2;3;4;5;6;7;8;9},AA1704&amp;"0123456789"))+1)),"")</f>
        <v/>
      </c>
    </row>
    <row r="1705" spans="28:28" x14ac:dyDescent="0.2">
      <c r="AB1705" s="660" t="str">
        <f>IFERROR(VALUE(RIGHT(AA1705,LEN(AA1705)-MIN(FIND({0;1;2;3;4;5;6;7;8;9},AA1705&amp;"0123456789"))+1)),"")</f>
        <v/>
      </c>
    </row>
    <row r="1706" spans="28:28" x14ac:dyDescent="0.2">
      <c r="AB1706" s="660" t="str">
        <f>IFERROR(VALUE(RIGHT(AA1706,LEN(AA1706)-MIN(FIND({0;1;2;3;4;5;6;7;8;9},AA1706&amp;"0123456789"))+1)),"")</f>
        <v/>
      </c>
    </row>
    <row r="1707" spans="28:28" x14ac:dyDescent="0.2">
      <c r="AB1707" s="660" t="str">
        <f>IFERROR(VALUE(RIGHT(AA1707,LEN(AA1707)-MIN(FIND({0;1;2;3;4;5;6;7;8;9},AA1707&amp;"0123456789"))+1)),"")</f>
        <v/>
      </c>
    </row>
    <row r="1708" spans="28:28" x14ac:dyDescent="0.2">
      <c r="AB1708" s="660" t="str">
        <f>IFERROR(VALUE(RIGHT(AA1708,LEN(AA1708)-MIN(FIND({0;1;2;3;4;5;6;7;8;9},AA1708&amp;"0123456789"))+1)),"")</f>
        <v/>
      </c>
    </row>
    <row r="1709" spans="28:28" x14ac:dyDescent="0.2">
      <c r="AB1709" s="660" t="str">
        <f>IFERROR(VALUE(RIGHT(AA1709,LEN(AA1709)-MIN(FIND({0;1;2;3;4;5;6;7;8;9},AA1709&amp;"0123456789"))+1)),"")</f>
        <v/>
      </c>
    </row>
    <row r="1710" spans="28:28" x14ac:dyDescent="0.2">
      <c r="AB1710" s="660" t="str">
        <f>IFERROR(VALUE(RIGHT(AA1710,LEN(AA1710)-MIN(FIND({0;1;2;3;4;5;6;7;8;9},AA1710&amp;"0123456789"))+1)),"")</f>
        <v/>
      </c>
    </row>
    <row r="1711" spans="28:28" x14ac:dyDescent="0.2">
      <c r="AB1711" s="660" t="str">
        <f>IFERROR(VALUE(RIGHT(AA1711,LEN(AA1711)-MIN(FIND({0;1;2;3;4;5;6;7;8;9},AA1711&amp;"0123456789"))+1)),"")</f>
        <v/>
      </c>
    </row>
    <row r="1712" spans="28:28" x14ac:dyDescent="0.2">
      <c r="AB1712" s="660" t="str">
        <f>IFERROR(VALUE(RIGHT(AA1712,LEN(AA1712)-MIN(FIND({0;1;2;3;4;5;6;7;8;9},AA1712&amp;"0123456789"))+1)),"")</f>
        <v/>
      </c>
    </row>
    <row r="1713" spans="28:28" x14ac:dyDescent="0.2">
      <c r="AB1713" s="660" t="str">
        <f>IFERROR(VALUE(RIGHT(AA1713,LEN(AA1713)-MIN(FIND({0;1;2;3;4;5;6;7;8;9},AA1713&amp;"0123456789"))+1)),"")</f>
        <v/>
      </c>
    </row>
    <row r="1714" spans="28:28" x14ac:dyDescent="0.2">
      <c r="AB1714" s="660" t="str">
        <f>IFERROR(VALUE(RIGHT(AA1714,LEN(AA1714)-MIN(FIND({0;1;2;3;4;5;6;7;8;9},AA1714&amp;"0123456789"))+1)),"")</f>
        <v/>
      </c>
    </row>
    <row r="1715" spans="28:28" x14ac:dyDescent="0.2">
      <c r="AB1715" s="660" t="str">
        <f>IFERROR(VALUE(RIGHT(AA1715,LEN(AA1715)-MIN(FIND({0;1;2;3;4;5;6;7;8;9},AA1715&amp;"0123456789"))+1)),"")</f>
        <v/>
      </c>
    </row>
    <row r="1716" spans="28:28" x14ac:dyDescent="0.2">
      <c r="AB1716" s="660" t="str">
        <f>IFERROR(VALUE(RIGHT(AA1716,LEN(AA1716)-MIN(FIND({0;1;2;3;4;5;6;7;8;9},AA1716&amp;"0123456789"))+1)),"")</f>
        <v/>
      </c>
    </row>
    <row r="1717" spans="28:28" x14ac:dyDescent="0.2">
      <c r="AB1717" s="660" t="str">
        <f>IFERROR(VALUE(RIGHT(AA1717,LEN(AA1717)-MIN(FIND({0;1;2;3;4;5;6;7;8;9},AA1717&amp;"0123456789"))+1)),"")</f>
        <v/>
      </c>
    </row>
    <row r="1718" spans="28:28" x14ac:dyDescent="0.2">
      <c r="AB1718" s="660" t="str">
        <f>IFERROR(VALUE(RIGHT(AA1718,LEN(AA1718)-MIN(FIND({0;1;2;3;4;5;6;7;8;9},AA1718&amp;"0123456789"))+1)),"")</f>
        <v/>
      </c>
    </row>
    <row r="1719" spans="28:28" x14ac:dyDescent="0.2">
      <c r="AB1719" s="660" t="str">
        <f>IFERROR(VALUE(RIGHT(AA1719,LEN(AA1719)-MIN(FIND({0;1;2;3;4;5;6;7;8;9},AA1719&amp;"0123456789"))+1)),"")</f>
        <v/>
      </c>
    </row>
    <row r="1720" spans="28:28" x14ac:dyDescent="0.2">
      <c r="AB1720" s="660" t="str">
        <f>IFERROR(VALUE(RIGHT(AA1720,LEN(AA1720)-MIN(FIND({0;1;2;3;4;5;6;7;8;9},AA1720&amp;"0123456789"))+1)),"")</f>
        <v/>
      </c>
    </row>
    <row r="1721" spans="28:28" x14ac:dyDescent="0.2">
      <c r="AB1721" s="660" t="str">
        <f>IFERROR(VALUE(RIGHT(AA1721,LEN(AA1721)-MIN(FIND({0;1;2;3;4;5;6;7;8;9},AA1721&amp;"0123456789"))+1)),"")</f>
        <v/>
      </c>
    </row>
    <row r="1722" spans="28:28" x14ac:dyDescent="0.2">
      <c r="AB1722" s="660" t="str">
        <f>IFERROR(VALUE(RIGHT(AA1722,LEN(AA1722)-MIN(FIND({0;1;2;3;4;5;6;7;8;9},AA1722&amp;"0123456789"))+1)),"")</f>
        <v/>
      </c>
    </row>
    <row r="1723" spans="28:28" x14ac:dyDescent="0.2">
      <c r="AB1723" s="660" t="str">
        <f>IFERROR(VALUE(RIGHT(AA1723,LEN(AA1723)-MIN(FIND({0;1;2;3;4;5;6;7;8;9},AA1723&amp;"0123456789"))+1)),"")</f>
        <v/>
      </c>
    </row>
    <row r="1724" spans="28:28" x14ac:dyDescent="0.2">
      <c r="AB1724" s="660" t="str">
        <f>IFERROR(VALUE(RIGHT(AA1724,LEN(AA1724)-MIN(FIND({0;1;2;3;4;5;6;7;8;9},AA1724&amp;"0123456789"))+1)),"")</f>
        <v/>
      </c>
    </row>
    <row r="1725" spans="28:28" x14ac:dyDescent="0.2">
      <c r="AB1725" s="660" t="str">
        <f>IFERROR(VALUE(RIGHT(AA1725,LEN(AA1725)-MIN(FIND({0;1;2;3;4;5;6;7;8;9},AA1725&amp;"0123456789"))+1)),"")</f>
        <v/>
      </c>
    </row>
    <row r="1726" spans="28:28" x14ac:dyDescent="0.2">
      <c r="AB1726" s="660" t="str">
        <f>IFERROR(VALUE(RIGHT(AA1726,LEN(AA1726)-MIN(FIND({0;1;2;3;4;5;6;7;8;9},AA1726&amp;"0123456789"))+1)),"")</f>
        <v/>
      </c>
    </row>
    <row r="1727" spans="28:28" x14ac:dyDescent="0.2">
      <c r="AB1727" s="660" t="str">
        <f>IFERROR(VALUE(RIGHT(AA1727,LEN(AA1727)-MIN(FIND({0;1;2;3;4;5;6;7;8;9},AA1727&amp;"0123456789"))+1)),"")</f>
        <v/>
      </c>
    </row>
    <row r="1728" spans="28:28" x14ac:dyDescent="0.2">
      <c r="AB1728" s="660" t="str">
        <f>IFERROR(VALUE(RIGHT(AA1728,LEN(AA1728)-MIN(FIND({0;1;2;3;4;5;6;7;8;9},AA1728&amp;"0123456789"))+1)),"")</f>
        <v/>
      </c>
    </row>
    <row r="1729" spans="28:28" x14ac:dyDescent="0.2">
      <c r="AB1729" s="660" t="str">
        <f>IFERROR(VALUE(RIGHT(AA1729,LEN(AA1729)-MIN(FIND({0;1;2;3;4;5;6;7;8;9},AA1729&amp;"0123456789"))+1)),"")</f>
        <v/>
      </c>
    </row>
    <row r="1730" spans="28:28" x14ac:dyDescent="0.2">
      <c r="AB1730" s="660" t="str">
        <f>IFERROR(VALUE(RIGHT(AA1730,LEN(AA1730)-MIN(FIND({0;1;2;3;4;5;6;7;8;9},AA1730&amp;"0123456789"))+1)),"")</f>
        <v/>
      </c>
    </row>
    <row r="1731" spans="28:28" x14ac:dyDescent="0.2">
      <c r="AB1731" s="660" t="str">
        <f>IFERROR(VALUE(RIGHT(AA1731,LEN(AA1731)-MIN(FIND({0;1;2;3;4;5;6;7;8;9},AA1731&amp;"0123456789"))+1)),"")</f>
        <v/>
      </c>
    </row>
    <row r="1732" spans="28:28" x14ac:dyDescent="0.2">
      <c r="AB1732" s="660" t="str">
        <f>IFERROR(VALUE(RIGHT(AA1732,LEN(AA1732)-MIN(FIND({0;1;2;3;4;5;6;7;8;9},AA1732&amp;"0123456789"))+1)),"")</f>
        <v/>
      </c>
    </row>
    <row r="1733" spans="28:28" x14ac:dyDescent="0.2">
      <c r="AB1733" s="660" t="str">
        <f>IFERROR(VALUE(RIGHT(AA1733,LEN(AA1733)-MIN(FIND({0;1;2;3;4;5;6;7;8;9},AA1733&amp;"0123456789"))+1)),"")</f>
        <v/>
      </c>
    </row>
    <row r="1734" spans="28:28" x14ac:dyDescent="0.2">
      <c r="AB1734" s="660" t="str">
        <f>IFERROR(VALUE(RIGHT(AA1734,LEN(AA1734)-MIN(FIND({0;1;2;3;4;5;6;7;8;9},AA1734&amp;"0123456789"))+1)),"")</f>
        <v/>
      </c>
    </row>
    <row r="1735" spans="28:28" x14ac:dyDescent="0.2">
      <c r="AB1735" s="660" t="str">
        <f>IFERROR(VALUE(RIGHT(AA1735,LEN(AA1735)-MIN(FIND({0;1;2;3;4;5;6;7;8;9},AA1735&amp;"0123456789"))+1)),"")</f>
        <v/>
      </c>
    </row>
    <row r="1736" spans="28:28" x14ac:dyDescent="0.2">
      <c r="AB1736" s="660" t="str">
        <f>IFERROR(VALUE(RIGHT(AA1736,LEN(AA1736)-MIN(FIND({0;1;2;3;4;5;6;7;8;9},AA1736&amp;"0123456789"))+1)),"")</f>
        <v/>
      </c>
    </row>
    <row r="1737" spans="28:28" x14ac:dyDescent="0.2">
      <c r="AB1737" s="660" t="str">
        <f>IFERROR(VALUE(RIGHT(AA1737,LEN(AA1737)-MIN(FIND({0;1;2;3;4;5;6;7;8;9},AA1737&amp;"0123456789"))+1)),"")</f>
        <v/>
      </c>
    </row>
    <row r="1738" spans="28:28" x14ac:dyDescent="0.2">
      <c r="AB1738" s="660" t="str">
        <f>IFERROR(VALUE(RIGHT(AA1738,LEN(AA1738)-MIN(FIND({0;1;2;3;4;5;6;7;8;9},AA1738&amp;"0123456789"))+1)),"")</f>
        <v/>
      </c>
    </row>
    <row r="1739" spans="28:28" x14ac:dyDescent="0.2">
      <c r="AB1739" s="660" t="str">
        <f>IFERROR(VALUE(RIGHT(AA1739,LEN(AA1739)-MIN(FIND({0;1;2;3;4;5;6;7;8;9},AA1739&amp;"0123456789"))+1)),"")</f>
        <v/>
      </c>
    </row>
    <row r="1740" spans="28:28" x14ac:dyDescent="0.2">
      <c r="AB1740" s="660" t="str">
        <f>IFERROR(VALUE(RIGHT(AA1740,LEN(AA1740)-MIN(FIND({0;1;2;3;4;5;6;7;8;9},AA1740&amp;"0123456789"))+1)),"")</f>
        <v/>
      </c>
    </row>
    <row r="1741" spans="28:28" x14ac:dyDescent="0.2">
      <c r="AB1741" s="660" t="str">
        <f>IFERROR(VALUE(RIGHT(AA1741,LEN(AA1741)-MIN(FIND({0;1;2;3;4;5;6;7;8;9},AA1741&amp;"0123456789"))+1)),"")</f>
        <v/>
      </c>
    </row>
    <row r="1742" spans="28:28" x14ac:dyDescent="0.2">
      <c r="AB1742" s="660" t="str">
        <f>IFERROR(VALUE(RIGHT(AA1742,LEN(AA1742)-MIN(FIND({0;1;2;3;4;5;6;7;8;9},AA1742&amp;"0123456789"))+1)),"")</f>
        <v/>
      </c>
    </row>
    <row r="1743" spans="28:28" x14ac:dyDescent="0.2">
      <c r="AB1743" s="660" t="str">
        <f>IFERROR(VALUE(RIGHT(AA1743,LEN(AA1743)-MIN(FIND({0;1;2;3;4;5;6;7;8;9},AA1743&amp;"0123456789"))+1)),"")</f>
        <v/>
      </c>
    </row>
    <row r="1744" spans="28:28" x14ac:dyDescent="0.2">
      <c r="AB1744" s="660" t="str">
        <f>IFERROR(VALUE(RIGHT(AA1744,LEN(AA1744)-MIN(FIND({0;1;2;3;4;5;6;7;8;9},AA1744&amp;"0123456789"))+1)),"")</f>
        <v/>
      </c>
    </row>
    <row r="1745" spans="28:28" x14ac:dyDescent="0.2">
      <c r="AB1745" s="660" t="str">
        <f>IFERROR(VALUE(RIGHT(AA1745,LEN(AA1745)-MIN(FIND({0;1;2;3;4;5;6;7;8;9},AA1745&amp;"0123456789"))+1)),"")</f>
        <v/>
      </c>
    </row>
    <row r="1746" spans="28:28" x14ac:dyDescent="0.2">
      <c r="AB1746" s="660" t="str">
        <f>IFERROR(VALUE(RIGHT(AA1746,LEN(AA1746)-MIN(FIND({0;1;2;3;4;5;6;7;8;9},AA1746&amp;"0123456789"))+1)),"")</f>
        <v/>
      </c>
    </row>
    <row r="1747" spans="28:28" x14ac:dyDescent="0.2">
      <c r="AB1747" s="660" t="str">
        <f>IFERROR(VALUE(RIGHT(AA1747,LEN(AA1747)-MIN(FIND({0;1;2;3;4;5;6;7;8;9},AA1747&amp;"0123456789"))+1)),"")</f>
        <v/>
      </c>
    </row>
    <row r="1748" spans="28:28" x14ac:dyDescent="0.2">
      <c r="AB1748" s="660" t="str">
        <f>IFERROR(VALUE(RIGHT(AA1748,LEN(AA1748)-MIN(FIND({0;1;2;3;4;5;6;7;8;9},AA1748&amp;"0123456789"))+1)),"")</f>
        <v/>
      </c>
    </row>
    <row r="1749" spans="28:28" x14ac:dyDescent="0.2">
      <c r="AB1749" s="660" t="str">
        <f>IFERROR(VALUE(RIGHT(AA1749,LEN(AA1749)-MIN(FIND({0;1;2;3;4;5;6;7;8;9},AA1749&amp;"0123456789"))+1)),"")</f>
        <v/>
      </c>
    </row>
    <row r="1750" spans="28:28" x14ac:dyDescent="0.2">
      <c r="AB1750" s="660" t="str">
        <f>IFERROR(VALUE(RIGHT(AA1750,LEN(AA1750)-MIN(FIND({0;1;2;3;4;5;6;7;8;9},AA1750&amp;"0123456789"))+1)),"")</f>
        <v/>
      </c>
    </row>
    <row r="1751" spans="28:28" x14ac:dyDescent="0.2">
      <c r="AB1751" s="660" t="str">
        <f>IFERROR(VALUE(RIGHT(AA1751,LEN(AA1751)-MIN(FIND({0;1;2;3;4;5;6;7;8;9},AA1751&amp;"0123456789"))+1)),"")</f>
        <v/>
      </c>
    </row>
    <row r="1752" spans="28:28" x14ac:dyDescent="0.2">
      <c r="AB1752" s="660" t="str">
        <f>IFERROR(VALUE(RIGHT(AA1752,LEN(AA1752)-MIN(FIND({0;1;2;3;4;5;6;7;8;9},AA1752&amp;"0123456789"))+1)),"")</f>
        <v/>
      </c>
    </row>
    <row r="1753" spans="28:28" x14ac:dyDescent="0.2">
      <c r="AB1753" s="660" t="str">
        <f>IFERROR(VALUE(RIGHT(AA1753,LEN(AA1753)-MIN(FIND({0;1;2;3;4;5;6;7;8;9},AA1753&amp;"0123456789"))+1)),"")</f>
        <v/>
      </c>
    </row>
    <row r="1754" spans="28:28" x14ac:dyDescent="0.2">
      <c r="AB1754" s="660" t="str">
        <f>IFERROR(VALUE(RIGHT(AA1754,LEN(AA1754)-MIN(FIND({0;1;2;3;4;5;6;7;8;9},AA1754&amp;"0123456789"))+1)),"")</f>
        <v/>
      </c>
    </row>
    <row r="1755" spans="28:28" x14ac:dyDescent="0.2">
      <c r="AB1755" s="660" t="str">
        <f>IFERROR(VALUE(RIGHT(AA1755,LEN(AA1755)-MIN(FIND({0;1;2;3;4;5;6;7;8;9},AA1755&amp;"0123456789"))+1)),"")</f>
        <v/>
      </c>
    </row>
    <row r="1756" spans="28:28" x14ac:dyDescent="0.2">
      <c r="AB1756" s="660" t="str">
        <f>IFERROR(VALUE(RIGHT(AA1756,LEN(AA1756)-MIN(FIND({0;1;2;3;4;5;6;7;8;9},AA1756&amp;"0123456789"))+1)),"")</f>
        <v/>
      </c>
    </row>
    <row r="1757" spans="28:28" x14ac:dyDescent="0.2">
      <c r="AB1757" s="660" t="str">
        <f>IFERROR(VALUE(RIGHT(AA1757,LEN(AA1757)-MIN(FIND({0;1;2;3;4;5;6;7;8;9},AA1757&amp;"0123456789"))+1)),"")</f>
        <v/>
      </c>
    </row>
    <row r="1758" spans="28:28" x14ac:dyDescent="0.2">
      <c r="AB1758" s="660" t="str">
        <f>IFERROR(VALUE(RIGHT(AA1758,LEN(AA1758)-MIN(FIND({0;1;2;3;4;5;6;7;8;9},AA1758&amp;"0123456789"))+1)),"")</f>
        <v/>
      </c>
    </row>
    <row r="1759" spans="28:28" x14ac:dyDescent="0.2">
      <c r="AB1759" s="660" t="str">
        <f>IFERROR(VALUE(RIGHT(AA1759,LEN(AA1759)-MIN(FIND({0;1;2;3;4;5;6;7;8;9},AA1759&amp;"0123456789"))+1)),"")</f>
        <v/>
      </c>
    </row>
    <row r="1760" spans="28:28" x14ac:dyDescent="0.2">
      <c r="AB1760" s="660" t="str">
        <f>IFERROR(VALUE(RIGHT(AA1760,LEN(AA1760)-MIN(FIND({0;1;2;3;4;5;6;7;8;9},AA1760&amp;"0123456789"))+1)),"")</f>
        <v/>
      </c>
    </row>
    <row r="1761" spans="28:28" x14ac:dyDescent="0.2">
      <c r="AB1761" s="660" t="str">
        <f>IFERROR(VALUE(RIGHT(AA1761,LEN(AA1761)-MIN(FIND({0;1;2;3;4;5;6;7;8;9},AA1761&amp;"0123456789"))+1)),"")</f>
        <v/>
      </c>
    </row>
    <row r="1762" spans="28:28" x14ac:dyDescent="0.2">
      <c r="AB1762" s="660" t="str">
        <f>IFERROR(VALUE(RIGHT(AA1762,LEN(AA1762)-MIN(FIND({0;1;2;3;4;5;6;7;8;9},AA1762&amp;"0123456789"))+1)),"")</f>
        <v/>
      </c>
    </row>
    <row r="1763" spans="28:28" x14ac:dyDescent="0.2">
      <c r="AB1763" s="660" t="str">
        <f>IFERROR(VALUE(RIGHT(AA1763,LEN(AA1763)-MIN(FIND({0;1;2;3;4;5;6;7;8;9},AA1763&amp;"0123456789"))+1)),"")</f>
        <v/>
      </c>
    </row>
    <row r="1764" spans="28:28" x14ac:dyDescent="0.2">
      <c r="AB1764" s="660" t="str">
        <f>IFERROR(VALUE(RIGHT(AA1764,LEN(AA1764)-MIN(FIND({0;1;2;3;4;5;6;7;8;9},AA1764&amp;"0123456789"))+1)),"")</f>
        <v/>
      </c>
    </row>
    <row r="1765" spans="28:28" x14ac:dyDescent="0.2">
      <c r="AB1765" s="660" t="str">
        <f>IFERROR(VALUE(RIGHT(AA1765,LEN(AA1765)-MIN(FIND({0;1;2;3;4;5;6;7;8;9},AA1765&amp;"0123456789"))+1)),"")</f>
        <v/>
      </c>
    </row>
    <row r="1766" spans="28:28" x14ac:dyDescent="0.2">
      <c r="AB1766" s="660" t="str">
        <f>IFERROR(VALUE(RIGHT(AA1766,LEN(AA1766)-MIN(FIND({0;1;2;3;4;5;6;7;8;9},AA1766&amp;"0123456789"))+1)),"")</f>
        <v/>
      </c>
    </row>
    <row r="1767" spans="28:28" x14ac:dyDescent="0.2">
      <c r="AB1767" s="660" t="str">
        <f>IFERROR(VALUE(RIGHT(AA1767,LEN(AA1767)-MIN(FIND({0;1;2;3;4;5;6;7;8;9},AA1767&amp;"0123456789"))+1)),"")</f>
        <v/>
      </c>
    </row>
    <row r="1768" spans="28:28" x14ac:dyDescent="0.2">
      <c r="AB1768" s="660" t="str">
        <f>IFERROR(VALUE(RIGHT(AA1768,LEN(AA1768)-MIN(FIND({0;1;2;3;4;5;6;7;8;9},AA1768&amp;"0123456789"))+1)),"")</f>
        <v/>
      </c>
    </row>
    <row r="1769" spans="28:28" x14ac:dyDescent="0.2">
      <c r="AB1769" s="660" t="str">
        <f>IFERROR(VALUE(RIGHT(AA1769,LEN(AA1769)-MIN(FIND({0;1;2;3;4;5;6;7;8;9},AA1769&amp;"0123456789"))+1)),"")</f>
        <v/>
      </c>
    </row>
    <row r="1770" spans="28:28" x14ac:dyDescent="0.2">
      <c r="AB1770" s="660" t="str">
        <f>IFERROR(VALUE(RIGHT(AA1770,LEN(AA1770)-MIN(FIND({0;1;2;3;4;5;6;7;8;9},AA1770&amp;"0123456789"))+1)),"")</f>
        <v/>
      </c>
    </row>
    <row r="1771" spans="28:28" x14ac:dyDescent="0.2">
      <c r="AB1771" s="660" t="str">
        <f>IFERROR(VALUE(RIGHT(AA1771,LEN(AA1771)-MIN(FIND({0;1;2;3;4;5;6;7;8;9},AA1771&amp;"0123456789"))+1)),"")</f>
        <v/>
      </c>
    </row>
    <row r="1772" spans="28:28" x14ac:dyDescent="0.2">
      <c r="AB1772" s="660" t="str">
        <f>IFERROR(VALUE(RIGHT(AA1772,LEN(AA1772)-MIN(FIND({0;1;2;3;4;5;6;7;8;9},AA1772&amp;"0123456789"))+1)),"")</f>
        <v/>
      </c>
    </row>
    <row r="1773" spans="28:28" x14ac:dyDescent="0.2">
      <c r="AB1773" s="660" t="str">
        <f>IFERROR(VALUE(RIGHT(AA1773,LEN(AA1773)-MIN(FIND({0;1;2;3;4;5;6;7;8;9},AA1773&amp;"0123456789"))+1)),"")</f>
        <v/>
      </c>
    </row>
    <row r="1774" spans="28:28" x14ac:dyDescent="0.2">
      <c r="AB1774" s="660" t="str">
        <f>IFERROR(VALUE(RIGHT(AA1774,LEN(AA1774)-MIN(FIND({0;1;2;3;4;5;6;7;8;9},AA1774&amp;"0123456789"))+1)),"")</f>
        <v/>
      </c>
    </row>
    <row r="1775" spans="28:28" x14ac:dyDescent="0.2">
      <c r="AB1775" s="660" t="str">
        <f>IFERROR(VALUE(RIGHT(AA1775,LEN(AA1775)-MIN(FIND({0;1;2;3;4;5;6;7;8;9},AA1775&amp;"0123456789"))+1)),"")</f>
        <v/>
      </c>
    </row>
    <row r="1776" spans="28:28" x14ac:dyDescent="0.2">
      <c r="AB1776" s="660" t="str">
        <f>IFERROR(VALUE(RIGHT(AA1776,LEN(AA1776)-MIN(FIND({0;1;2;3;4;5;6;7;8;9},AA1776&amp;"0123456789"))+1)),"")</f>
        <v/>
      </c>
    </row>
    <row r="1777" spans="28:28" x14ac:dyDescent="0.2">
      <c r="AB1777" s="660" t="str">
        <f>IFERROR(VALUE(RIGHT(AA1777,LEN(AA1777)-MIN(FIND({0;1;2;3;4;5;6;7;8;9},AA1777&amp;"0123456789"))+1)),"")</f>
        <v/>
      </c>
    </row>
    <row r="1778" spans="28:28" x14ac:dyDescent="0.2">
      <c r="AB1778" s="660" t="str">
        <f>IFERROR(VALUE(RIGHT(AA1778,LEN(AA1778)-MIN(FIND({0;1;2;3;4;5;6;7;8;9},AA1778&amp;"0123456789"))+1)),"")</f>
        <v/>
      </c>
    </row>
    <row r="1779" spans="28:28" x14ac:dyDescent="0.2">
      <c r="AB1779" s="660" t="str">
        <f>IFERROR(VALUE(RIGHT(AA1779,LEN(AA1779)-MIN(FIND({0;1;2;3;4;5;6;7;8;9},AA1779&amp;"0123456789"))+1)),"")</f>
        <v/>
      </c>
    </row>
    <row r="1780" spans="28:28" x14ac:dyDescent="0.2">
      <c r="AB1780" s="660" t="str">
        <f>IFERROR(VALUE(RIGHT(AA1780,LEN(AA1780)-MIN(FIND({0;1;2;3;4;5;6;7;8;9},AA1780&amp;"0123456789"))+1)),"")</f>
        <v/>
      </c>
    </row>
    <row r="1781" spans="28:28" x14ac:dyDescent="0.2">
      <c r="AB1781" s="660" t="str">
        <f>IFERROR(VALUE(RIGHT(AA1781,LEN(AA1781)-MIN(FIND({0;1;2;3;4;5;6;7;8;9},AA1781&amp;"0123456789"))+1)),"")</f>
        <v/>
      </c>
    </row>
    <row r="1782" spans="28:28" x14ac:dyDescent="0.2">
      <c r="AB1782" s="660" t="str">
        <f>IFERROR(VALUE(RIGHT(AA1782,LEN(AA1782)-MIN(FIND({0;1;2;3;4;5;6;7;8;9},AA1782&amp;"0123456789"))+1)),"")</f>
        <v/>
      </c>
    </row>
    <row r="1783" spans="28:28" x14ac:dyDescent="0.2">
      <c r="AB1783" s="660" t="str">
        <f>IFERROR(VALUE(RIGHT(AA1783,LEN(AA1783)-MIN(FIND({0;1;2;3;4;5;6;7;8;9},AA1783&amp;"0123456789"))+1)),"")</f>
        <v/>
      </c>
    </row>
    <row r="1784" spans="28:28" x14ac:dyDescent="0.2">
      <c r="AB1784" s="660" t="str">
        <f>IFERROR(VALUE(RIGHT(AA1784,LEN(AA1784)-MIN(FIND({0;1;2;3;4;5;6;7;8;9},AA1784&amp;"0123456789"))+1)),"")</f>
        <v/>
      </c>
    </row>
    <row r="1785" spans="28:28" x14ac:dyDescent="0.2">
      <c r="AB1785" s="660" t="str">
        <f>IFERROR(VALUE(RIGHT(AA1785,LEN(AA1785)-MIN(FIND({0;1;2;3;4;5;6;7;8;9},AA1785&amp;"0123456789"))+1)),"")</f>
        <v/>
      </c>
    </row>
    <row r="1786" spans="28:28" x14ac:dyDescent="0.2">
      <c r="AB1786" s="660" t="str">
        <f>IFERROR(VALUE(RIGHT(AA1786,LEN(AA1786)-MIN(FIND({0;1;2;3;4;5;6;7;8;9},AA1786&amp;"0123456789"))+1)),"")</f>
        <v/>
      </c>
    </row>
    <row r="1787" spans="28:28" x14ac:dyDescent="0.2">
      <c r="AB1787" s="660" t="str">
        <f>IFERROR(VALUE(RIGHT(AA1787,LEN(AA1787)-MIN(FIND({0;1;2;3;4;5;6;7;8;9},AA1787&amp;"0123456789"))+1)),"")</f>
        <v/>
      </c>
    </row>
    <row r="1788" spans="28:28" x14ac:dyDescent="0.2">
      <c r="AB1788" s="660" t="str">
        <f>IFERROR(VALUE(RIGHT(AA1788,LEN(AA1788)-MIN(FIND({0;1;2;3;4;5;6;7;8;9},AA1788&amp;"0123456789"))+1)),"")</f>
        <v/>
      </c>
    </row>
    <row r="1789" spans="28:28" x14ac:dyDescent="0.2">
      <c r="AB1789" s="660" t="str">
        <f>IFERROR(VALUE(RIGHT(AA1789,LEN(AA1789)-MIN(FIND({0;1;2;3;4;5;6;7;8;9},AA1789&amp;"0123456789"))+1)),"")</f>
        <v/>
      </c>
    </row>
    <row r="1790" spans="28:28" x14ac:dyDescent="0.2">
      <c r="AB1790" s="660" t="str">
        <f>IFERROR(VALUE(RIGHT(AA1790,LEN(AA1790)-MIN(FIND({0;1;2;3;4;5;6;7;8;9},AA1790&amp;"0123456789"))+1)),"")</f>
        <v/>
      </c>
    </row>
    <row r="1791" spans="28:28" x14ac:dyDescent="0.2">
      <c r="AB1791" s="660" t="str">
        <f>IFERROR(VALUE(RIGHT(AA1791,LEN(AA1791)-MIN(FIND({0;1;2;3;4;5;6;7;8;9},AA1791&amp;"0123456789"))+1)),"")</f>
        <v/>
      </c>
    </row>
    <row r="1792" spans="28:28" x14ac:dyDescent="0.2">
      <c r="AB1792" s="660" t="str">
        <f>IFERROR(VALUE(RIGHT(AA1792,LEN(AA1792)-MIN(FIND({0;1;2;3;4;5;6;7;8;9},AA1792&amp;"0123456789"))+1)),"")</f>
        <v/>
      </c>
    </row>
    <row r="1793" spans="28:28" x14ac:dyDescent="0.2">
      <c r="AB1793" s="660" t="str">
        <f>IFERROR(VALUE(RIGHT(AA1793,LEN(AA1793)-MIN(FIND({0;1;2;3;4;5;6;7;8;9},AA1793&amp;"0123456789"))+1)),"")</f>
        <v/>
      </c>
    </row>
    <row r="1794" spans="28:28" x14ac:dyDescent="0.2">
      <c r="AB1794" s="660" t="str">
        <f>IFERROR(VALUE(RIGHT(AA1794,LEN(AA1794)-MIN(FIND({0;1;2;3;4;5;6;7;8;9},AA1794&amp;"0123456789"))+1)),"")</f>
        <v/>
      </c>
    </row>
    <row r="1795" spans="28:28" x14ac:dyDescent="0.2">
      <c r="AB1795" s="660" t="str">
        <f>IFERROR(VALUE(RIGHT(AA1795,LEN(AA1795)-MIN(FIND({0;1;2;3;4;5;6;7;8;9},AA1795&amp;"0123456789"))+1)),"")</f>
        <v/>
      </c>
    </row>
    <row r="1796" spans="28:28" x14ac:dyDescent="0.2">
      <c r="AB1796" s="660" t="str">
        <f>IFERROR(VALUE(RIGHT(AA1796,LEN(AA1796)-MIN(FIND({0;1;2;3;4;5;6;7;8;9},AA1796&amp;"0123456789"))+1)),"")</f>
        <v/>
      </c>
    </row>
    <row r="1797" spans="28:28" x14ac:dyDescent="0.2">
      <c r="AB1797" s="660" t="str">
        <f>IFERROR(VALUE(RIGHT(AA1797,LEN(AA1797)-MIN(FIND({0;1;2;3;4;5;6;7;8;9},AA1797&amp;"0123456789"))+1)),"")</f>
        <v/>
      </c>
    </row>
    <row r="1798" spans="28:28" x14ac:dyDescent="0.2">
      <c r="AB1798" s="660" t="str">
        <f>IFERROR(VALUE(RIGHT(AA1798,LEN(AA1798)-MIN(FIND({0;1;2;3;4;5;6;7;8;9},AA1798&amp;"0123456789"))+1)),"")</f>
        <v/>
      </c>
    </row>
    <row r="1799" spans="28:28" x14ac:dyDescent="0.2">
      <c r="AB1799" s="660" t="str">
        <f>IFERROR(VALUE(RIGHT(AA1799,LEN(AA1799)-MIN(FIND({0;1;2;3;4;5;6;7;8;9},AA1799&amp;"0123456789"))+1)),"")</f>
        <v/>
      </c>
    </row>
    <row r="1800" spans="28:28" x14ac:dyDescent="0.2">
      <c r="AB1800" s="660" t="str">
        <f>IFERROR(VALUE(RIGHT(AA1800,LEN(AA1800)-MIN(FIND({0;1;2;3;4;5;6;7;8;9},AA1800&amp;"0123456789"))+1)),"")</f>
        <v/>
      </c>
    </row>
    <row r="1801" spans="28:28" x14ac:dyDescent="0.2">
      <c r="AB1801" s="660" t="str">
        <f>IFERROR(VALUE(RIGHT(AA1801,LEN(AA1801)-MIN(FIND({0;1;2;3;4;5;6;7;8;9},AA1801&amp;"0123456789"))+1)),"")</f>
        <v/>
      </c>
    </row>
    <row r="1802" spans="28:28" x14ac:dyDescent="0.2">
      <c r="AB1802" s="660" t="str">
        <f>IFERROR(VALUE(RIGHT(AA1802,LEN(AA1802)-MIN(FIND({0;1;2;3;4;5;6;7;8;9},AA1802&amp;"0123456789"))+1)),"")</f>
        <v/>
      </c>
    </row>
    <row r="1803" spans="28:28" x14ac:dyDescent="0.2">
      <c r="AB1803" s="660" t="str">
        <f>IFERROR(VALUE(RIGHT(AA1803,LEN(AA1803)-MIN(FIND({0;1;2;3;4;5;6;7;8;9},AA1803&amp;"0123456789"))+1)),"")</f>
        <v/>
      </c>
    </row>
    <row r="1804" spans="28:28" x14ac:dyDescent="0.2">
      <c r="AB1804" s="660" t="str">
        <f>IFERROR(VALUE(RIGHT(AA1804,LEN(AA1804)-MIN(FIND({0;1;2;3;4;5;6;7;8;9},AA1804&amp;"0123456789"))+1)),"")</f>
        <v/>
      </c>
    </row>
    <row r="1805" spans="28:28" x14ac:dyDescent="0.2">
      <c r="AB1805" s="660" t="str">
        <f>IFERROR(VALUE(RIGHT(AA1805,LEN(AA1805)-MIN(FIND({0;1;2;3;4;5;6;7;8;9},AA1805&amp;"0123456789"))+1)),"")</f>
        <v/>
      </c>
    </row>
    <row r="1806" spans="28:28" x14ac:dyDescent="0.2">
      <c r="AB1806" s="660" t="str">
        <f>IFERROR(VALUE(RIGHT(AA1806,LEN(AA1806)-MIN(FIND({0;1;2;3;4;5;6;7;8;9},AA1806&amp;"0123456789"))+1)),"")</f>
        <v/>
      </c>
    </row>
    <row r="1807" spans="28:28" x14ac:dyDescent="0.2">
      <c r="AB1807" s="660" t="str">
        <f>IFERROR(VALUE(RIGHT(AA1807,LEN(AA1807)-MIN(FIND({0;1;2;3;4;5;6;7;8;9},AA1807&amp;"0123456789"))+1)),"")</f>
        <v/>
      </c>
    </row>
    <row r="1808" spans="28:28" x14ac:dyDescent="0.2">
      <c r="AB1808" s="660" t="str">
        <f>IFERROR(VALUE(RIGHT(AA1808,LEN(AA1808)-MIN(FIND({0;1;2;3;4;5;6;7;8;9},AA1808&amp;"0123456789"))+1)),"")</f>
        <v/>
      </c>
    </row>
    <row r="1809" spans="28:28" x14ac:dyDescent="0.2">
      <c r="AB1809" s="660" t="str">
        <f>IFERROR(VALUE(RIGHT(AA1809,LEN(AA1809)-MIN(FIND({0;1;2;3;4;5;6;7;8;9},AA1809&amp;"0123456789"))+1)),"")</f>
        <v/>
      </c>
    </row>
    <row r="1810" spans="28:28" x14ac:dyDescent="0.2">
      <c r="AB1810" s="660" t="str">
        <f>IFERROR(VALUE(RIGHT(AA1810,LEN(AA1810)-MIN(FIND({0;1;2;3;4;5;6;7;8;9},AA1810&amp;"0123456789"))+1)),"")</f>
        <v/>
      </c>
    </row>
    <row r="1811" spans="28:28" x14ac:dyDescent="0.2">
      <c r="AB1811" s="660" t="str">
        <f>IFERROR(VALUE(RIGHT(AA1811,LEN(AA1811)-MIN(FIND({0;1;2;3;4;5;6;7;8;9},AA1811&amp;"0123456789"))+1)),"")</f>
        <v/>
      </c>
    </row>
    <row r="1812" spans="28:28" x14ac:dyDescent="0.2">
      <c r="AB1812" s="660" t="str">
        <f>IFERROR(VALUE(RIGHT(AA1812,LEN(AA1812)-MIN(FIND({0;1;2;3;4;5;6;7;8;9},AA1812&amp;"0123456789"))+1)),"")</f>
        <v/>
      </c>
    </row>
    <row r="1813" spans="28:28" x14ac:dyDescent="0.2">
      <c r="AB1813" s="660" t="str">
        <f>IFERROR(VALUE(RIGHT(AA1813,LEN(AA1813)-MIN(FIND({0;1;2;3;4;5;6;7;8;9},AA1813&amp;"0123456789"))+1)),"")</f>
        <v/>
      </c>
    </row>
    <row r="1814" spans="28:28" x14ac:dyDescent="0.2">
      <c r="AB1814" s="660" t="str">
        <f>IFERROR(VALUE(RIGHT(AA1814,LEN(AA1814)-MIN(FIND({0;1;2;3;4;5;6;7;8;9},AA1814&amp;"0123456789"))+1)),"")</f>
        <v/>
      </c>
    </row>
    <row r="1815" spans="28:28" x14ac:dyDescent="0.2">
      <c r="AB1815" s="660" t="str">
        <f>IFERROR(VALUE(RIGHT(AA1815,LEN(AA1815)-MIN(FIND({0;1;2;3;4;5;6;7;8;9},AA1815&amp;"0123456789"))+1)),"")</f>
        <v/>
      </c>
    </row>
    <row r="1816" spans="28:28" x14ac:dyDescent="0.2">
      <c r="AB1816" s="660" t="str">
        <f>IFERROR(VALUE(RIGHT(AA1816,LEN(AA1816)-MIN(FIND({0;1;2;3;4;5;6;7;8;9},AA1816&amp;"0123456789"))+1)),"")</f>
        <v/>
      </c>
    </row>
    <row r="1817" spans="28:28" x14ac:dyDescent="0.2">
      <c r="AB1817" s="660" t="str">
        <f>IFERROR(VALUE(RIGHT(AA1817,LEN(AA1817)-MIN(FIND({0;1;2;3;4;5;6;7;8;9},AA1817&amp;"0123456789"))+1)),"")</f>
        <v/>
      </c>
    </row>
    <row r="1818" spans="28:28" x14ac:dyDescent="0.2">
      <c r="AB1818" s="660" t="str">
        <f>IFERROR(VALUE(RIGHT(AA1818,LEN(AA1818)-MIN(FIND({0;1;2;3;4;5;6;7;8;9},AA1818&amp;"0123456789"))+1)),"")</f>
        <v/>
      </c>
    </row>
    <row r="1819" spans="28:28" x14ac:dyDescent="0.2">
      <c r="AB1819" s="660" t="str">
        <f>IFERROR(VALUE(RIGHT(AA1819,LEN(AA1819)-MIN(FIND({0;1;2;3;4;5;6;7;8;9},AA1819&amp;"0123456789"))+1)),"")</f>
        <v/>
      </c>
    </row>
    <row r="1820" spans="28:28" x14ac:dyDescent="0.2">
      <c r="AB1820" s="660" t="str">
        <f>IFERROR(VALUE(RIGHT(AA1820,LEN(AA1820)-MIN(FIND({0;1;2;3;4;5;6;7;8;9},AA1820&amp;"0123456789"))+1)),"")</f>
        <v/>
      </c>
    </row>
    <row r="1821" spans="28:28" x14ac:dyDescent="0.2">
      <c r="AB1821" s="660" t="str">
        <f>IFERROR(VALUE(RIGHT(AA1821,LEN(AA1821)-MIN(FIND({0;1;2;3;4;5;6;7;8;9},AA1821&amp;"0123456789"))+1)),"")</f>
        <v/>
      </c>
    </row>
    <row r="1822" spans="28:28" x14ac:dyDescent="0.2">
      <c r="AB1822" s="660" t="str">
        <f>IFERROR(VALUE(RIGHT(AA1822,LEN(AA1822)-MIN(FIND({0;1;2;3;4;5;6;7;8;9},AA1822&amp;"0123456789"))+1)),"")</f>
        <v/>
      </c>
    </row>
    <row r="1823" spans="28:28" x14ac:dyDescent="0.2">
      <c r="AB1823" s="660" t="str">
        <f>IFERROR(VALUE(RIGHT(AA1823,LEN(AA1823)-MIN(FIND({0;1;2;3;4;5;6;7;8;9},AA1823&amp;"0123456789"))+1)),"")</f>
        <v/>
      </c>
    </row>
    <row r="1824" spans="28:28" x14ac:dyDescent="0.2">
      <c r="AB1824" s="660" t="str">
        <f>IFERROR(VALUE(RIGHT(AA1824,LEN(AA1824)-MIN(FIND({0;1;2;3;4;5;6;7;8;9},AA1824&amp;"0123456789"))+1)),"")</f>
        <v/>
      </c>
    </row>
    <row r="1825" spans="28:28" x14ac:dyDescent="0.2">
      <c r="AB1825" s="660" t="str">
        <f>IFERROR(VALUE(RIGHT(AA1825,LEN(AA1825)-MIN(FIND({0;1;2;3;4;5;6;7;8;9},AA1825&amp;"0123456789"))+1)),"")</f>
        <v/>
      </c>
    </row>
    <row r="1826" spans="28:28" x14ac:dyDescent="0.2">
      <c r="AB1826" s="660" t="str">
        <f>IFERROR(VALUE(RIGHT(AA1826,LEN(AA1826)-MIN(FIND({0;1;2;3;4;5;6;7;8;9},AA1826&amp;"0123456789"))+1)),"")</f>
        <v/>
      </c>
    </row>
    <row r="1827" spans="28:28" x14ac:dyDescent="0.2">
      <c r="AB1827" s="660" t="str">
        <f>IFERROR(VALUE(RIGHT(AA1827,LEN(AA1827)-MIN(FIND({0;1;2;3;4;5;6;7;8;9},AA1827&amp;"0123456789"))+1)),"")</f>
        <v/>
      </c>
    </row>
    <row r="1828" spans="28:28" x14ac:dyDescent="0.2">
      <c r="AB1828" s="660" t="str">
        <f>IFERROR(VALUE(RIGHT(AA1828,LEN(AA1828)-MIN(FIND({0;1;2;3;4;5;6;7;8;9},AA1828&amp;"0123456789"))+1)),"")</f>
        <v/>
      </c>
    </row>
    <row r="1829" spans="28:28" x14ac:dyDescent="0.2">
      <c r="AB1829" s="660" t="str">
        <f>IFERROR(VALUE(RIGHT(AA1829,LEN(AA1829)-MIN(FIND({0;1;2;3;4;5;6;7;8;9},AA1829&amp;"0123456789"))+1)),"")</f>
        <v/>
      </c>
    </row>
    <row r="1830" spans="28:28" x14ac:dyDescent="0.2">
      <c r="AB1830" s="660" t="str">
        <f>IFERROR(VALUE(RIGHT(AA1830,LEN(AA1830)-MIN(FIND({0;1;2;3;4;5;6;7;8;9},AA1830&amp;"0123456789"))+1)),"")</f>
        <v/>
      </c>
    </row>
    <row r="1831" spans="28:28" x14ac:dyDescent="0.2">
      <c r="AB1831" s="660" t="str">
        <f>IFERROR(VALUE(RIGHT(AA1831,LEN(AA1831)-MIN(FIND({0;1;2;3;4;5;6;7;8;9},AA1831&amp;"0123456789"))+1)),"")</f>
        <v/>
      </c>
    </row>
    <row r="1832" spans="28:28" x14ac:dyDescent="0.2">
      <c r="AB1832" s="660" t="str">
        <f>IFERROR(VALUE(RIGHT(AA1832,LEN(AA1832)-MIN(FIND({0;1;2;3;4;5;6;7;8;9},AA1832&amp;"0123456789"))+1)),"")</f>
        <v/>
      </c>
    </row>
    <row r="1833" spans="28:28" x14ac:dyDescent="0.2">
      <c r="AB1833" s="660" t="str">
        <f>IFERROR(VALUE(RIGHT(AA1833,LEN(AA1833)-MIN(FIND({0;1;2;3;4;5;6;7;8;9},AA1833&amp;"0123456789"))+1)),"")</f>
        <v/>
      </c>
    </row>
    <row r="1834" spans="28:28" x14ac:dyDescent="0.2">
      <c r="AB1834" s="660" t="str">
        <f>IFERROR(VALUE(RIGHT(AA1834,LEN(AA1834)-MIN(FIND({0;1;2;3;4;5;6;7;8;9},AA1834&amp;"0123456789"))+1)),"")</f>
        <v/>
      </c>
    </row>
    <row r="1835" spans="28:28" x14ac:dyDescent="0.2">
      <c r="AB1835" s="660" t="str">
        <f>IFERROR(VALUE(RIGHT(AA1835,LEN(AA1835)-MIN(FIND({0;1;2;3;4;5;6;7;8;9},AA1835&amp;"0123456789"))+1)),"")</f>
        <v/>
      </c>
    </row>
    <row r="1836" spans="28:28" x14ac:dyDescent="0.2">
      <c r="AB1836" s="660" t="str">
        <f>IFERROR(VALUE(RIGHT(AA1836,LEN(AA1836)-MIN(FIND({0;1;2;3;4;5;6;7;8;9},AA1836&amp;"0123456789"))+1)),"")</f>
        <v/>
      </c>
    </row>
    <row r="1837" spans="28:28" x14ac:dyDescent="0.2">
      <c r="AB1837" s="660" t="str">
        <f>IFERROR(VALUE(RIGHT(AA1837,LEN(AA1837)-MIN(FIND({0;1;2;3;4;5;6;7;8;9},AA1837&amp;"0123456789"))+1)),"")</f>
        <v/>
      </c>
    </row>
    <row r="1838" spans="28:28" x14ac:dyDescent="0.2">
      <c r="AB1838" s="660" t="str">
        <f>IFERROR(VALUE(RIGHT(AA1838,LEN(AA1838)-MIN(FIND({0;1;2;3;4;5;6;7;8;9},AA1838&amp;"0123456789"))+1)),"")</f>
        <v/>
      </c>
    </row>
    <row r="1839" spans="28:28" x14ac:dyDescent="0.2">
      <c r="AB1839" s="660" t="str">
        <f>IFERROR(VALUE(RIGHT(AA1839,LEN(AA1839)-MIN(FIND({0;1;2;3;4;5;6;7;8;9},AA1839&amp;"0123456789"))+1)),"")</f>
        <v/>
      </c>
    </row>
    <row r="1840" spans="28:28" x14ac:dyDescent="0.2">
      <c r="AB1840" s="660" t="str">
        <f>IFERROR(VALUE(RIGHT(AA1840,LEN(AA1840)-MIN(FIND({0;1;2;3;4;5;6;7;8;9},AA1840&amp;"0123456789"))+1)),"")</f>
        <v/>
      </c>
    </row>
    <row r="1841" spans="28:28" x14ac:dyDescent="0.2">
      <c r="AB1841" s="660" t="str">
        <f>IFERROR(VALUE(RIGHT(AA1841,LEN(AA1841)-MIN(FIND({0;1;2;3;4;5;6;7;8;9},AA1841&amp;"0123456789"))+1)),"")</f>
        <v/>
      </c>
    </row>
    <row r="1842" spans="28:28" x14ac:dyDescent="0.2">
      <c r="AB1842" s="660" t="str">
        <f>IFERROR(VALUE(RIGHT(AA1842,LEN(AA1842)-MIN(FIND({0;1;2;3;4;5;6;7;8;9},AA1842&amp;"0123456789"))+1)),"")</f>
        <v/>
      </c>
    </row>
    <row r="1843" spans="28:28" x14ac:dyDescent="0.2">
      <c r="AB1843" s="660" t="str">
        <f>IFERROR(VALUE(RIGHT(AA1843,LEN(AA1843)-MIN(FIND({0;1;2;3;4;5;6;7;8;9},AA1843&amp;"0123456789"))+1)),"")</f>
        <v/>
      </c>
    </row>
    <row r="1844" spans="28:28" x14ac:dyDescent="0.2">
      <c r="AB1844" s="660" t="str">
        <f>IFERROR(VALUE(RIGHT(AA1844,LEN(AA1844)-MIN(FIND({0;1;2;3;4;5;6;7;8;9},AA1844&amp;"0123456789"))+1)),"")</f>
        <v/>
      </c>
    </row>
    <row r="1845" spans="28:28" x14ac:dyDescent="0.2">
      <c r="AB1845" s="660" t="str">
        <f>IFERROR(VALUE(RIGHT(AA1845,LEN(AA1845)-MIN(FIND({0;1;2;3;4;5;6;7;8;9},AA1845&amp;"0123456789"))+1)),"")</f>
        <v/>
      </c>
    </row>
    <row r="1846" spans="28:28" x14ac:dyDescent="0.2">
      <c r="AB1846" s="660" t="str">
        <f>IFERROR(VALUE(RIGHT(AA1846,LEN(AA1846)-MIN(FIND({0;1;2;3;4;5;6;7;8;9},AA1846&amp;"0123456789"))+1)),"")</f>
        <v/>
      </c>
    </row>
    <row r="1847" spans="28:28" x14ac:dyDescent="0.2">
      <c r="AB1847" s="660" t="str">
        <f>IFERROR(VALUE(RIGHT(AA1847,LEN(AA1847)-MIN(FIND({0;1;2;3;4;5;6;7;8;9},AA1847&amp;"0123456789"))+1)),"")</f>
        <v/>
      </c>
    </row>
    <row r="1848" spans="28:28" x14ac:dyDescent="0.2">
      <c r="AB1848" s="660" t="str">
        <f>IFERROR(VALUE(RIGHT(AA1848,LEN(AA1848)-MIN(FIND({0;1;2;3;4;5;6;7;8;9},AA1848&amp;"0123456789"))+1)),"")</f>
        <v/>
      </c>
    </row>
    <row r="1849" spans="28:28" x14ac:dyDescent="0.2">
      <c r="AB1849" s="660" t="str">
        <f>IFERROR(VALUE(RIGHT(AA1849,LEN(AA1849)-MIN(FIND({0;1;2;3;4;5;6;7;8;9},AA1849&amp;"0123456789"))+1)),"")</f>
        <v/>
      </c>
    </row>
    <row r="1850" spans="28:28" x14ac:dyDescent="0.2">
      <c r="AB1850" s="660" t="str">
        <f>IFERROR(VALUE(RIGHT(AA1850,LEN(AA1850)-MIN(FIND({0;1;2;3;4;5;6;7;8;9},AA1850&amp;"0123456789"))+1)),"")</f>
        <v/>
      </c>
    </row>
    <row r="1851" spans="28:28" x14ac:dyDescent="0.2">
      <c r="AB1851" s="660" t="str">
        <f>IFERROR(VALUE(RIGHT(AA1851,LEN(AA1851)-MIN(FIND({0;1;2;3;4;5;6;7;8;9},AA1851&amp;"0123456789"))+1)),"")</f>
        <v/>
      </c>
    </row>
    <row r="1852" spans="28:28" x14ac:dyDescent="0.2">
      <c r="AB1852" s="660" t="str">
        <f>IFERROR(VALUE(RIGHT(AA1852,LEN(AA1852)-MIN(FIND({0;1;2;3;4;5;6;7;8;9},AA1852&amp;"0123456789"))+1)),"")</f>
        <v/>
      </c>
    </row>
    <row r="1853" spans="28:28" x14ac:dyDescent="0.2">
      <c r="AB1853" s="660" t="str">
        <f>IFERROR(VALUE(RIGHT(AA1853,LEN(AA1853)-MIN(FIND({0;1;2;3;4;5;6;7;8;9},AA1853&amp;"0123456789"))+1)),"")</f>
        <v/>
      </c>
    </row>
    <row r="1854" spans="28:28" x14ac:dyDescent="0.2">
      <c r="AB1854" s="660" t="str">
        <f>IFERROR(VALUE(RIGHT(AA1854,LEN(AA1854)-MIN(FIND({0;1;2;3;4;5;6;7;8;9},AA1854&amp;"0123456789"))+1)),"")</f>
        <v/>
      </c>
    </row>
    <row r="1855" spans="28:28" x14ac:dyDescent="0.2">
      <c r="AB1855" s="660" t="str">
        <f>IFERROR(VALUE(RIGHT(AA1855,LEN(AA1855)-MIN(FIND({0;1;2;3;4;5;6;7;8;9},AA1855&amp;"0123456789"))+1)),"")</f>
        <v/>
      </c>
    </row>
    <row r="1856" spans="28:28" x14ac:dyDescent="0.2">
      <c r="AB1856" s="660" t="str">
        <f>IFERROR(VALUE(RIGHT(AA1856,LEN(AA1856)-MIN(FIND({0;1;2;3;4;5;6;7;8;9},AA1856&amp;"0123456789"))+1)),"")</f>
        <v/>
      </c>
    </row>
    <row r="1857" spans="28:28" x14ac:dyDescent="0.2">
      <c r="AB1857" s="660" t="str">
        <f>IFERROR(VALUE(RIGHT(AA1857,LEN(AA1857)-MIN(FIND({0;1;2;3;4;5;6;7;8;9},AA1857&amp;"0123456789"))+1)),"")</f>
        <v/>
      </c>
    </row>
    <row r="1858" spans="28:28" x14ac:dyDescent="0.2">
      <c r="AB1858" s="660" t="str">
        <f>IFERROR(VALUE(RIGHT(AA1858,LEN(AA1858)-MIN(FIND({0;1;2;3;4;5;6;7;8;9},AA1858&amp;"0123456789"))+1)),"")</f>
        <v/>
      </c>
    </row>
    <row r="1859" spans="28:28" x14ac:dyDescent="0.2">
      <c r="AB1859" s="660" t="str">
        <f>IFERROR(VALUE(RIGHT(AA1859,LEN(AA1859)-MIN(FIND({0;1;2;3;4;5;6;7;8;9},AA1859&amp;"0123456789"))+1)),"")</f>
        <v/>
      </c>
    </row>
    <row r="1860" spans="28:28" x14ac:dyDescent="0.2">
      <c r="AB1860" s="660" t="str">
        <f>IFERROR(VALUE(RIGHT(AA1860,LEN(AA1860)-MIN(FIND({0;1;2;3;4;5;6;7;8;9},AA1860&amp;"0123456789"))+1)),"")</f>
        <v/>
      </c>
    </row>
    <row r="1861" spans="28:28" x14ac:dyDescent="0.2">
      <c r="AB1861" s="660" t="str">
        <f>IFERROR(VALUE(RIGHT(AA1861,LEN(AA1861)-MIN(FIND({0;1;2;3;4;5;6;7;8;9},AA1861&amp;"0123456789"))+1)),"")</f>
        <v/>
      </c>
    </row>
    <row r="1862" spans="28:28" x14ac:dyDescent="0.2">
      <c r="AB1862" s="660" t="str">
        <f>IFERROR(VALUE(RIGHT(AA1862,LEN(AA1862)-MIN(FIND({0;1;2;3;4;5;6;7;8;9},AA1862&amp;"0123456789"))+1)),"")</f>
        <v/>
      </c>
    </row>
    <row r="1863" spans="28:28" x14ac:dyDescent="0.2">
      <c r="AB1863" s="660" t="str">
        <f>IFERROR(VALUE(RIGHT(AA1863,LEN(AA1863)-MIN(FIND({0;1;2;3;4;5;6;7;8;9},AA1863&amp;"0123456789"))+1)),"")</f>
        <v/>
      </c>
    </row>
    <row r="1864" spans="28:28" x14ac:dyDescent="0.2">
      <c r="AB1864" s="660" t="str">
        <f>IFERROR(VALUE(RIGHT(AA1864,LEN(AA1864)-MIN(FIND({0;1;2;3;4;5;6;7;8;9},AA1864&amp;"0123456789"))+1)),"")</f>
        <v/>
      </c>
    </row>
    <row r="1865" spans="28:28" x14ac:dyDescent="0.2">
      <c r="AB1865" s="660" t="str">
        <f>IFERROR(VALUE(RIGHT(AA1865,LEN(AA1865)-MIN(FIND({0;1;2;3;4;5;6;7;8;9},AA1865&amp;"0123456789"))+1)),"")</f>
        <v/>
      </c>
    </row>
    <row r="1866" spans="28:28" x14ac:dyDescent="0.2">
      <c r="AB1866" s="660" t="str">
        <f>IFERROR(VALUE(RIGHT(AA1866,LEN(AA1866)-MIN(FIND({0;1;2;3;4;5;6;7;8;9},AA1866&amp;"0123456789"))+1)),"")</f>
        <v/>
      </c>
    </row>
    <row r="1867" spans="28:28" x14ac:dyDescent="0.2">
      <c r="AB1867" s="660" t="str">
        <f>IFERROR(VALUE(RIGHT(AA1867,LEN(AA1867)-MIN(FIND({0;1;2;3;4;5;6;7;8;9},AA1867&amp;"0123456789"))+1)),"")</f>
        <v/>
      </c>
    </row>
    <row r="1868" spans="28:28" x14ac:dyDescent="0.2">
      <c r="AB1868" s="660" t="str">
        <f>IFERROR(VALUE(RIGHT(AA1868,LEN(AA1868)-MIN(FIND({0;1;2;3;4;5;6;7;8;9},AA1868&amp;"0123456789"))+1)),"")</f>
        <v/>
      </c>
    </row>
    <row r="1869" spans="28:28" x14ac:dyDescent="0.2">
      <c r="AB1869" s="660" t="str">
        <f>IFERROR(VALUE(RIGHT(AA1869,LEN(AA1869)-MIN(FIND({0;1;2;3;4;5;6;7;8;9},AA1869&amp;"0123456789"))+1)),"")</f>
        <v/>
      </c>
    </row>
    <row r="1870" spans="28:28" x14ac:dyDescent="0.2">
      <c r="AB1870" s="660" t="str">
        <f>IFERROR(VALUE(RIGHT(AA1870,LEN(AA1870)-MIN(FIND({0;1;2;3;4;5;6;7;8;9},AA1870&amp;"0123456789"))+1)),"")</f>
        <v/>
      </c>
    </row>
    <row r="1871" spans="28:28" x14ac:dyDescent="0.2">
      <c r="AB1871" s="660" t="str">
        <f>IFERROR(VALUE(RIGHT(AA1871,LEN(AA1871)-MIN(FIND({0;1;2;3;4;5;6;7;8;9},AA1871&amp;"0123456789"))+1)),"")</f>
        <v/>
      </c>
    </row>
    <row r="1872" spans="28:28" x14ac:dyDescent="0.2">
      <c r="AB1872" s="660" t="str">
        <f>IFERROR(VALUE(RIGHT(AA1872,LEN(AA1872)-MIN(FIND({0;1;2;3;4;5;6;7;8;9},AA1872&amp;"0123456789"))+1)),"")</f>
        <v/>
      </c>
    </row>
    <row r="1873" spans="28:28" x14ac:dyDescent="0.2">
      <c r="AB1873" s="660" t="str">
        <f>IFERROR(VALUE(RIGHT(AA1873,LEN(AA1873)-MIN(FIND({0;1;2;3;4;5;6;7;8;9},AA1873&amp;"0123456789"))+1)),"")</f>
        <v/>
      </c>
    </row>
    <row r="1874" spans="28:28" x14ac:dyDescent="0.2">
      <c r="AB1874" s="660" t="str">
        <f>IFERROR(VALUE(RIGHT(AA1874,LEN(AA1874)-MIN(FIND({0;1;2;3;4;5;6;7;8;9},AA1874&amp;"0123456789"))+1)),"")</f>
        <v/>
      </c>
    </row>
    <row r="1875" spans="28:28" x14ac:dyDescent="0.2">
      <c r="AB1875" s="660" t="str">
        <f>IFERROR(VALUE(RIGHT(AA1875,LEN(AA1875)-MIN(FIND({0;1;2;3;4;5;6;7;8;9},AA1875&amp;"0123456789"))+1)),"")</f>
        <v/>
      </c>
    </row>
    <row r="1876" spans="28:28" x14ac:dyDescent="0.2">
      <c r="AB1876" s="660" t="str">
        <f>IFERROR(VALUE(RIGHT(AA1876,LEN(AA1876)-MIN(FIND({0;1;2;3;4;5;6;7;8;9},AA1876&amp;"0123456789"))+1)),"")</f>
        <v/>
      </c>
    </row>
    <row r="1877" spans="28:28" x14ac:dyDescent="0.2">
      <c r="AB1877" s="660" t="str">
        <f>IFERROR(VALUE(RIGHT(AA1877,LEN(AA1877)-MIN(FIND({0;1;2;3;4;5;6;7;8;9},AA1877&amp;"0123456789"))+1)),"")</f>
        <v/>
      </c>
    </row>
    <row r="1878" spans="28:28" x14ac:dyDescent="0.2">
      <c r="AB1878" s="660" t="str">
        <f>IFERROR(VALUE(RIGHT(AA1878,LEN(AA1878)-MIN(FIND({0;1;2;3;4;5;6;7;8;9},AA1878&amp;"0123456789"))+1)),"")</f>
        <v/>
      </c>
    </row>
    <row r="1879" spans="28:28" x14ac:dyDescent="0.2">
      <c r="AB1879" s="660" t="str">
        <f>IFERROR(VALUE(RIGHT(AA1879,LEN(AA1879)-MIN(FIND({0;1;2;3;4;5;6;7;8;9},AA1879&amp;"0123456789"))+1)),"")</f>
        <v/>
      </c>
    </row>
    <row r="1880" spans="28:28" x14ac:dyDescent="0.2">
      <c r="AB1880" s="660" t="str">
        <f>IFERROR(VALUE(RIGHT(AA1880,LEN(AA1880)-MIN(FIND({0;1;2;3;4;5;6;7;8;9},AA1880&amp;"0123456789"))+1)),"")</f>
        <v/>
      </c>
    </row>
    <row r="1881" spans="28:28" x14ac:dyDescent="0.2">
      <c r="AB1881" s="660" t="str">
        <f>IFERROR(VALUE(RIGHT(AA1881,LEN(AA1881)-MIN(FIND({0;1;2;3;4;5;6;7;8;9},AA1881&amp;"0123456789"))+1)),"")</f>
        <v/>
      </c>
    </row>
    <row r="1882" spans="28:28" x14ac:dyDescent="0.2">
      <c r="AB1882" s="660" t="str">
        <f>IFERROR(VALUE(RIGHT(AA1882,LEN(AA1882)-MIN(FIND({0;1;2;3;4;5;6;7;8;9},AA1882&amp;"0123456789"))+1)),"")</f>
        <v/>
      </c>
    </row>
    <row r="1883" spans="28:28" x14ac:dyDescent="0.2">
      <c r="AB1883" s="660" t="str">
        <f>IFERROR(VALUE(RIGHT(AA1883,LEN(AA1883)-MIN(FIND({0;1;2;3;4;5;6;7;8;9},AA1883&amp;"0123456789"))+1)),"")</f>
        <v/>
      </c>
    </row>
    <row r="1884" spans="28:28" x14ac:dyDescent="0.2">
      <c r="AB1884" s="660" t="str">
        <f>IFERROR(VALUE(RIGHT(AA1884,LEN(AA1884)-MIN(FIND({0;1;2;3;4;5;6;7;8;9},AA1884&amp;"0123456789"))+1)),"")</f>
        <v/>
      </c>
    </row>
    <row r="1885" spans="28:28" x14ac:dyDescent="0.2">
      <c r="AB1885" s="660" t="str">
        <f>IFERROR(VALUE(RIGHT(AA1885,LEN(AA1885)-MIN(FIND({0;1;2;3;4;5;6;7;8;9},AA1885&amp;"0123456789"))+1)),"")</f>
        <v/>
      </c>
    </row>
    <row r="1886" spans="28:28" x14ac:dyDescent="0.2">
      <c r="AB1886" s="660" t="str">
        <f>IFERROR(VALUE(RIGHT(AA1886,LEN(AA1886)-MIN(FIND({0;1;2;3;4;5;6;7;8;9},AA1886&amp;"0123456789"))+1)),"")</f>
        <v/>
      </c>
    </row>
    <row r="1887" spans="28:28" x14ac:dyDescent="0.2">
      <c r="AB1887" s="660" t="str">
        <f>IFERROR(VALUE(RIGHT(AA1887,LEN(AA1887)-MIN(FIND({0;1;2;3;4;5;6;7;8;9},AA1887&amp;"0123456789"))+1)),"")</f>
        <v/>
      </c>
    </row>
    <row r="1888" spans="28:28" x14ac:dyDescent="0.2">
      <c r="AB1888" s="660" t="str">
        <f>IFERROR(VALUE(RIGHT(AA1888,LEN(AA1888)-MIN(FIND({0;1;2;3;4;5;6;7;8;9},AA1888&amp;"0123456789"))+1)),"")</f>
        <v/>
      </c>
    </row>
    <row r="1889" spans="28:28" x14ac:dyDescent="0.2">
      <c r="AB1889" s="660" t="str">
        <f>IFERROR(VALUE(RIGHT(AA1889,LEN(AA1889)-MIN(FIND({0;1;2;3;4;5;6;7;8;9},AA1889&amp;"0123456789"))+1)),"")</f>
        <v/>
      </c>
    </row>
    <row r="1890" spans="28:28" x14ac:dyDescent="0.2">
      <c r="AB1890" s="660" t="str">
        <f>IFERROR(VALUE(RIGHT(AA1890,LEN(AA1890)-MIN(FIND({0;1;2;3;4;5;6;7;8;9},AA1890&amp;"0123456789"))+1)),"")</f>
        <v/>
      </c>
    </row>
    <row r="1891" spans="28:28" x14ac:dyDescent="0.2">
      <c r="AB1891" s="660" t="str">
        <f>IFERROR(VALUE(RIGHT(AA1891,LEN(AA1891)-MIN(FIND({0;1;2;3;4;5;6;7;8;9},AA1891&amp;"0123456789"))+1)),"")</f>
        <v/>
      </c>
    </row>
    <row r="1892" spans="28:28" x14ac:dyDescent="0.2">
      <c r="AB1892" s="660" t="str">
        <f>IFERROR(VALUE(RIGHT(AA1892,LEN(AA1892)-MIN(FIND({0;1;2;3;4;5;6;7;8;9},AA1892&amp;"0123456789"))+1)),"")</f>
        <v/>
      </c>
    </row>
    <row r="1893" spans="28:28" x14ac:dyDescent="0.2">
      <c r="AB1893" s="660" t="str">
        <f>IFERROR(VALUE(RIGHT(AA1893,LEN(AA1893)-MIN(FIND({0;1;2;3;4;5;6;7;8;9},AA1893&amp;"0123456789"))+1)),"")</f>
        <v/>
      </c>
    </row>
    <row r="1894" spans="28:28" x14ac:dyDescent="0.2">
      <c r="AB1894" s="660" t="str">
        <f>IFERROR(VALUE(RIGHT(AA1894,LEN(AA1894)-MIN(FIND({0;1;2;3;4;5;6;7;8;9},AA1894&amp;"0123456789"))+1)),"")</f>
        <v/>
      </c>
    </row>
    <row r="1895" spans="28:28" x14ac:dyDescent="0.2">
      <c r="AB1895" s="660" t="str">
        <f>IFERROR(VALUE(RIGHT(AA1895,LEN(AA1895)-MIN(FIND({0;1;2;3;4;5;6;7;8;9},AA1895&amp;"0123456789"))+1)),"")</f>
        <v/>
      </c>
    </row>
    <row r="1896" spans="28:28" x14ac:dyDescent="0.2">
      <c r="AB1896" s="660" t="str">
        <f>IFERROR(VALUE(RIGHT(AA1896,LEN(AA1896)-MIN(FIND({0;1;2;3;4;5;6;7;8;9},AA1896&amp;"0123456789"))+1)),"")</f>
        <v/>
      </c>
    </row>
    <row r="1897" spans="28:28" x14ac:dyDescent="0.2">
      <c r="AB1897" s="660" t="str">
        <f>IFERROR(VALUE(RIGHT(AA1897,LEN(AA1897)-MIN(FIND({0;1;2;3;4;5;6;7;8;9},AA1897&amp;"0123456789"))+1)),"")</f>
        <v/>
      </c>
    </row>
    <row r="1898" spans="28:28" x14ac:dyDescent="0.2">
      <c r="AB1898" s="660" t="str">
        <f>IFERROR(VALUE(RIGHT(AA1898,LEN(AA1898)-MIN(FIND({0;1;2;3;4;5;6;7;8;9},AA1898&amp;"0123456789"))+1)),"")</f>
        <v/>
      </c>
    </row>
    <row r="1899" spans="28:28" x14ac:dyDescent="0.2">
      <c r="AB1899" s="660" t="str">
        <f>IFERROR(VALUE(RIGHT(AA1899,LEN(AA1899)-MIN(FIND({0;1;2;3;4;5;6;7;8;9},AA1899&amp;"0123456789"))+1)),"")</f>
        <v/>
      </c>
    </row>
    <row r="1900" spans="28:28" x14ac:dyDescent="0.2">
      <c r="AB1900" s="660" t="str">
        <f>IFERROR(VALUE(RIGHT(AA1900,LEN(AA1900)-MIN(FIND({0;1;2;3;4;5;6;7;8;9},AA1900&amp;"0123456789"))+1)),"")</f>
        <v/>
      </c>
    </row>
    <row r="1901" spans="28:28" x14ac:dyDescent="0.2">
      <c r="AB1901" s="660" t="str">
        <f>IFERROR(VALUE(RIGHT(AA1901,LEN(AA1901)-MIN(FIND({0;1;2;3;4;5;6;7;8;9},AA1901&amp;"0123456789"))+1)),"")</f>
        <v/>
      </c>
    </row>
    <row r="1902" spans="28:28" x14ac:dyDescent="0.2">
      <c r="AB1902" s="660" t="str">
        <f>IFERROR(VALUE(RIGHT(AA1902,LEN(AA1902)-MIN(FIND({0;1;2;3;4;5;6;7;8;9},AA1902&amp;"0123456789"))+1)),"")</f>
        <v/>
      </c>
    </row>
    <row r="1903" spans="28:28" x14ac:dyDescent="0.2">
      <c r="AB1903" s="660" t="str">
        <f>IFERROR(VALUE(RIGHT(AA1903,LEN(AA1903)-MIN(FIND({0;1;2;3;4;5;6;7;8;9},AA1903&amp;"0123456789"))+1)),"")</f>
        <v/>
      </c>
    </row>
  </sheetData>
  <mergeCells count="1">
    <mergeCell ref="X8:X9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5A538-8333-4CE5-B158-BAD24BD90566}">
  <sheetPr codeName="Sheet25">
    <tabColor rgb="FF00A3E0"/>
  </sheetPr>
  <dimension ref="A1:D954"/>
  <sheetViews>
    <sheetView workbookViewId="0"/>
  </sheetViews>
  <sheetFormatPr defaultColWidth="0" defaultRowHeight="12.75" x14ac:dyDescent="0.2"/>
  <cols>
    <col min="1" max="1" width="24.7109375" style="33" customWidth="1"/>
    <col min="2" max="2" width="9.140625" style="33" customWidth="1"/>
    <col min="3" max="3" width="120.7109375" style="649" customWidth="1"/>
    <col min="4" max="4" width="1.7109375" style="33" customWidth="1"/>
    <col min="5" max="16384" width="9.140625" style="33" hidden="1"/>
  </cols>
  <sheetData>
    <row r="1" spans="1:4" ht="15.75" thickBot="1" x14ac:dyDescent="0.25">
      <c r="A1" s="171" t="s">
        <v>1631</v>
      </c>
      <c r="C1" s="647" t="s">
        <v>490</v>
      </c>
    </row>
    <row r="2" spans="1:4" ht="16.5" thickTop="1" thickBot="1" x14ac:dyDescent="0.25">
      <c r="A2" s="648" t="s">
        <v>1908</v>
      </c>
      <c r="C2" s="647" t="s">
        <v>491</v>
      </c>
    </row>
    <row r="3" spans="1:4" ht="13.5" thickBot="1" x14ac:dyDescent="0.25"/>
    <row r="4" spans="1:4" ht="15.75" thickBot="1" x14ac:dyDescent="0.25">
      <c r="A4" s="171" t="s">
        <v>1633</v>
      </c>
      <c r="B4" s="50"/>
      <c r="C4" s="169" t="s">
        <v>2135</v>
      </c>
      <c r="D4" s="50"/>
    </row>
    <row r="5" spans="1:4" ht="16.5" thickTop="1" thickBot="1" x14ac:dyDescent="0.25">
      <c r="A5" s="648" t="str">
        <f>CONCATENATE(Results!C32,".png")</f>
        <v>Estatico.png</v>
      </c>
      <c r="B5" s="50"/>
      <c r="C5" s="169" t="s">
        <v>2136</v>
      </c>
      <c r="D5" s="50"/>
    </row>
    <row r="6" spans="1:4" ht="15.75" thickBot="1" x14ac:dyDescent="0.25">
      <c r="C6" s="647" t="s">
        <v>492</v>
      </c>
    </row>
    <row r="7" spans="1:4" ht="15.75" thickBot="1" x14ac:dyDescent="0.25">
      <c r="A7" s="171" t="s">
        <v>1634</v>
      </c>
      <c r="C7" s="647" t="s">
        <v>493</v>
      </c>
    </row>
    <row r="8" spans="1:4" ht="16.5" thickTop="1" thickBot="1" x14ac:dyDescent="0.25">
      <c r="A8" s="648" t="str">
        <f>CONCATENATE("Figuras\", Results!C32, ".py")</f>
        <v>Figuras\Estatico.py</v>
      </c>
      <c r="C8" s="647" t="s">
        <v>494</v>
      </c>
    </row>
    <row r="9" spans="1:4" ht="15.75" thickBot="1" x14ac:dyDescent="0.25">
      <c r="C9" s="647" t="s">
        <v>495</v>
      </c>
    </row>
    <row r="10" spans="1:4" ht="15.75" thickBot="1" x14ac:dyDescent="0.25">
      <c r="A10" s="171" t="s">
        <v>498</v>
      </c>
      <c r="C10" s="647" t="s">
        <v>497</v>
      </c>
    </row>
    <row r="11" spans="1:4" ht="14.25" thickTop="1" thickBot="1" x14ac:dyDescent="0.25">
      <c r="A11" s="648">
        <f>Results!$C$47</f>
        <v>24</v>
      </c>
    </row>
    <row r="12" spans="1:4" ht="15.75" thickBot="1" x14ac:dyDescent="0.25">
      <c r="C12" s="647" t="s">
        <v>1909</v>
      </c>
    </row>
    <row r="13" spans="1:4" ht="15.75" thickBot="1" x14ac:dyDescent="0.25">
      <c r="A13" s="646" t="s">
        <v>500</v>
      </c>
      <c r="C13" s="647" t="s">
        <v>2152</v>
      </c>
    </row>
    <row r="14" spans="1:4" ht="15.75" thickTop="1" x14ac:dyDescent="0.2">
      <c r="A14" s="651" t="str">
        <f>'1st_Post_Processing'!$L$6</f>
        <v>Line</v>
      </c>
      <c r="C14" s="647" t="s">
        <v>2195</v>
      </c>
    </row>
    <row r="15" spans="1:4" ht="15" x14ac:dyDescent="0.2">
      <c r="A15" s="652" t="str">
        <f>'1st_Post_Processing'!$L$7</f>
        <v>Stiffener1</v>
      </c>
      <c r="C15" s="647" t="s">
        <v>2196</v>
      </c>
    </row>
    <row r="16" spans="1:4" ht="13.5" thickBot="1" x14ac:dyDescent="0.25">
      <c r="A16" s="653" t="str">
        <f>'1st_Post_Processing'!$L$8</f>
        <v>P7000048060</v>
      </c>
    </row>
    <row r="17" spans="1:3" ht="15.75" thickBot="1" x14ac:dyDescent="0.25">
      <c r="C17" s="647" t="s">
        <v>501</v>
      </c>
    </row>
    <row r="18" spans="1:3" ht="15.75" thickBot="1" x14ac:dyDescent="0.25">
      <c r="A18" s="646" t="s">
        <v>503</v>
      </c>
      <c r="B18" s="650"/>
      <c r="C18" s="647" t="str">
        <f>_xlfn.CONCAT("filename_static = glob.glob(fr'{workspace_dir}\",$A$2,"')[0]")</f>
        <v>filename_static = glob.glob(fr'{workspace_dir}\Estatico.sim')[0]</v>
      </c>
    </row>
    <row r="19" spans="1:3" ht="16.5" thickTop="1" thickBot="1" x14ac:dyDescent="0.25">
      <c r="A19" s="657" t="str">
        <f>IF(COUNTBLANK(Results!C26:C29)&lt;3,  "True", "False")</f>
        <v>False</v>
      </c>
      <c r="C19" s="647"/>
    </row>
    <row r="20" spans="1:3" ht="15" x14ac:dyDescent="0.2">
      <c r="C20" s="647" t="s">
        <v>502</v>
      </c>
    </row>
    <row r="21" spans="1:3" ht="15" x14ac:dyDescent="0.2">
      <c r="B21" s="650"/>
      <c r="C21" s="647" t="str">
        <f>_xlfn.CONCAT("pngname = fr'{figure_dir}\",$A$5,"'")</f>
        <v>pngname = fr'{figure_dir}\Estatico.png'</v>
      </c>
    </row>
    <row r="23" spans="1:3" ht="15" x14ac:dyDescent="0.2">
      <c r="C23" s="647" t="s">
        <v>504</v>
      </c>
    </row>
    <row r="25" spans="1:3" ht="15" x14ac:dyDescent="0.2">
      <c r="C25" s="647" t="s">
        <v>505</v>
      </c>
    </row>
    <row r="26" spans="1:3" ht="15" x14ac:dyDescent="0.2">
      <c r="C26" s="647" t="s">
        <v>506</v>
      </c>
    </row>
    <row r="27" spans="1:3" ht="15" x14ac:dyDescent="0.2">
      <c r="C27" s="647" t="s">
        <v>507</v>
      </c>
    </row>
    <row r="29" spans="1:3" ht="15" x14ac:dyDescent="0.2">
      <c r="C29" s="647" t="s">
        <v>508</v>
      </c>
    </row>
    <row r="30" spans="1:3" ht="15" x14ac:dyDescent="0.2">
      <c r="C30" s="647" t="s">
        <v>509</v>
      </c>
    </row>
    <row r="31" spans="1:3" ht="15" x14ac:dyDescent="0.2">
      <c r="C31" s="647" t="s">
        <v>510</v>
      </c>
    </row>
    <row r="32" spans="1:3" ht="15" x14ac:dyDescent="0.2">
      <c r="C32" s="647" t="s">
        <v>511</v>
      </c>
    </row>
    <row r="33" spans="3:3" ht="15" x14ac:dyDescent="0.2">
      <c r="C33" s="647" t="s">
        <v>512</v>
      </c>
    </row>
    <row r="35" spans="3:3" ht="15" x14ac:dyDescent="0.2">
      <c r="C35" s="647" t="s">
        <v>1910</v>
      </c>
    </row>
    <row r="36" spans="3:3" ht="15" x14ac:dyDescent="0.2">
      <c r="C36" s="647" t="s">
        <v>1911</v>
      </c>
    </row>
    <row r="37" spans="3:3" ht="15" x14ac:dyDescent="0.2">
      <c r="C37" s="647" t="s">
        <v>1912</v>
      </c>
    </row>
    <row r="39" spans="3:3" ht="15" x14ac:dyDescent="0.2">
      <c r="C39" s="647" t="s">
        <v>1913</v>
      </c>
    </row>
    <row r="40" spans="3:3" ht="15" x14ac:dyDescent="0.2">
      <c r="C40" s="647" t="s">
        <v>1914</v>
      </c>
    </row>
    <row r="41" spans="3:3" ht="15" x14ac:dyDescent="0.2">
      <c r="C41" s="647" t="s">
        <v>1915</v>
      </c>
    </row>
    <row r="43" spans="3:3" ht="15" x14ac:dyDescent="0.2">
      <c r="C43" s="647" t="s">
        <v>1916</v>
      </c>
    </row>
    <row r="44" spans="3:3" ht="15" x14ac:dyDescent="0.2">
      <c r="C44" s="647" t="s">
        <v>1917</v>
      </c>
    </row>
    <row r="45" spans="3:3" ht="15" x14ac:dyDescent="0.2">
      <c r="C45" s="647" t="s">
        <v>1918</v>
      </c>
    </row>
    <row r="47" spans="3:3" ht="15" x14ac:dyDescent="0.2">
      <c r="C47" s="647" t="s">
        <v>1919</v>
      </c>
    </row>
    <row r="48" spans="3:3" ht="15" x14ac:dyDescent="0.2">
      <c r="C48" s="647" t="s">
        <v>1920</v>
      </c>
    </row>
    <row r="49" spans="3:3" ht="15" x14ac:dyDescent="0.2">
      <c r="C49" s="647" t="s">
        <v>1921</v>
      </c>
    </row>
    <row r="51" spans="3:3" ht="15" x14ac:dyDescent="0.2">
      <c r="C51" s="647" t="s">
        <v>1922</v>
      </c>
    </row>
    <row r="52" spans="3:3" ht="15" x14ac:dyDescent="0.2">
      <c r="C52" s="647" t="s">
        <v>1923</v>
      </c>
    </row>
    <row r="53" spans="3:3" ht="15" x14ac:dyDescent="0.2">
      <c r="C53" s="647" t="s">
        <v>1924</v>
      </c>
    </row>
    <row r="55" spans="3:3" ht="15" x14ac:dyDescent="0.2">
      <c r="C55" s="647" t="s">
        <v>1925</v>
      </c>
    </row>
    <row r="56" spans="3:3" ht="15" x14ac:dyDescent="0.2">
      <c r="C56" s="647" t="s">
        <v>1926</v>
      </c>
    </row>
    <row r="57" spans="3:3" ht="15" x14ac:dyDescent="0.2">
      <c r="C57" s="647" t="s">
        <v>1927</v>
      </c>
    </row>
    <row r="59" spans="3:3" ht="15" x14ac:dyDescent="0.2">
      <c r="C59" s="647" t="s">
        <v>1928</v>
      </c>
    </row>
    <row r="60" spans="3:3" ht="15" x14ac:dyDescent="0.2">
      <c r="C60" s="647" t="s">
        <v>1929</v>
      </c>
    </row>
    <row r="61" spans="3:3" ht="15" x14ac:dyDescent="0.2">
      <c r="C61" s="647" t="s">
        <v>1930</v>
      </c>
    </row>
    <row r="63" spans="3:3" ht="15" x14ac:dyDescent="0.2">
      <c r="C63" s="647" t="s">
        <v>1931</v>
      </c>
    </row>
    <row r="64" spans="3:3" ht="15" x14ac:dyDescent="0.2">
      <c r="C64" s="647" t="s">
        <v>1932</v>
      </c>
    </row>
    <row r="65" spans="3:3" ht="15" x14ac:dyDescent="0.2">
      <c r="C65" s="647" t="s">
        <v>1933</v>
      </c>
    </row>
    <row r="67" spans="3:3" ht="15" x14ac:dyDescent="0.2">
      <c r="C67" s="647" t="s">
        <v>1934</v>
      </c>
    </row>
    <row r="68" spans="3:3" ht="15" x14ac:dyDescent="0.2">
      <c r="C68" s="647" t="s">
        <v>1935</v>
      </c>
    </row>
    <row r="69" spans="3:3" ht="15" x14ac:dyDescent="0.2">
      <c r="C69" s="647" t="s">
        <v>1936</v>
      </c>
    </row>
    <row r="71" spans="3:3" ht="15" x14ac:dyDescent="0.2">
      <c r="C71" s="647" t="s">
        <v>1937</v>
      </c>
    </row>
    <row r="72" spans="3:3" ht="15" x14ac:dyDescent="0.2">
      <c r="C72" s="647" t="s">
        <v>1938</v>
      </c>
    </row>
    <row r="73" spans="3:3" ht="15" x14ac:dyDescent="0.2">
      <c r="C73" s="647" t="s">
        <v>1939</v>
      </c>
    </row>
    <row r="75" spans="3:3" ht="15" x14ac:dyDescent="0.2">
      <c r="C75" s="647" t="s">
        <v>1940</v>
      </c>
    </row>
    <row r="76" spans="3:3" ht="15" x14ac:dyDescent="0.2">
      <c r="C76" s="647" t="s">
        <v>1941</v>
      </c>
    </row>
    <row r="77" spans="3:3" ht="15" x14ac:dyDescent="0.2">
      <c r="C77" s="647" t="s">
        <v>1942</v>
      </c>
    </row>
    <row r="78" spans="3:3" ht="15" x14ac:dyDescent="0.2">
      <c r="C78" s="647"/>
    </row>
    <row r="79" spans="3:3" ht="15" x14ac:dyDescent="0.2">
      <c r="C79" s="647" t="s">
        <v>1943</v>
      </c>
    </row>
    <row r="80" spans="3:3" ht="15" x14ac:dyDescent="0.2">
      <c r="C80" s="647" t="s">
        <v>1944</v>
      </c>
    </row>
    <row r="81" spans="2:3" ht="15" x14ac:dyDescent="0.2">
      <c r="C81" s="647" t="s">
        <v>1945</v>
      </c>
    </row>
    <row r="83" spans="2:3" ht="15" x14ac:dyDescent="0.2">
      <c r="C83" s="647" t="s">
        <v>1946</v>
      </c>
    </row>
    <row r="84" spans="2:3" ht="15" x14ac:dyDescent="0.2">
      <c r="C84" s="647" t="s">
        <v>1947</v>
      </c>
    </row>
    <row r="85" spans="2:3" ht="15" x14ac:dyDescent="0.2">
      <c r="C85" s="647" t="s">
        <v>1948</v>
      </c>
    </row>
    <row r="86" spans="2:3" ht="15" x14ac:dyDescent="0.2">
      <c r="C86" s="647"/>
    </row>
    <row r="87" spans="2:3" ht="15" x14ac:dyDescent="0.2">
      <c r="C87" s="647" t="s">
        <v>545</v>
      </c>
    </row>
    <row r="88" spans="2:3" ht="15" x14ac:dyDescent="0.2">
      <c r="B88" s="650"/>
      <c r="C88" s="647" t="str">
        <f>_xlfn.CONCAT("font_size = ", $A$11)</f>
        <v>font_size = 24</v>
      </c>
    </row>
    <row r="90" spans="2:3" ht="15" x14ac:dyDescent="0.2">
      <c r="C90" s="647" t="s">
        <v>546</v>
      </c>
    </row>
    <row r="91" spans="2:3" ht="15" x14ac:dyDescent="0.2">
      <c r="B91" s="650"/>
      <c r="C91" s="647" t="str">
        <f>_xlfn.CONCAT("dred = ",$A$19)</f>
        <v>dred = False</v>
      </c>
    </row>
    <row r="93" spans="2:3" ht="15" x14ac:dyDescent="0.2">
      <c r="C93" s="647" t="s">
        <v>983</v>
      </c>
    </row>
    <row r="94" spans="2:3" ht="15" x14ac:dyDescent="0.2">
      <c r="C94" s="647" t="s">
        <v>1949</v>
      </c>
    </row>
    <row r="95" spans="2:3" ht="15" x14ac:dyDescent="0.2">
      <c r="C95" s="647" t="s">
        <v>1950</v>
      </c>
    </row>
    <row r="96" spans="2:3" ht="15" x14ac:dyDescent="0.2">
      <c r="C96" s="647" t="s">
        <v>1951</v>
      </c>
    </row>
    <row r="97" spans="2:3" ht="15" x14ac:dyDescent="0.2">
      <c r="C97" s="647" t="s">
        <v>1952</v>
      </c>
    </row>
    <row r="99" spans="2:3" ht="15" x14ac:dyDescent="0.2">
      <c r="C99" s="647" t="s">
        <v>547</v>
      </c>
    </row>
    <row r="100" spans="2:3" ht="15" x14ac:dyDescent="0.2">
      <c r="C100" s="654" t="s">
        <v>548</v>
      </c>
    </row>
    <row r="101" spans="2:3" ht="15" x14ac:dyDescent="0.2">
      <c r="B101" s="650"/>
      <c r="C101" s="654" t="str">
        <f>_xlfn.CONCAT("profile_dist0 = float('",'MCV e Guindaste'!G22,"'.replace(',','.'))")</f>
        <v>profile_dist0 = float('0'.replace(',','.'))</v>
      </c>
    </row>
    <row r="102" spans="2:3" ht="15" x14ac:dyDescent="0.2">
      <c r="B102" s="650"/>
      <c r="C102" s="654" t="str">
        <f>_xlfn.CONCAT("profile_dist1 = float('",'MCV e Guindaste'!G23,"'.replace(',','.'))")</f>
        <v>profile_dist1 = float('5'.replace(',','.'))</v>
      </c>
    </row>
    <row r="103" spans="2:3" ht="15" x14ac:dyDescent="0.2">
      <c r="B103" s="650"/>
      <c r="C103" s="654" t="str">
        <f>_xlfn.CONCAT("profile_dist2 = float('",'MCV e Guindaste'!G24,"'.replace(',','.'))")</f>
        <v>profile_dist2 = float('10'.replace(',','.'))</v>
      </c>
    </row>
    <row r="104" spans="2:3" ht="15" x14ac:dyDescent="0.2">
      <c r="B104" s="650"/>
      <c r="C104" s="654" t="str">
        <f>_xlfn.CONCAT("profile_dist3 = float('",'MCV e Guindaste'!G25,"'.replace(',','.'))")</f>
        <v>profile_dist3 = float('15'.replace(',','.'))</v>
      </c>
    </row>
    <row r="105" spans="2:3" x14ac:dyDescent="0.2">
      <c r="C105" s="655"/>
    </row>
    <row r="106" spans="2:3" ht="15" x14ac:dyDescent="0.2">
      <c r="B106" s="650"/>
      <c r="C106" s="654" t="str">
        <f>_xlfn.CONCAT("profile_depth0 = float('",'MCV e Guindaste'!I22,"'.replace(',','.'))")</f>
        <v>profile_depth0 = float('2240'.replace(',','.'))</v>
      </c>
    </row>
    <row r="107" spans="2:3" ht="15" x14ac:dyDescent="0.2">
      <c r="B107" s="650"/>
      <c r="C107" s="654" t="str">
        <f>_xlfn.CONCAT("profile_depth1 = float('",'MCV e Guindaste'!I23,"'.replace(',','.'))")</f>
        <v>profile_depth1 = float('2240'.replace(',','.'))</v>
      </c>
    </row>
    <row r="108" spans="2:3" ht="15" x14ac:dyDescent="0.2">
      <c r="B108" s="650"/>
      <c r="C108" s="654" t="str">
        <f>_xlfn.CONCAT("profile_depth2 = float('",'MCV e Guindaste'!I24,"'.replace(',','.'))")</f>
        <v>profile_depth2 = float('2240'.replace(',','.'))</v>
      </c>
    </row>
    <row r="109" spans="2:3" ht="15" x14ac:dyDescent="0.2">
      <c r="B109" s="650"/>
      <c r="C109" s="654" t="str">
        <f>_xlfn.CONCAT("profile_depth3 = float('",'MCV e Guindaste'!I25,"'.replace(',','.'))")</f>
        <v>profile_depth3 = float('2240'.replace(',','.'))</v>
      </c>
    </row>
    <row r="111" spans="2:3" ht="15" x14ac:dyDescent="0.2">
      <c r="C111" s="647" t="s">
        <v>549</v>
      </c>
    </row>
    <row r="112" spans="2:3" ht="15" x14ac:dyDescent="0.2">
      <c r="C112" s="647" t="s">
        <v>550</v>
      </c>
    </row>
    <row r="114" spans="3:3" ht="15" x14ac:dyDescent="0.2">
      <c r="C114" s="647" t="s">
        <v>551</v>
      </c>
    </row>
    <row r="115" spans="3:3" ht="15" x14ac:dyDescent="0.2">
      <c r="C115" s="647" t="s">
        <v>552</v>
      </c>
    </row>
    <row r="116" spans="3:3" ht="15" x14ac:dyDescent="0.2">
      <c r="C116" s="647" t="s">
        <v>553</v>
      </c>
    </row>
    <row r="117" spans="3:3" ht="15" x14ac:dyDescent="0.2">
      <c r="C117" s="647" t="s">
        <v>552</v>
      </c>
    </row>
    <row r="118" spans="3:3" ht="15" x14ac:dyDescent="0.2">
      <c r="C118" s="647" t="s">
        <v>554</v>
      </c>
    </row>
    <row r="119" spans="3:3" ht="15" x14ac:dyDescent="0.2">
      <c r="C119" s="647" t="s">
        <v>555</v>
      </c>
    </row>
    <row r="120" spans="3:3" ht="15" x14ac:dyDescent="0.2">
      <c r="C120" s="647" t="s">
        <v>556</v>
      </c>
    </row>
    <row r="121" spans="3:3" ht="15" x14ac:dyDescent="0.2">
      <c r="C121" s="647" t="s">
        <v>557</v>
      </c>
    </row>
    <row r="122" spans="3:3" ht="15" x14ac:dyDescent="0.2">
      <c r="C122" s="647" t="s">
        <v>558</v>
      </c>
    </row>
    <row r="123" spans="3:3" ht="15" x14ac:dyDescent="0.2">
      <c r="C123" s="647" t="s">
        <v>559</v>
      </c>
    </row>
    <row r="124" spans="3:3" ht="15" x14ac:dyDescent="0.2">
      <c r="C124" s="647" t="s">
        <v>560</v>
      </c>
    </row>
    <row r="125" spans="3:3" ht="15" x14ac:dyDescent="0.2">
      <c r="C125" s="647" t="s">
        <v>561</v>
      </c>
    </row>
    <row r="126" spans="3:3" ht="15" x14ac:dyDescent="0.2">
      <c r="C126" s="647" t="s">
        <v>559</v>
      </c>
    </row>
    <row r="127" spans="3:3" ht="15" x14ac:dyDescent="0.2">
      <c r="C127" s="647" t="s">
        <v>562</v>
      </c>
    </row>
    <row r="128" spans="3:3" ht="15" x14ac:dyDescent="0.2">
      <c r="C128" s="647" t="s">
        <v>563</v>
      </c>
    </row>
    <row r="129" spans="2:3" ht="15" x14ac:dyDescent="0.2">
      <c r="C129" s="647" t="s">
        <v>564</v>
      </c>
    </row>
    <row r="130" spans="2:3" ht="15" x14ac:dyDescent="0.2">
      <c r="C130" s="647" t="s">
        <v>565</v>
      </c>
    </row>
    <row r="131" spans="2:3" ht="15" x14ac:dyDescent="0.2">
      <c r="C131" s="647" t="s">
        <v>566</v>
      </c>
    </row>
    <row r="132" spans="2:3" ht="15" x14ac:dyDescent="0.2">
      <c r="C132" s="647" t="s">
        <v>567</v>
      </c>
    </row>
    <row r="133" spans="2:3" ht="15" x14ac:dyDescent="0.2">
      <c r="C133" s="647" t="s">
        <v>568</v>
      </c>
    </row>
    <row r="134" spans="2:3" ht="15" x14ac:dyDescent="0.2">
      <c r="C134" s="647" t="s">
        <v>569</v>
      </c>
    </row>
    <row r="135" spans="2:3" ht="15" x14ac:dyDescent="0.2">
      <c r="C135" s="647" t="s">
        <v>570</v>
      </c>
    </row>
    <row r="136" spans="2:3" ht="15" x14ac:dyDescent="0.2">
      <c r="C136" s="647" t="s">
        <v>1953</v>
      </c>
    </row>
    <row r="138" spans="2:3" ht="15" x14ac:dyDescent="0.2">
      <c r="C138" s="647" t="s">
        <v>572</v>
      </c>
    </row>
    <row r="139" spans="2:3" ht="15" x14ac:dyDescent="0.2">
      <c r="C139" s="647" t="s">
        <v>573</v>
      </c>
    </row>
    <row r="141" spans="2:3" ht="15" x14ac:dyDescent="0.2">
      <c r="C141" s="647" t="s">
        <v>574</v>
      </c>
    </row>
    <row r="142" spans="2:3" ht="15" x14ac:dyDescent="0.2">
      <c r="B142" s="650"/>
      <c r="C142" s="647" t="str">
        <f>_xlfn.CONCAT("vcm1=model['",$A$16,"']")</f>
        <v>vcm1=model['P7000048060']</v>
      </c>
    </row>
    <row r="144" spans="2:3" ht="15" x14ac:dyDescent="0.2">
      <c r="C144" s="647" t="s">
        <v>575</v>
      </c>
    </row>
    <row r="145" spans="2:3" ht="15" x14ac:dyDescent="0.2">
      <c r="B145" s="650"/>
      <c r="C145" s="647" t="str">
        <f>_xlfn.CONCAT("line1=model['",$A$14,"']")</f>
        <v>line1=model['Line']</v>
      </c>
    </row>
    <row r="146" spans="2:3" ht="15" x14ac:dyDescent="0.2">
      <c r="B146" s="650"/>
      <c r="C146" s="647" t="str">
        <f>_xlfn.CONCAT("att_lines=list(['",$A$15,"'])")</f>
        <v>att_lines=list(['Stiffener1'])</v>
      </c>
    </row>
    <row r="148" spans="2:3" ht="15" x14ac:dyDescent="0.2">
      <c r="C148" s="647" t="s">
        <v>1954</v>
      </c>
    </row>
    <row r="149" spans="2:3" ht="15" x14ac:dyDescent="0.2">
      <c r="C149" s="647" t="s">
        <v>1955</v>
      </c>
    </row>
    <row r="151" spans="2:3" ht="15" x14ac:dyDescent="0.2">
      <c r="C151" s="647" t="s">
        <v>607</v>
      </c>
    </row>
    <row r="152" spans="2:3" ht="15" x14ac:dyDescent="0.2">
      <c r="C152" s="647" t="s">
        <v>608</v>
      </c>
    </row>
    <row r="154" spans="2:3" ht="15" x14ac:dyDescent="0.2">
      <c r="C154" s="647" t="s">
        <v>609</v>
      </c>
    </row>
    <row r="155" spans="2:3" ht="15" x14ac:dyDescent="0.2">
      <c r="C155" s="647" t="s">
        <v>610</v>
      </c>
    </row>
    <row r="156" spans="2:3" ht="15" x14ac:dyDescent="0.2">
      <c r="C156" s="647" t="s">
        <v>611</v>
      </c>
    </row>
    <row r="157" spans="2:3" ht="15" x14ac:dyDescent="0.2">
      <c r="C157" s="647" t="s">
        <v>612</v>
      </c>
    </row>
    <row r="158" spans="2:3" ht="15" x14ac:dyDescent="0.2">
      <c r="C158" s="647" t="s">
        <v>613</v>
      </c>
    </row>
    <row r="159" spans="2:3" ht="15" x14ac:dyDescent="0.2">
      <c r="C159" s="647" t="s">
        <v>614</v>
      </c>
    </row>
    <row r="160" spans="2:3" ht="15" x14ac:dyDescent="0.2">
      <c r="C160" s="647" t="s">
        <v>615</v>
      </c>
    </row>
    <row r="161" spans="3:3" ht="15" x14ac:dyDescent="0.2">
      <c r="C161" s="647" t="s">
        <v>616</v>
      </c>
    </row>
    <row r="162" spans="3:3" ht="15" x14ac:dyDescent="0.2">
      <c r="C162" s="647" t="s">
        <v>617</v>
      </c>
    </row>
    <row r="163" spans="3:3" ht="15" x14ac:dyDescent="0.2">
      <c r="C163" s="647" t="s">
        <v>618</v>
      </c>
    </row>
    <row r="164" spans="3:3" ht="15" x14ac:dyDescent="0.2">
      <c r="C164" s="647" t="s">
        <v>619</v>
      </c>
    </row>
    <row r="165" spans="3:3" ht="15" x14ac:dyDescent="0.2">
      <c r="C165" s="647" t="s">
        <v>620</v>
      </c>
    </row>
    <row r="167" spans="3:3" ht="15" x14ac:dyDescent="0.2">
      <c r="C167" s="647" t="s">
        <v>621</v>
      </c>
    </row>
    <row r="168" spans="3:3" ht="15" x14ac:dyDescent="0.2">
      <c r="C168" s="647" t="s">
        <v>622</v>
      </c>
    </row>
    <row r="169" spans="3:3" ht="15" x14ac:dyDescent="0.2">
      <c r="C169" s="647" t="s">
        <v>623</v>
      </c>
    </row>
    <row r="170" spans="3:3" ht="15" x14ac:dyDescent="0.2">
      <c r="C170" s="647" t="s">
        <v>624</v>
      </c>
    </row>
    <row r="171" spans="3:3" ht="15" x14ac:dyDescent="0.2">
      <c r="C171" s="647" t="s">
        <v>625</v>
      </c>
    </row>
    <row r="172" spans="3:3" ht="15" x14ac:dyDescent="0.2">
      <c r="C172" s="647" t="s">
        <v>626</v>
      </c>
    </row>
    <row r="173" spans="3:3" ht="15" x14ac:dyDescent="0.2">
      <c r="C173" s="647" t="s">
        <v>627</v>
      </c>
    </row>
    <row r="174" spans="3:3" ht="15" x14ac:dyDescent="0.2">
      <c r="C174" s="647" t="s">
        <v>619</v>
      </c>
    </row>
    <row r="175" spans="3:3" ht="15" x14ac:dyDescent="0.2">
      <c r="C175" s="647" t="s">
        <v>628</v>
      </c>
    </row>
    <row r="177" spans="3:3" ht="15" x14ac:dyDescent="0.2">
      <c r="C177" s="647" t="s">
        <v>629</v>
      </c>
    </row>
    <row r="178" spans="3:3" ht="15" x14ac:dyDescent="0.2">
      <c r="C178" s="647" t="s">
        <v>630</v>
      </c>
    </row>
    <row r="179" spans="3:3" ht="15" x14ac:dyDescent="0.2">
      <c r="C179" s="647" t="s">
        <v>631</v>
      </c>
    </row>
    <row r="181" spans="3:3" ht="15" x14ac:dyDescent="0.2">
      <c r="C181" s="647" t="s">
        <v>632</v>
      </c>
    </row>
    <row r="182" spans="3:3" ht="15" x14ac:dyDescent="0.2">
      <c r="C182" s="647" t="s">
        <v>633</v>
      </c>
    </row>
    <row r="183" spans="3:3" ht="15" x14ac:dyDescent="0.2">
      <c r="C183" s="647" t="s">
        <v>634</v>
      </c>
    </row>
    <row r="184" spans="3:3" ht="15" x14ac:dyDescent="0.2">
      <c r="C184" s="647" t="s">
        <v>635</v>
      </c>
    </row>
    <row r="185" spans="3:3" ht="15" x14ac:dyDescent="0.2">
      <c r="C185" s="647" t="s">
        <v>636</v>
      </c>
    </row>
    <row r="186" spans="3:3" ht="15" x14ac:dyDescent="0.2">
      <c r="C186" s="647" t="s">
        <v>637</v>
      </c>
    </row>
    <row r="187" spans="3:3" ht="15" x14ac:dyDescent="0.2">
      <c r="C187" s="647" t="s">
        <v>638</v>
      </c>
    </row>
    <row r="189" spans="3:3" ht="15" x14ac:dyDescent="0.2">
      <c r="C189" s="647" t="s">
        <v>639</v>
      </c>
    </row>
    <row r="190" spans="3:3" ht="15" x14ac:dyDescent="0.2">
      <c r="C190" s="647" t="s">
        <v>640</v>
      </c>
    </row>
    <row r="191" spans="3:3" ht="15" x14ac:dyDescent="0.2">
      <c r="C191" s="647" t="s">
        <v>641</v>
      </c>
    </row>
    <row r="193" spans="3:3" ht="15" x14ac:dyDescent="0.2">
      <c r="C193" s="647" t="s">
        <v>642</v>
      </c>
    </row>
    <row r="194" spans="3:3" ht="15" x14ac:dyDescent="0.2">
      <c r="C194" s="647" t="s">
        <v>643</v>
      </c>
    </row>
    <row r="195" spans="3:3" ht="15" x14ac:dyDescent="0.2">
      <c r="C195" s="647" t="s">
        <v>644</v>
      </c>
    </row>
    <row r="196" spans="3:3" ht="15" x14ac:dyDescent="0.2">
      <c r="C196" s="647" t="s">
        <v>645</v>
      </c>
    </row>
    <row r="197" spans="3:3" ht="15" x14ac:dyDescent="0.2">
      <c r="C197" s="647" t="s">
        <v>646</v>
      </c>
    </row>
    <row r="198" spans="3:3" ht="15" x14ac:dyDescent="0.2">
      <c r="C198" s="647" t="s">
        <v>647</v>
      </c>
    </row>
    <row r="199" spans="3:3" ht="15" x14ac:dyDescent="0.2">
      <c r="C199" s="647" t="s">
        <v>648</v>
      </c>
    </row>
    <row r="200" spans="3:3" ht="15" x14ac:dyDescent="0.2">
      <c r="C200" s="647" t="s">
        <v>649</v>
      </c>
    </row>
    <row r="201" spans="3:3" ht="15" x14ac:dyDescent="0.2">
      <c r="C201" s="647" t="s">
        <v>650</v>
      </c>
    </row>
    <row r="202" spans="3:3" ht="15" x14ac:dyDescent="0.2">
      <c r="C202" s="647" t="s">
        <v>651</v>
      </c>
    </row>
    <row r="204" spans="3:3" ht="15" x14ac:dyDescent="0.2">
      <c r="C204" s="647" t="s">
        <v>652</v>
      </c>
    </row>
    <row r="205" spans="3:3" ht="15" x14ac:dyDescent="0.2">
      <c r="C205" s="647" t="s">
        <v>653</v>
      </c>
    </row>
    <row r="207" spans="3:3" ht="15" x14ac:dyDescent="0.2">
      <c r="C207" s="647" t="s">
        <v>654</v>
      </c>
    </row>
    <row r="208" spans="3:3" ht="15" x14ac:dyDescent="0.2">
      <c r="C208" s="647" t="s">
        <v>655</v>
      </c>
    </row>
    <row r="209" spans="3:3" ht="15" x14ac:dyDescent="0.2">
      <c r="C209" s="647" t="s">
        <v>656</v>
      </c>
    </row>
    <row r="211" spans="3:3" ht="15" x14ac:dyDescent="0.2">
      <c r="C211" s="647" t="s">
        <v>657</v>
      </c>
    </row>
    <row r="212" spans="3:3" ht="15" x14ac:dyDescent="0.2">
      <c r="C212" s="647" t="s">
        <v>658</v>
      </c>
    </row>
    <row r="213" spans="3:3" ht="15" x14ac:dyDescent="0.2">
      <c r="C213" s="647" t="s">
        <v>659</v>
      </c>
    </row>
    <row r="214" spans="3:3" ht="15" x14ac:dyDescent="0.2">
      <c r="C214" s="647" t="s">
        <v>660</v>
      </c>
    </row>
    <row r="216" spans="3:3" ht="15" x14ac:dyDescent="0.2">
      <c r="C216" s="647" t="s">
        <v>661</v>
      </c>
    </row>
    <row r="217" spans="3:3" ht="15" x14ac:dyDescent="0.2">
      <c r="C217" s="647" t="s">
        <v>662</v>
      </c>
    </row>
    <row r="218" spans="3:3" ht="15" x14ac:dyDescent="0.2">
      <c r="C218" s="647" t="s">
        <v>663</v>
      </c>
    </row>
    <row r="219" spans="3:3" ht="15" x14ac:dyDescent="0.2">
      <c r="C219" s="647" t="s">
        <v>664</v>
      </c>
    </row>
    <row r="220" spans="3:3" ht="15" x14ac:dyDescent="0.2">
      <c r="C220" s="647" t="s">
        <v>623</v>
      </c>
    </row>
    <row r="221" spans="3:3" ht="15" x14ac:dyDescent="0.2">
      <c r="C221" s="647" t="s">
        <v>624</v>
      </c>
    </row>
    <row r="222" spans="3:3" ht="15" x14ac:dyDescent="0.2">
      <c r="C222" s="647" t="s">
        <v>665</v>
      </c>
    </row>
    <row r="223" spans="3:3" ht="15" x14ac:dyDescent="0.2">
      <c r="C223" s="647" t="s">
        <v>666</v>
      </c>
    </row>
    <row r="224" spans="3:3" ht="15" x14ac:dyDescent="0.2">
      <c r="C224" s="647" t="s">
        <v>667</v>
      </c>
    </row>
    <row r="226" spans="3:3" ht="15" x14ac:dyDescent="0.2">
      <c r="C226" s="647" t="s">
        <v>668</v>
      </c>
    </row>
    <row r="227" spans="3:3" ht="15" x14ac:dyDescent="0.2">
      <c r="C227" s="647" t="s">
        <v>669</v>
      </c>
    </row>
    <row r="228" spans="3:3" ht="15" x14ac:dyDescent="0.2">
      <c r="C228" s="647" t="s">
        <v>670</v>
      </c>
    </row>
    <row r="229" spans="3:3" ht="15" x14ac:dyDescent="0.2">
      <c r="C229" s="647" t="s">
        <v>671</v>
      </c>
    </row>
    <row r="230" spans="3:3" ht="15" x14ac:dyDescent="0.2">
      <c r="C230" s="647" t="s">
        <v>672</v>
      </c>
    </row>
    <row r="231" spans="3:3" ht="15" x14ac:dyDescent="0.2">
      <c r="C231" s="647" t="s">
        <v>1956</v>
      </c>
    </row>
    <row r="232" spans="3:3" ht="15" x14ac:dyDescent="0.2">
      <c r="C232" s="647" t="s">
        <v>1957</v>
      </c>
    </row>
    <row r="233" spans="3:3" ht="15" x14ac:dyDescent="0.2">
      <c r="C233" s="647" t="s">
        <v>1958</v>
      </c>
    </row>
    <row r="234" spans="3:3" ht="15" x14ac:dyDescent="0.2">
      <c r="C234" s="647" t="s">
        <v>1959</v>
      </c>
    </row>
    <row r="235" spans="3:3" ht="15" x14ac:dyDescent="0.2">
      <c r="C235" s="647" t="s">
        <v>1960</v>
      </c>
    </row>
    <row r="236" spans="3:3" ht="15" x14ac:dyDescent="0.2">
      <c r="C236" s="647" t="s">
        <v>1961</v>
      </c>
    </row>
    <row r="237" spans="3:3" ht="15" x14ac:dyDescent="0.2">
      <c r="C237" s="647" t="s">
        <v>1962</v>
      </c>
    </row>
    <row r="238" spans="3:3" ht="15" x14ac:dyDescent="0.2">
      <c r="C238" s="647" t="s">
        <v>673</v>
      </c>
    </row>
    <row r="239" spans="3:3" ht="15" x14ac:dyDescent="0.2">
      <c r="C239" s="647" t="s">
        <v>674</v>
      </c>
    </row>
    <row r="240" spans="3:3" ht="15" x14ac:dyDescent="0.2">
      <c r="C240" s="647" t="s">
        <v>675</v>
      </c>
    </row>
    <row r="241" spans="3:3" ht="15" x14ac:dyDescent="0.2">
      <c r="C241" s="647" t="s">
        <v>676</v>
      </c>
    </row>
    <row r="242" spans="3:3" ht="15" x14ac:dyDescent="0.2">
      <c r="C242" s="647" t="s">
        <v>677</v>
      </c>
    </row>
    <row r="243" spans="3:3" ht="15" x14ac:dyDescent="0.2">
      <c r="C243" s="647" t="s">
        <v>678</v>
      </c>
    </row>
    <row r="244" spans="3:3" ht="15" x14ac:dyDescent="0.2">
      <c r="C244" s="647" t="s">
        <v>679</v>
      </c>
    </row>
    <row r="245" spans="3:3" ht="15" x14ac:dyDescent="0.2">
      <c r="C245" s="647" t="s">
        <v>680</v>
      </c>
    </row>
    <row r="246" spans="3:3" ht="15" x14ac:dyDescent="0.2">
      <c r="C246" s="647" t="s">
        <v>681</v>
      </c>
    </row>
    <row r="247" spans="3:3" ht="15" x14ac:dyDescent="0.2">
      <c r="C247" s="647" t="s">
        <v>682</v>
      </c>
    </row>
    <row r="248" spans="3:3" ht="15" x14ac:dyDescent="0.2">
      <c r="C248" s="647" t="s">
        <v>683</v>
      </c>
    </row>
    <row r="249" spans="3:3" ht="15" x14ac:dyDescent="0.2">
      <c r="C249" s="647" t="s">
        <v>684</v>
      </c>
    </row>
    <row r="250" spans="3:3" ht="15" x14ac:dyDescent="0.2">
      <c r="C250" s="647" t="s">
        <v>685</v>
      </c>
    </row>
    <row r="251" spans="3:3" ht="15" x14ac:dyDescent="0.2">
      <c r="C251" s="647" t="s">
        <v>686</v>
      </c>
    </row>
    <row r="252" spans="3:3" ht="15" x14ac:dyDescent="0.2">
      <c r="C252" s="647" t="s">
        <v>687</v>
      </c>
    </row>
    <row r="253" spans="3:3" ht="15" x14ac:dyDescent="0.2">
      <c r="C253" s="647" t="s">
        <v>688</v>
      </c>
    </row>
    <row r="254" spans="3:3" ht="15" x14ac:dyDescent="0.2">
      <c r="C254" s="647" t="s">
        <v>689</v>
      </c>
    </row>
    <row r="255" spans="3:3" ht="15" x14ac:dyDescent="0.2">
      <c r="C255" s="647" t="s">
        <v>690</v>
      </c>
    </row>
    <row r="256" spans="3:3" ht="15" x14ac:dyDescent="0.2">
      <c r="C256" s="647" t="s">
        <v>691</v>
      </c>
    </row>
    <row r="257" spans="3:3" ht="15" x14ac:dyDescent="0.2">
      <c r="C257" s="647" t="s">
        <v>692</v>
      </c>
    </row>
    <row r="258" spans="3:3" ht="15" x14ac:dyDescent="0.2">
      <c r="C258" s="647" t="s">
        <v>693</v>
      </c>
    </row>
    <row r="259" spans="3:3" ht="15" x14ac:dyDescent="0.2">
      <c r="C259" s="647" t="s">
        <v>694</v>
      </c>
    </row>
    <row r="260" spans="3:3" ht="15" x14ac:dyDescent="0.2">
      <c r="C260" s="647" t="s">
        <v>695</v>
      </c>
    </row>
    <row r="261" spans="3:3" ht="15" x14ac:dyDescent="0.2">
      <c r="C261" s="647" t="s">
        <v>568</v>
      </c>
    </row>
    <row r="262" spans="3:3" ht="15" x14ac:dyDescent="0.2">
      <c r="C262" s="647" t="s">
        <v>696</v>
      </c>
    </row>
    <row r="263" spans="3:3" ht="15" x14ac:dyDescent="0.2">
      <c r="C263" s="647" t="s">
        <v>697</v>
      </c>
    </row>
    <row r="264" spans="3:3" ht="15" x14ac:dyDescent="0.2">
      <c r="C264" s="647" t="s">
        <v>698</v>
      </c>
    </row>
    <row r="265" spans="3:3" ht="15" x14ac:dyDescent="0.2">
      <c r="C265" s="647" t="s">
        <v>699</v>
      </c>
    </row>
    <row r="266" spans="3:3" ht="15" x14ac:dyDescent="0.2">
      <c r="C266" s="647" t="s">
        <v>685</v>
      </c>
    </row>
    <row r="267" spans="3:3" ht="15" x14ac:dyDescent="0.2">
      <c r="C267" s="647" t="s">
        <v>686</v>
      </c>
    </row>
    <row r="268" spans="3:3" ht="15" x14ac:dyDescent="0.2">
      <c r="C268" s="647" t="s">
        <v>687</v>
      </c>
    </row>
    <row r="269" spans="3:3" ht="15" x14ac:dyDescent="0.2">
      <c r="C269" s="647" t="s">
        <v>700</v>
      </c>
    </row>
    <row r="270" spans="3:3" ht="15" x14ac:dyDescent="0.2">
      <c r="C270" s="647" t="s">
        <v>701</v>
      </c>
    </row>
    <row r="271" spans="3:3" ht="15" x14ac:dyDescent="0.2">
      <c r="C271" s="647" t="s">
        <v>702</v>
      </c>
    </row>
    <row r="272" spans="3:3" ht="15" x14ac:dyDescent="0.2">
      <c r="C272" s="647" t="s">
        <v>703</v>
      </c>
    </row>
    <row r="273" spans="3:3" ht="15" x14ac:dyDescent="0.2">
      <c r="C273" s="647" t="s">
        <v>704</v>
      </c>
    </row>
    <row r="274" spans="3:3" ht="15" x14ac:dyDescent="0.2">
      <c r="C274" s="647" t="s">
        <v>705</v>
      </c>
    </row>
    <row r="275" spans="3:3" ht="15" x14ac:dyDescent="0.2">
      <c r="C275" s="647" t="s">
        <v>706</v>
      </c>
    </row>
    <row r="276" spans="3:3" ht="15" x14ac:dyDescent="0.2">
      <c r="C276" s="647" t="s">
        <v>568</v>
      </c>
    </row>
    <row r="277" spans="3:3" ht="15" x14ac:dyDescent="0.2">
      <c r="C277" s="647" t="s">
        <v>707</v>
      </c>
    </row>
    <row r="278" spans="3:3" ht="15" x14ac:dyDescent="0.2">
      <c r="C278" s="647" t="s">
        <v>708</v>
      </c>
    </row>
    <row r="279" spans="3:3" ht="15" x14ac:dyDescent="0.2">
      <c r="C279" s="647" t="s">
        <v>709</v>
      </c>
    </row>
    <row r="280" spans="3:3" ht="15" x14ac:dyDescent="0.2">
      <c r="C280" s="647" t="s">
        <v>685</v>
      </c>
    </row>
    <row r="281" spans="3:3" ht="15" x14ac:dyDescent="0.2">
      <c r="C281" s="647" t="s">
        <v>686</v>
      </c>
    </row>
    <row r="282" spans="3:3" ht="15" x14ac:dyDescent="0.2">
      <c r="C282" s="647" t="s">
        <v>687</v>
      </c>
    </row>
    <row r="283" spans="3:3" ht="15" x14ac:dyDescent="0.2">
      <c r="C283" s="647" t="s">
        <v>710</v>
      </c>
    </row>
    <row r="284" spans="3:3" ht="15" x14ac:dyDescent="0.2">
      <c r="C284" s="647" t="s">
        <v>711</v>
      </c>
    </row>
    <row r="285" spans="3:3" ht="15" x14ac:dyDescent="0.2">
      <c r="C285" s="647" t="s">
        <v>568</v>
      </c>
    </row>
    <row r="286" spans="3:3" ht="15" x14ac:dyDescent="0.2">
      <c r="C286" s="647" t="s">
        <v>712</v>
      </c>
    </row>
    <row r="287" spans="3:3" ht="15" x14ac:dyDescent="0.2">
      <c r="C287" s="647" t="s">
        <v>713</v>
      </c>
    </row>
    <row r="288" spans="3:3" ht="15" x14ac:dyDescent="0.2">
      <c r="C288" s="647" t="s">
        <v>685</v>
      </c>
    </row>
    <row r="289" spans="3:3" ht="15" x14ac:dyDescent="0.2">
      <c r="C289" s="647" t="s">
        <v>686</v>
      </c>
    </row>
    <row r="290" spans="3:3" ht="15" x14ac:dyDescent="0.2">
      <c r="C290" s="647" t="s">
        <v>687</v>
      </c>
    </row>
    <row r="291" spans="3:3" ht="15" x14ac:dyDescent="0.2">
      <c r="C291" s="647" t="s">
        <v>701</v>
      </c>
    </row>
    <row r="292" spans="3:3" ht="15" x14ac:dyDescent="0.2">
      <c r="C292" s="647" t="s">
        <v>702</v>
      </c>
    </row>
    <row r="293" spans="3:3" ht="15" x14ac:dyDescent="0.2">
      <c r="C293" s="647" t="s">
        <v>703</v>
      </c>
    </row>
    <row r="294" spans="3:3" ht="15" x14ac:dyDescent="0.2">
      <c r="C294" s="647" t="s">
        <v>704</v>
      </c>
    </row>
    <row r="295" spans="3:3" ht="15" x14ac:dyDescent="0.2">
      <c r="C295" s="647" t="s">
        <v>705</v>
      </c>
    </row>
    <row r="296" spans="3:3" ht="15" x14ac:dyDescent="0.2">
      <c r="C296" s="647" t="s">
        <v>714</v>
      </c>
    </row>
    <row r="297" spans="3:3" ht="15" x14ac:dyDescent="0.2">
      <c r="C297" s="647" t="s">
        <v>715</v>
      </c>
    </row>
    <row r="298" spans="3:3" ht="15" x14ac:dyDescent="0.2">
      <c r="C298" s="647" t="s">
        <v>716</v>
      </c>
    </row>
    <row r="299" spans="3:3" ht="15" x14ac:dyDescent="0.2">
      <c r="C299" s="647" t="s">
        <v>717</v>
      </c>
    </row>
    <row r="300" spans="3:3" ht="15" x14ac:dyDescent="0.2">
      <c r="C300" s="647" t="s">
        <v>1036</v>
      </c>
    </row>
    <row r="301" spans="3:3" ht="15" x14ac:dyDescent="0.2">
      <c r="C301" s="647" t="s">
        <v>719</v>
      </c>
    </row>
    <row r="302" spans="3:3" ht="15" x14ac:dyDescent="0.2">
      <c r="C302" s="647" t="s">
        <v>720</v>
      </c>
    </row>
    <row r="303" spans="3:3" ht="15" x14ac:dyDescent="0.2">
      <c r="C303" s="647" t="s">
        <v>721</v>
      </c>
    </row>
    <row r="304" spans="3:3" ht="15" x14ac:dyDescent="0.2">
      <c r="C304" s="647" t="s">
        <v>722</v>
      </c>
    </row>
    <row r="305" spans="3:3" ht="15" x14ac:dyDescent="0.2">
      <c r="C305" s="647" t="s">
        <v>723</v>
      </c>
    </row>
    <row r="306" spans="3:3" ht="15" x14ac:dyDescent="0.2">
      <c r="C306" s="647" t="s">
        <v>724</v>
      </c>
    </row>
    <row r="307" spans="3:3" ht="15" x14ac:dyDescent="0.2">
      <c r="C307" s="647" t="s">
        <v>725</v>
      </c>
    </row>
    <row r="308" spans="3:3" ht="15" x14ac:dyDescent="0.2">
      <c r="C308" s="647" t="s">
        <v>726</v>
      </c>
    </row>
    <row r="309" spans="3:3" ht="15" x14ac:dyDescent="0.2">
      <c r="C309" s="647" t="s">
        <v>727</v>
      </c>
    </row>
    <row r="310" spans="3:3" ht="15" x14ac:dyDescent="0.2">
      <c r="C310" s="647" t="s">
        <v>728</v>
      </c>
    </row>
    <row r="311" spans="3:3" ht="15" x14ac:dyDescent="0.2">
      <c r="C311" s="647" t="s">
        <v>729</v>
      </c>
    </row>
    <row r="312" spans="3:3" ht="15" x14ac:dyDescent="0.2">
      <c r="C312" s="647" t="s">
        <v>730</v>
      </c>
    </row>
    <row r="313" spans="3:3" ht="15" x14ac:dyDescent="0.2">
      <c r="C313" s="647" t="s">
        <v>731</v>
      </c>
    </row>
    <row r="314" spans="3:3" ht="15" x14ac:dyDescent="0.2">
      <c r="C314" s="647" t="s">
        <v>723</v>
      </c>
    </row>
    <row r="315" spans="3:3" ht="15" x14ac:dyDescent="0.2">
      <c r="C315" s="647" t="s">
        <v>732</v>
      </c>
    </row>
    <row r="316" spans="3:3" ht="15" x14ac:dyDescent="0.2">
      <c r="C316" s="647" t="s">
        <v>733</v>
      </c>
    </row>
    <row r="317" spans="3:3" ht="15" x14ac:dyDescent="0.2">
      <c r="C317" s="647" t="s">
        <v>734</v>
      </c>
    </row>
    <row r="318" spans="3:3" ht="15" x14ac:dyDescent="0.2">
      <c r="C318" s="647" t="s">
        <v>735</v>
      </c>
    </row>
    <row r="319" spans="3:3" ht="15" x14ac:dyDescent="0.2">
      <c r="C319" s="647" t="s">
        <v>568</v>
      </c>
    </row>
    <row r="320" spans="3:3" ht="15" x14ac:dyDescent="0.2">
      <c r="C320" s="647" t="s">
        <v>736</v>
      </c>
    </row>
    <row r="321" spans="3:3" ht="15" x14ac:dyDescent="0.2">
      <c r="C321" s="647" t="s">
        <v>737</v>
      </c>
    </row>
    <row r="322" spans="3:3" ht="15" x14ac:dyDescent="0.2">
      <c r="C322" s="647" t="s">
        <v>738</v>
      </c>
    </row>
    <row r="323" spans="3:3" ht="15" x14ac:dyDescent="0.2">
      <c r="C323" s="647" t="s">
        <v>723</v>
      </c>
    </row>
    <row r="324" spans="3:3" ht="15" x14ac:dyDescent="0.2">
      <c r="C324" s="647" t="s">
        <v>739</v>
      </c>
    </row>
    <row r="325" spans="3:3" ht="15" x14ac:dyDescent="0.2">
      <c r="C325" s="647" t="s">
        <v>740</v>
      </c>
    </row>
    <row r="326" spans="3:3" ht="15" x14ac:dyDescent="0.2">
      <c r="C326" s="647" t="s">
        <v>741</v>
      </c>
    </row>
    <row r="327" spans="3:3" ht="15" x14ac:dyDescent="0.2">
      <c r="C327" s="647" t="s">
        <v>742</v>
      </c>
    </row>
    <row r="328" spans="3:3" ht="15" x14ac:dyDescent="0.2">
      <c r="C328" s="647" t="s">
        <v>743</v>
      </c>
    </row>
    <row r="329" spans="3:3" ht="15" x14ac:dyDescent="0.2">
      <c r="C329" s="647" t="s">
        <v>744</v>
      </c>
    </row>
    <row r="330" spans="3:3" ht="15" x14ac:dyDescent="0.2">
      <c r="C330" s="647" t="s">
        <v>745</v>
      </c>
    </row>
    <row r="331" spans="3:3" ht="15" x14ac:dyDescent="0.2">
      <c r="C331" s="647" t="s">
        <v>1963</v>
      </c>
    </row>
    <row r="332" spans="3:3" ht="15" x14ac:dyDescent="0.2">
      <c r="C332" s="647" t="s">
        <v>1964</v>
      </c>
    </row>
    <row r="334" spans="3:3" ht="15" x14ac:dyDescent="0.2">
      <c r="C334" s="647" t="s">
        <v>1965</v>
      </c>
    </row>
    <row r="335" spans="3:3" ht="15" x14ac:dyDescent="0.2">
      <c r="C335" s="647" t="s">
        <v>1966</v>
      </c>
    </row>
    <row r="336" spans="3:3" ht="15" x14ac:dyDescent="0.2">
      <c r="C336" s="647" t="s">
        <v>1967</v>
      </c>
    </row>
    <row r="338" spans="3:3" ht="15" x14ac:dyDescent="0.2">
      <c r="C338" s="647" t="s">
        <v>623</v>
      </c>
    </row>
    <row r="339" spans="3:3" ht="15" x14ac:dyDescent="0.2">
      <c r="C339" s="647" t="s">
        <v>1968</v>
      </c>
    </row>
    <row r="340" spans="3:3" ht="15" x14ac:dyDescent="0.2">
      <c r="C340" s="647" t="s">
        <v>1969</v>
      </c>
    </row>
    <row r="341" spans="3:3" ht="15" x14ac:dyDescent="0.2">
      <c r="C341" s="647" t="s">
        <v>1970</v>
      </c>
    </row>
    <row r="342" spans="3:3" ht="15" x14ac:dyDescent="0.2">
      <c r="C342" s="647" t="s">
        <v>1971</v>
      </c>
    </row>
    <row r="343" spans="3:3" ht="15" x14ac:dyDescent="0.2">
      <c r="C343" s="647" t="s">
        <v>1972</v>
      </c>
    </row>
    <row r="344" spans="3:3" ht="15" x14ac:dyDescent="0.2">
      <c r="C344" s="647" t="s">
        <v>1973</v>
      </c>
    </row>
    <row r="345" spans="3:3" ht="15" x14ac:dyDescent="0.2">
      <c r="C345" s="647" t="s">
        <v>1974</v>
      </c>
    </row>
    <row r="346" spans="3:3" ht="15" x14ac:dyDescent="0.2">
      <c r="C346" s="647" t="s">
        <v>1975</v>
      </c>
    </row>
    <row r="347" spans="3:3" ht="15" x14ac:dyDescent="0.2">
      <c r="C347" s="647" t="s">
        <v>1976</v>
      </c>
    </row>
    <row r="349" spans="3:3" ht="15" x14ac:dyDescent="0.2">
      <c r="C349" s="647" t="s">
        <v>613</v>
      </c>
    </row>
    <row r="350" spans="3:3" ht="15" x14ac:dyDescent="0.2">
      <c r="C350" s="647" t="s">
        <v>812</v>
      </c>
    </row>
    <row r="351" spans="3:3" ht="15" x14ac:dyDescent="0.2">
      <c r="C351" s="647" t="s">
        <v>1977</v>
      </c>
    </row>
    <row r="352" spans="3:3" ht="15" x14ac:dyDescent="0.2">
      <c r="C352" s="647" t="s">
        <v>815</v>
      </c>
    </row>
    <row r="353" spans="3:3" ht="15" x14ac:dyDescent="0.2">
      <c r="C353" s="647" t="s">
        <v>816</v>
      </c>
    </row>
    <row r="354" spans="3:3" ht="15" x14ac:dyDescent="0.2">
      <c r="C354" s="647" t="s">
        <v>1978</v>
      </c>
    </row>
    <row r="355" spans="3:3" ht="15" x14ac:dyDescent="0.2">
      <c r="C355" s="647" t="s">
        <v>1979</v>
      </c>
    </row>
    <row r="356" spans="3:3" ht="15" x14ac:dyDescent="0.2">
      <c r="C356" s="647" t="s">
        <v>818</v>
      </c>
    </row>
    <row r="357" spans="3:3" ht="15" x14ac:dyDescent="0.2">
      <c r="C357" s="647" t="s">
        <v>1980</v>
      </c>
    </row>
    <row r="358" spans="3:3" ht="15" x14ac:dyDescent="0.2">
      <c r="C358" s="647" t="s">
        <v>1981</v>
      </c>
    </row>
    <row r="359" spans="3:3" ht="15" x14ac:dyDescent="0.2">
      <c r="C359" s="647" t="s">
        <v>820</v>
      </c>
    </row>
    <row r="360" spans="3:3" ht="15" x14ac:dyDescent="0.2">
      <c r="C360" s="647" t="s">
        <v>1982</v>
      </c>
    </row>
    <row r="361" spans="3:3" ht="15" x14ac:dyDescent="0.2">
      <c r="C361" s="647" t="s">
        <v>815</v>
      </c>
    </row>
    <row r="362" spans="3:3" ht="15" x14ac:dyDescent="0.2">
      <c r="C362" s="647" t="s">
        <v>816</v>
      </c>
    </row>
    <row r="363" spans="3:3" ht="15" x14ac:dyDescent="0.2">
      <c r="C363" s="647" t="s">
        <v>1978</v>
      </c>
    </row>
    <row r="364" spans="3:3" ht="15" x14ac:dyDescent="0.2">
      <c r="C364" s="647" t="s">
        <v>1979</v>
      </c>
    </row>
    <row r="365" spans="3:3" ht="15" x14ac:dyDescent="0.2">
      <c r="C365" s="647" t="s">
        <v>818</v>
      </c>
    </row>
    <row r="366" spans="3:3" ht="15" x14ac:dyDescent="0.2">
      <c r="C366" s="647" t="s">
        <v>1980</v>
      </c>
    </row>
    <row r="367" spans="3:3" ht="15" x14ac:dyDescent="0.2">
      <c r="C367" s="647" t="s">
        <v>1981</v>
      </c>
    </row>
    <row r="369" spans="3:3" ht="15" x14ac:dyDescent="0.2">
      <c r="C369" s="647" t="s">
        <v>1983</v>
      </c>
    </row>
    <row r="370" spans="3:3" ht="15" x14ac:dyDescent="0.2">
      <c r="C370" s="647" t="s">
        <v>1984</v>
      </c>
    </row>
    <row r="372" spans="3:3" ht="15" x14ac:dyDescent="0.2">
      <c r="C372" s="647" t="s">
        <v>1985</v>
      </c>
    </row>
    <row r="374" spans="3:3" ht="15" x14ac:dyDescent="0.2">
      <c r="C374" s="647" t="s">
        <v>1986</v>
      </c>
    </row>
    <row r="375" spans="3:3" ht="15" x14ac:dyDescent="0.2">
      <c r="C375" s="647" t="s">
        <v>1987</v>
      </c>
    </row>
    <row r="376" spans="3:3" ht="15" x14ac:dyDescent="0.2">
      <c r="C376" s="647" t="s">
        <v>1988</v>
      </c>
    </row>
    <row r="377" spans="3:3" ht="15" x14ac:dyDescent="0.2">
      <c r="C377" s="647" t="s">
        <v>1989</v>
      </c>
    </row>
    <row r="379" spans="3:3" ht="15" x14ac:dyDescent="0.2">
      <c r="C379" s="647" t="s">
        <v>1990</v>
      </c>
    </row>
    <row r="380" spans="3:3" ht="15" x14ac:dyDescent="0.2">
      <c r="C380" s="647" t="s">
        <v>1991</v>
      </c>
    </row>
    <row r="381" spans="3:3" ht="15" x14ac:dyDescent="0.2">
      <c r="C381" s="647" t="s">
        <v>1992</v>
      </c>
    </row>
    <row r="382" spans="3:3" ht="15" x14ac:dyDescent="0.2">
      <c r="C382" s="647" t="s">
        <v>1993</v>
      </c>
    </row>
    <row r="383" spans="3:3" ht="15" x14ac:dyDescent="0.2">
      <c r="C383" s="647" t="s">
        <v>1994</v>
      </c>
    </row>
    <row r="384" spans="3:3" ht="15" x14ac:dyDescent="0.2">
      <c r="C384" s="647" t="s">
        <v>1962</v>
      </c>
    </row>
    <row r="386" spans="3:3" ht="15" x14ac:dyDescent="0.2">
      <c r="C386" s="647" t="s">
        <v>1995</v>
      </c>
    </row>
    <row r="387" spans="3:3" ht="15" x14ac:dyDescent="0.2">
      <c r="C387" s="647" t="s">
        <v>1996</v>
      </c>
    </row>
    <row r="388" spans="3:3" ht="15" x14ac:dyDescent="0.2">
      <c r="C388" s="647" t="s">
        <v>755</v>
      </c>
    </row>
    <row r="389" spans="3:3" ht="15" x14ac:dyDescent="0.2">
      <c r="C389" s="647" t="s">
        <v>623</v>
      </c>
    </row>
    <row r="390" spans="3:3" ht="15" x14ac:dyDescent="0.2">
      <c r="C390" s="647" t="s">
        <v>624</v>
      </c>
    </row>
    <row r="391" spans="3:3" ht="15" x14ac:dyDescent="0.2">
      <c r="C391" s="647" t="s">
        <v>756</v>
      </c>
    </row>
    <row r="392" spans="3:3" ht="15" x14ac:dyDescent="0.2">
      <c r="C392" s="647" t="s">
        <v>757</v>
      </c>
    </row>
    <row r="393" spans="3:3" ht="15" x14ac:dyDescent="0.2">
      <c r="C393" s="647" t="s">
        <v>758</v>
      </c>
    </row>
    <row r="394" spans="3:3" ht="15" x14ac:dyDescent="0.2">
      <c r="C394" s="647" t="s">
        <v>749</v>
      </c>
    </row>
    <row r="395" spans="3:3" ht="15" x14ac:dyDescent="0.2">
      <c r="C395" s="647" t="s">
        <v>1997</v>
      </c>
    </row>
    <row r="396" spans="3:3" ht="15" x14ac:dyDescent="0.2">
      <c r="C396" s="647" t="s">
        <v>1998</v>
      </c>
    </row>
    <row r="397" spans="3:3" ht="15" x14ac:dyDescent="0.2">
      <c r="C397" s="647" t="s">
        <v>761</v>
      </c>
    </row>
    <row r="399" spans="3:3" ht="15" x14ac:dyDescent="0.2">
      <c r="C399" s="647" t="s">
        <v>1999</v>
      </c>
    </row>
    <row r="400" spans="3:3" ht="15" x14ac:dyDescent="0.2">
      <c r="C400" s="647" t="s">
        <v>2000</v>
      </c>
    </row>
    <row r="401" spans="3:3" ht="15" x14ac:dyDescent="0.2">
      <c r="C401" s="647" t="s">
        <v>763</v>
      </c>
    </row>
    <row r="402" spans="3:3" ht="15" x14ac:dyDescent="0.2">
      <c r="C402" s="647" t="s">
        <v>764</v>
      </c>
    </row>
    <row r="403" spans="3:3" ht="15" x14ac:dyDescent="0.2">
      <c r="C403" s="647" t="s">
        <v>765</v>
      </c>
    </row>
    <row r="404" spans="3:3" ht="15" x14ac:dyDescent="0.2">
      <c r="C404" s="647" t="s">
        <v>766</v>
      </c>
    </row>
    <row r="405" spans="3:3" ht="15" x14ac:dyDescent="0.2">
      <c r="C405" s="647" t="s">
        <v>767</v>
      </c>
    </row>
    <row r="406" spans="3:3" ht="15" x14ac:dyDescent="0.2">
      <c r="C406" s="647" t="s">
        <v>597</v>
      </c>
    </row>
    <row r="407" spans="3:3" ht="15" x14ac:dyDescent="0.2">
      <c r="C407" s="647" t="s">
        <v>768</v>
      </c>
    </row>
    <row r="408" spans="3:3" ht="15" x14ac:dyDescent="0.2">
      <c r="C408" s="647" t="s">
        <v>769</v>
      </c>
    </row>
    <row r="409" spans="3:3" ht="15" x14ac:dyDescent="0.2">
      <c r="C409" s="647" t="s">
        <v>770</v>
      </c>
    </row>
    <row r="410" spans="3:3" ht="15" x14ac:dyDescent="0.2">
      <c r="C410" s="647" t="s">
        <v>771</v>
      </c>
    </row>
    <row r="411" spans="3:3" ht="15" x14ac:dyDescent="0.2">
      <c r="C411" s="647" t="s">
        <v>772</v>
      </c>
    </row>
    <row r="412" spans="3:3" ht="15" x14ac:dyDescent="0.2">
      <c r="C412" s="647" t="s">
        <v>773</v>
      </c>
    </row>
    <row r="413" spans="3:3" ht="15" x14ac:dyDescent="0.2">
      <c r="C413" s="647" t="s">
        <v>774</v>
      </c>
    </row>
    <row r="414" spans="3:3" ht="15" x14ac:dyDescent="0.2">
      <c r="C414" s="647" t="s">
        <v>775</v>
      </c>
    </row>
    <row r="415" spans="3:3" ht="15" x14ac:dyDescent="0.2">
      <c r="C415" s="647" t="s">
        <v>776</v>
      </c>
    </row>
    <row r="416" spans="3:3" ht="15" x14ac:dyDescent="0.2">
      <c r="C416" s="647" t="s">
        <v>777</v>
      </c>
    </row>
    <row r="417" spans="3:3" ht="15" x14ac:dyDescent="0.2">
      <c r="C417" s="647" t="s">
        <v>778</v>
      </c>
    </row>
    <row r="418" spans="3:3" ht="15" x14ac:dyDescent="0.2">
      <c r="C418" s="647" t="s">
        <v>779</v>
      </c>
    </row>
    <row r="419" spans="3:3" ht="15" x14ac:dyDescent="0.2">
      <c r="C419" s="647" t="s">
        <v>780</v>
      </c>
    </row>
    <row r="420" spans="3:3" ht="15" x14ac:dyDescent="0.2">
      <c r="C420" s="647" t="s">
        <v>774</v>
      </c>
    </row>
    <row r="421" spans="3:3" ht="15" x14ac:dyDescent="0.2">
      <c r="C421" s="647" t="s">
        <v>775</v>
      </c>
    </row>
    <row r="422" spans="3:3" ht="15" x14ac:dyDescent="0.2">
      <c r="C422" s="647" t="s">
        <v>776</v>
      </c>
    </row>
    <row r="423" spans="3:3" ht="15" x14ac:dyDescent="0.2">
      <c r="C423" s="647" t="s">
        <v>777</v>
      </c>
    </row>
    <row r="424" spans="3:3" ht="15" x14ac:dyDescent="0.2">
      <c r="C424" s="647" t="s">
        <v>778</v>
      </c>
    </row>
    <row r="425" spans="3:3" ht="15" x14ac:dyDescent="0.2">
      <c r="C425" s="647" t="s">
        <v>781</v>
      </c>
    </row>
    <row r="426" spans="3:3" ht="15" x14ac:dyDescent="0.2">
      <c r="C426" s="647" t="s">
        <v>782</v>
      </c>
    </row>
    <row r="428" spans="3:3" ht="15" x14ac:dyDescent="0.2">
      <c r="C428" s="647" t="s">
        <v>2001</v>
      </c>
    </row>
    <row r="429" spans="3:3" ht="15" x14ac:dyDescent="0.2">
      <c r="C429" s="647" t="s">
        <v>2002</v>
      </c>
    </row>
    <row r="430" spans="3:3" ht="15" x14ac:dyDescent="0.2">
      <c r="C430" s="647" t="s">
        <v>2003</v>
      </c>
    </row>
    <row r="431" spans="3:3" ht="15" x14ac:dyDescent="0.2">
      <c r="C431" s="647" t="s">
        <v>2004</v>
      </c>
    </row>
    <row r="432" spans="3:3" ht="15" x14ac:dyDescent="0.2">
      <c r="C432" s="647" t="s">
        <v>2005</v>
      </c>
    </row>
    <row r="433" spans="3:3" ht="15" x14ac:dyDescent="0.2">
      <c r="C433" s="647" t="s">
        <v>2006</v>
      </c>
    </row>
    <row r="435" spans="3:3" ht="15" x14ac:dyDescent="0.2">
      <c r="C435" s="647" t="s">
        <v>828</v>
      </c>
    </row>
    <row r="436" spans="3:3" ht="15" x14ac:dyDescent="0.2">
      <c r="C436" s="647" t="s">
        <v>829</v>
      </c>
    </row>
    <row r="437" spans="3:3" ht="15" x14ac:dyDescent="0.2">
      <c r="C437" s="647" t="s">
        <v>830</v>
      </c>
    </row>
    <row r="439" spans="3:3" ht="15" x14ac:dyDescent="0.2">
      <c r="C439" s="647" t="s">
        <v>831</v>
      </c>
    </row>
    <row r="440" spans="3:3" ht="15" x14ac:dyDescent="0.2">
      <c r="C440" s="647" t="s">
        <v>832</v>
      </c>
    </row>
    <row r="442" spans="3:3" ht="15" x14ac:dyDescent="0.2">
      <c r="C442" s="647" t="s">
        <v>833</v>
      </c>
    </row>
    <row r="443" spans="3:3" ht="15" x14ac:dyDescent="0.2">
      <c r="C443" s="647" t="s">
        <v>834</v>
      </c>
    </row>
    <row r="444" spans="3:3" ht="15" x14ac:dyDescent="0.2">
      <c r="C444" s="647" t="s">
        <v>835</v>
      </c>
    </row>
    <row r="445" spans="3:3" ht="15" x14ac:dyDescent="0.2">
      <c r="C445" s="647" t="s">
        <v>836</v>
      </c>
    </row>
    <row r="446" spans="3:3" ht="15" x14ac:dyDescent="0.2">
      <c r="C446" s="647" t="s">
        <v>837</v>
      </c>
    </row>
    <row r="447" spans="3:3" ht="15" x14ac:dyDescent="0.2">
      <c r="C447" s="647" t="s">
        <v>838</v>
      </c>
    </row>
    <row r="448" spans="3:3" ht="15" x14ac:dyDescent="0.2">
      <c r="C448" s="647" t="s">
        <v>839</v>
      </c>
    </row>
    <row r="449" spans="3:3" ht="15" x14ac:dyDescent="0.2">
      <c r="C449" s="647" t="s">
        <v>840</v>
      </c>
    </row>
    <row r="450" spans="3:3" ht="15" x14ac:dyDescent="0.2">
      <c r="C450" s="647" t="s">
        <v>841</v>
      </c>
    </row>
    <row r="451" spans="3:3" ht="15" x14ac:dyDescent="0.2">
      <c r="C451" s="647" t="s">
        <v>842</v>
      </c>
    </row>
    <row r="452" spans="3:3" ht="15" x14ac:dyDescent="0.2">
      <c r="C452" s="647" t="s">
        <v>843</v>
      </c>
    </row>
    <row r="453" spans="3:3" ht="15" x14ac:dyDescent="0.2">
      <c r="C453" s="647" t="s">
        <v>844</v>
      </c>
    </row>
    <row r="454" spans="3:3" ht="15" x14ac:dyDescent="0.2">
      <c r="C454" s="647"/>
    </row>
    <row r="455" spans="3:3" ht="15" x14ac:dyDescent="0.2">
      <c r="C455" s="647" t="s">
        <v>845</v>
      </c>
    </row>
    <row r="457" spans="3:3" ht="15" x14ac:dyDescent="0.2">
      <c r="C457" s="647" t="s">
        <v>846</v>
      </c>
    </row>
    <row r="458" spans="3:3" ht="15" x14ac:dyDescent="0.2">
      <c r="C458" s="647" t="s">
        <v>2007</v>
      </c>
    </row>
    <row r="459" spans="3:3" ht="15" x14ac:dyDescent="0.2">
      <c r="C459" s="647" t="s">
        <v>2008</v>
      </c>
    </row>
    <row r="460" spans="3:3" ht="15" x14ac:dyDescent="0.2">
      <c r="C460" s="647" t="s">
        <v>849</v>
      </c>
    </row>
    <row r="461" spans="3:3" ht="15" x14ac:dyDescent="0.2">
      <c r="C461" s="647" t="s">
        <v>850</v>
      </c>
    </row>
    <row r="463" spans="3:3" ht="15" x14ac:dyDescent="0.2">
      <c r="C463" s="647" t="s">
        <v>851</v>
      </c>
    </row>
    <row r="464" spans="3:3" ht="15" x14ac:dyDescent="0.2">
      <c r="C464" s="647" t="s">
        <v>852</v>
      </c>
    </row>
    <row r="465" spans="3:3" ht="15" x14ac:dyDescent="0.2">
      <c r="C465" s="647" t="s">
        <v>853</v>
      </c>
    </row>
    <row r="466" spans="3:3" ht="15" x14ac:dyDescent="0.2">
      <c r="C466" s="647" t="s">
        <v>854</v>
      </c>
    </row>
    <row r="467" spans="3:3" ht="15" x14ac:dyDescent="0.2">
      <c r="C467" s="647" t="s">
        <v>855</v>
      </c>
    </row>
    <row r="468" spans="3:3" ht="15" x14ac:dyDescent="0.2">
      <c r="C468" s="647" t="s">
        <v>856</v>
      </c>
    </row>
    <row r="469" spans="3:3" ht="15" x14ac:dyDescent="0.2">
      <c r="C469" s="647" t="s">
        <v>857</v>
      </c>
    </row>
    <row r="470" spans="3:3" ht="15" x14ac:dyDescent="0.2">
      <c r="C470" s="647" t="s">
        <v>858</v>
      </c>
    </row>
    <row r="471" spans="3:3" ht="15" x14ac:dyDescent="0.2">
      <c r="C471" s="647" t="s">
        <v>859</v>
      </c>
    </row>
    <row r="472" spans="3:3" ht="15" x14ac:dyDescent="0.2">
      <c r="C472" s="647" t="s">
        <v>860</v>
      </c>
    </row>
    <row r="473" spans="3:3" ht="15" x14ac:dyDescent="0.2">
      <c r="C473" s="647" t="s">
        <v>861</v>
      </c>
    </row>
    <row r="474" spans="3:3" ht="15" x14ac:dyDescent="0.2">
      <c r="C474" s="647" t="s">
        <v>862</v>
      </c>
    </row>
    <row r="475" spans="3:3" ht="15" x14ac:dyDescent="0.2">
      <c r="C475" s="647" t="s">
        <v>863</v>
      </c>
    </row>
    <row r="477" spans="3:3" ht="15" x14ac:dyDescent="0.2">
      <c r="C477" s="647" t="s">
        <v>864</v>
      </c>
    </row>
    <row r="479" spans="3:3" ht="15" x14ac:dyDescent="0.2">
      <c r="C479" s="647" t="s">
        <v>865</v>
      </c>
    </row>
    <row r="480" spans="3:3" ht="15" x14ac:dyDescent="0.2">
      <c r="C480" s="647" t="s">
        <v>866</v>
      </c>
    </row>
    <row r="481" spans="3:3" ht="15" x14ac:dyDescent="0.2">
      <c r="C481" s="647" t="s">
        <v>867</v>
      </c>
    </row>
    <row r="482" spans="3:3" ht="15" x14ac:dyDescent="0.2">
      <c r="C482" s="647" t="s">
        <v>868</v>
      </c>
    </row>
    <row r="483" spans="3:3" ht="15" x14ac:dyDescent="0.2">
      <c r="C483" s="647" t="s">
        <v>869</v>
      </c>
    </row>
    <row r="484" spans="3:3" ht="15" x14ac:dyDescent="0.2">
      <c r="C484" s="647" t="s">
        <v>870</v>
      </c>
    </row>
    <row r="485" spans="3:3" ht="15" x14ac:dyDescent="0.2">
      <c r="C485" s="647" t="s">
        <v>849</v>
      </c>
    </row>
    <row r="487" spans="3:3" ht="15" x14ac:dyDescent="0.2">
      <c r="C487" s="647" t="s">
        <v>871</v>
      </c>
    </row>
    <row r="488" spans="3:3" ht="15" x14ac:dyDescent="0.2">
      <c r="C488" s="647" t="s">
        <v>872</v>
      </c>
    </row>
    <row r="490" spans="3:3" ht="15" x14ac:dyDescent="0.2">
      <c r="C490" s="647" t="s">
        <v>873</v>
      </c>
    </row>
    <row r="491" spans="3:3" ht="15" x14ac:dyDescent="0.2">
      <c r="C491" s="647" t="s">
        <v>874</v>
      </c>
    </row>
    <row r="492" spans="3:3" ht="15" x14ac:dyDescent="0.2">
      <c r="C492" s="647" t="s">
        <v>875</v>
      </c>
    </row>
    <row r="493" spans="3:3" ht="15" x14ac:dyDescent="0.2">
      <c r="C493" s="647" t="s">
        <v>876</v>
      </c>
    </row>
    <row r="494" spans="3:3" ht="15" x14ac:dyDescent="0.2">
      <c r="C494" s="647" t="s">
        <v>877</v>
      </c>
    </row>
    <row r="495" spans="3:3" ht="15" x14ac:dyDescent="0.2">
      <c r="C495" s="647" t="s">
        <v>878</v>
      </c>
    </row>
    <row r="497" spans="3:3" ht="15" x14ac:dyDescent="0.2">
      <c r="C497" s="647" t="s">
        <v>873</v>
      </c>
    </row>
    <row r="498" spans="3:3" ht="15" x14ac:dyDescent="0.2">
      <c r="C498" s="647" t="s">
        <v>879</v>
      </c>
    </row>
    <row r="499" spans="3:3" ht="15" x14ac:dyDescent="0.2">
      <c r="C499" s="647" t="s">
        <v>880</v>
      </c>
    </row>
    <row r="500" spans="3:3" ht="15" x14ac:dyDescent="0.2">
      <c r="C500" s="647" t="s">
        <v>881</v>
      </c>
    </row>
    <row r="501" spans="3:3" ht="15" x14ac:dyDescent="0.2">
      <c r="C501" s="647" t="s">
        <v>882</v>
      </c>
    </row>
    <row r="503" spans="3:3" ht="15" x14ac:dyDescent="0.2">
      <c r="C503" s="647" t="s">
        <v>883</v>
      </c>
    </row>
    <row r="504" spans="3:3" ht="15" x14ac:dyDescent="0.2">
      <c r="C504" s="647" t="s">
        <v>884</v>
      </c>
    </row>
    <row r="505" spans="3:3" ht="15" x14ac:dyDescent="0.2">
      <c r="C505" s="647" t="s">
        <v>885</v>
      </c>
    </row>
    <row r="506" spans="3:3" ht="15" x14ac:dyDescent="0.2">
      <c r="C506" s="647" t="s">
        <v>886</v>
      </c>
    </row>
    <row r="507" spans="3:3" ht="15" x14ac:dyDescent="0.2">
      <c r="C507" s="647" t="s">
        <v>887</v>
      </c>
    </row>
    <row r="509" spans="3:3" ht="15" x14ac:dyDescent="0.2">
      <c r="C509" s="647" t="s">
        <v>888</v>
      </c>
    </row>
    <row r="510" spans="3:3" ht="15" x14ac:dyDescent="0.2">
      <c r="C510" s="647" t="s">
        <v>889</v>
      </c>
    </row>
    <row r="511" spans="3:3" ht="15" x14ac:dyDescent="0.2">
      <c r="C511" s="647" t="s">
        <v>623</v>
      </c>
    </row>
    <row r="512" spans="3:3" ht="15" x14ac:dyDescent="0.2">
      <c r="C512" s="647" t="s">
        <v>624</v>
      </c>
    </row>
    <row r="513" spans="3:3" ht="15" x14ac:dyDescent="0.2">
      <c r="C513" s="647" t="s">
        <v>890</v>
      </c>
    </row>
    <row r="514" spans="3:3" ht="15" x14ac:dyDescent="0.2">
      <c r="C514" s="647" t="s">
        <v>891</v>
      </c>
    </row>
    <row r="515" spans="3:3" ht="15" x14ac:dyDescent="0.2">
      <c r="C515" s="647" t="s">
        <v>892</v>
      </c>
    </row>
    <row r="517" spans="3:3" ht="15" x14ac:dyDescent="0.2">
      <c r="C517" s="647" t="s">
        <v>893</v>
      </c>
    </row>
    <row r="518" spans="3:3" ht="15" x14ac:dyDescent="0.2">
      <c r="C518" s="647" t="s">
        <v>624</v>
      </c>
    </row>
    <row r="520" spans="3:3" ht="15" x14ac:dyDescent="0.2">
      <c r="C520" s="647" t="s">
        <v>894</v>
      </c>
    </row>
    <row r="521" spans="3:3" ht="15" x14ac:dyDescent="0.2">
      <c r="C521" s="647" t="s">
        <v>895</v>
      </c>
    </row>
    <row r="522" spans="3:3" ht="15" x14ac:dyDescent="0.2">
      <c r="C522" s="647" t="s">
        <v>896</v>
      </c>
    </row>
    <row r="524" spans="3:3" ht="15" x14ac:dyDescent="0.2">
      <c r="C524" s="647" t="s">
        <v>897</v>
      </c>
    </row>
    <row r="525" spans="3:3" ht="15" x14ac:dyDescent="0.2">
      <c r="C525" s="647" t="s">
        <v>898</v>
      </c>
    </row>
    <row r="526" spans="3:3" ht="15" x14ac:dyDescent="0.2">
      <c r="C526" s="647" t="s">
        <v>899</v>
      </c>
    </row>
    <row r="527" spans="3:3" ht="15" x14ac:dyDescent="0.2">
      <c r="C527" s="647" t="s">
        <v>900</v>
      </c>
    </row>
    <row r="528" spans="3:3" ht="15" x14ac:dyDescent="0.2">
      <c r="C528" s="647" t="s">
        <v>901</v>
      </c>
    </row>
    <row r="530" spans="3:3" ht="15" x14ac:dyDescent="0.2">
      <c r="C530" s="647" t="s">
        <v>952</v>
      </c>
    </row>
    <row r="531" spans="3:3" ht="15" x14ac:dyDescent="0.2">
      <c r="C531" s="647" t="s">
        <v>903</v>
      </c>
    </row>
    <row r="532" spans="3:3" ht="15" x14ac:dyDescent="0.2">
      <c r="C532" s="647" t="s">
        <v>904</v>
      </c>
    </row>
    <row r="533" spans="3:3" ht="15" x14ac:dyDescent="0.2">
      <c r="C533" s="647" t="s">
        <v>2009</v>
      </c>
    </row>
    <row r="534" spans="3:3" ht="15" x14ac:dyDescent="0.2">
      <c r="C534" s="647" t="s">
        <v>906</v>
      </c>
    </row>
    <row r="535" spans="3:3" ht="15" x14ac:dyDescent="0.2">
      <c r="C535" s="647" t="s">
        <v>954</v>
      </c>
    </row>
    <row r="536" spans="3:3" ht="15" x14ac:dyDescent="0.2">
      <c r="C536" s="647" t="s">
        <v>908</v>
      </c>
    </row>
    <row r="537" spans="3:3" ht="15" x14ac:dyDescent="0.2">
      <c r="C537" s="647" t="s">
        <v>909</v>
      </c>
    </row>
    <row r="538" spans="3:3" ht="15" x14ac:dyDescent="0.2">
      <c r="C538" s="647" t="s">
        <v>849</v>
      </c>
    </row>
    <row r="540" spans="3:3" ht="15" x14ac:dyDescent="0.2">
      <c r="C540" s="647" t="s">
        <v>2010</v>
      </c>
    </row>
    <row r="541" spans="3:3" ht="15" x14ac:dyDescent="0.2">
      <c r="C541" s="647" t="s">
        <v>956</v>
      </c>
    </row>
    <row r="542" spans="3:3" ht="15" x14ac:dyDescent="0.2">
      <c r="C542" s="647" t="s">
        <v>1080</v>
      </c>
    </row>
    <row r="543" spans="3:3" ht="15" x14ac:dyDescent="0.2">
      <c r="C543" s="647" t="s">
        <v>903</v>
      </c>
    </row>
    <row r="544" spans="3:3" ht="15" x14ac:dyDescent="0.2">
      <c r="C544" s="647" t="s">
        <v>2011</v>
      </c>
    </row>
    <row r="545" spans="3:3" ht="15" x14ac:dyDescent="0.2">
      <c r="C545" s="647" t="s">
        <v>2012</v>
      </c>
    </row>
    <row r="546" spans="3:3" ht="15" x14ac:dyDescent="0.2">
      <c r="C546" s="647" t="s">
        <v>906</v>
      </c>
    </row>
    <row r="547" spans="3:3" ht="15" x14ac:dyDescent="0.2">
      <c r="C547" s="647" t="s">
        <v>914</v>
      </c>
    </row>
    <row r="548" spans="3:3" ht="15" x14ac:dyDescent="0.2">
      <c r="C548" s="647" t="s">
        <v>915</v>
      </c>
    </row>
    <row r="549" spans="3:3" ht="15" x14ac:dyDescent="0.2">
      <c r="C549" s="647" t="s">
        <v>916</v>
      </c>
    </row>
    <row r="550" spans="3:3" ht="15" x14ac:dyDescent="0.2">
      <c r="C550" s="647" t="s">
        <v>917</v>
      </c>
    </row>
    <row r="551" spans="3:3" ht="15" x14ac:dyDescent="0.2">
      <c r="C551" s="647" t="s">
        <v>849</v>
      </c>
    </row>
    <row r="553" spans="3:3" ht="15" x14ac:dyDescent="0.2">
      <c r="C553" s="647" t="s">
        <v>902</v>
      </c>
    </row>
    <row r="554" spans="3:3" ht="15" x14ac:dyDescent="0.2">
      <c r="C554" s="647" t="s">
        <v>903</v>
      </c>
    </row>
    <row r="555" spans="3:3" ht="15" x14ac:dyDescent="0.2">
      <c r="C555" s="647" t="s">
        <v>904</v>
      </c>
    </row>
    <row r="556" spans="3:3" ht="15" x14ac:dyDescent="0.2">
      <c r="C556" s="647" t="s">
        <v>905</v>
      </c>
    </row>
    <row r="557" spans="3:3" ht="15" x14ac:dyDescent="0.2">
      <c r="C557" s="647" t="s">
        <v>906</v>
      </c>
    </row>
    <row r="558" spans="3:3" ht="15" x14ac:dyDescent="0.2">
      <c r="C558" s="647" t="s">
        <v>907</v>
      </c>
    </row>
    <row r="559" spans="3:3" ht="15" x14ac:dyDescent="0.2">
      <c r="C559" s="647" t="s">
        <v>908</v>
      </c>
    </row>
    <row r="560" spans="3:3" ht="15" x14ac:dyDescent="0.2">
      <c r="C560" s="647" t="s">
        <v>909</v>
      </c>
    </row>
    <row r="561" spans="3:3" ht="15" x14ac:dyDescent="0.2">
      <c r="C561" s="647" t="s">
        <v>849</v>
      </c>
    </row>
    <row r="563" spans="3:3" ht="15" x14ac:dyDescent="0.2">
      <c r="C563" s="647" t="s">
        <v>910</v>
      </c>
    </row>
    <row r="564" spans="3:3" ht="15" x14ac:dyDescent="0.2">
      <c r="C564" s="647" t="s">
        <v>911</v>
      </c>
    </row>
    <row r="566" spans="3:3" ht="15" x14ac:dyDescent="0.2">
      <c r="C566" s="647" t="s">
        <v>903</v>
      </c>
    </row>
    <row r="567" spans="3:3" ht="15" x14ac:dyDescent="0.2">
      <c r="C567" s="647" t="s">
        <v>912</v>
      </c>
    </row>
    <row r="568" spans="3:3" ht="15" x14ac:dyDescent="0.2">
      <c r="C568" s="647" t="s">
        <v>1234</v>
      </c>
    </row>
    <row r="569" spans="3:3" ht="15" x14ac:dyDescent="0.2">
      <c r="C569" s="647" t="s">
        <v>906</v>
      </c>
    </row>
    <row r="570" spans="3:3" ht="15" x14ac:dyDescent="0.2">
      <c r="C570" s="647" t="s">
        <v>914</v>
      </c>
    </row>
    <row r="571" spans="3:3" ht="15" x14ac:dyDescent="0.2">
      <c r="C571" s="647" t="s">
        <v>915</v>
      </c>
    </row>
    <row r="572" spans="3:3" ht="15" x14ac:dyDescent="0.2">
      <c r="C572" s="647" t="s">
        <v>916</v>
      </c>
    </row>
    <row r="573" spans="3:3" ht="15" x14ac:dyDescent="0.2">
      <c r="C573" s="647" t="s">
        <v>917</v>
      </c>
    </row>
    <row r="574" spans="3:3" ht="15" x14ac:dyDescent="0.2">
      <c r="C574" s="647" t="s">
        <v>849</v>
      </c>
    </row>
    <row r="576" spans="3:3" ht="15" x14ac:dyDescent="0.2">
      <c r="C576" s="647" t="s">
        <v>919</v>
      </c>
    </row>
    <row r="577" spans="3:3" ht="15" x14ac:dyDescent="0.2">
      <c r="C577" s="647" t="s">
        <v>920</v>
      </c>
    </row>
    <row r="578" spans="3:3" ht="15" x14ac:dyDescent="0.2">
      <c r="C578" s="647" t="s">
        <v>921</v>
      </c>
    </row>
    <row r="579" spans="3:3" ht="15" x14ac:dyDescent="0.2">
      <c r="C579" s="647" t="s">
        <v>922</v>
      </c>
    </row>
    <row r="580" spans="3:3" ht="15" x14ac:dyDescent="0.2">
      <c r="C580" s="647" t="s">
        <v>923</v>
      </c>
    </row>
    <row r="581" spans="3:3" ht="15" x14ac:dyDescent="0.2">
      <c r="C581" s="647" t="s">
        <v>924</v>
      </c>
    </row>
    <row r="582" spans="3:3" ht="15" x14ac:dyDescent="0.2">
      <c r="C582" s="647" t="s">
        <v>925</v>
      </c>
    </row>
    <row r="583" spans="3:3" ht="15" x14ac:dyDescent="0.2">
      <c r="C583" s="647" t="s">
        <v>926</v>
      </c>
    </row>
    <row r="584" spans="3:3" ht="15" x14ac:dyDescent="0.2">
      <c r="C584" s="647" t="s">
        <v>927</v>
      </c>
    </row>
    <row r="585" spans="3:3" ht="15" x14ac:dyDescent="0.2">
      <c r="C585" s="647" t="s">
        <v>1041</v>
      </c>
    </row>
    <row r="586" spans="3:3" ht="15" x14ac:dyDescent="0.2">
      <c r="C586" s="647" t="s">
        <v>1042</v>
      </c>
    </row>
    <row r="587" spans="3:3" ht="15" x14ac:dyDescent="0.2">
      <c r="C587" s="647" t="s">
        <v>1043</v>
      </c>
    </row>
    <row r="588" spans="3:3" ht="15" x14ac:dyDescent="0.2">
      <c r="C588" s="647" t="s">
        <v>1044</v>
      </c>
    </row>
    <row r="589" spans="3:3" ht="15" x14ac:dyDescent="0.2">
      <c r="C589" s="647" t="s">
        <v>2013</v>
      </c>
    </row>
    <row r="590" spans="3:3" ht="15" x14ac:dyDescent="0.2">
      <c r="C590" s="647" t="s">
        <v>1046</v>
      </c>
    </row>
    <row r="591" spans="3:3" ht="15" x14ac:dyDescent="0.2">
      <c r="C591" s="647" t="s">
        <v>1047</v>
      </c>
    </row>
    <row r="592" spans="3:3" ht="15" x14ac:dyDescent="0.2">
      <c r="C592" s="647" t="s">
        <v>1048</v>
      </c>
    </row>
    <row r="593" spans="3:3" ht="15" x14ac:dyDescent="0.2">
      <c r="C593" s="647" t="s">
        <v>1049</v>
      </c>
    </row>
    <row r="594" spans="3:3" ht="15" x14ac:dyDescent="0.2">
      <c r="C594" s="647" t="s">
        <v>928</v>
      </c>
    </row>
    <row r="595" spans="3:3" ht="15" x14ac:dyDescent="0.2">
      <c r="C595" s="647" t="s">
        <v>929</v>
      </c>
    </row>
    <row r="596" spans="3:3" ht="15" x14ac:dyDescent="0.2">
      <c r="C596" s="647" t="s">
        <v>930</v>
      </c>
    </row>
    <row r="597" spans="3:3" ht="15" x14ac:dyDescent="0.2">
      <c r="C597" s="647" t="s">
        <v>931</v>
      </c>
    </row>
    <row r="598" spans="3:3" ht="15" x14ac:dyDescent="0.2">
      <c r="C598" s="647" t="s">
        <v>932</v>
      </c>
    </row>
    <row r="599" spans="3:3" ht="15" x14ac:dyDescent="0.2">
      <c r="C599" s="647" t="s">
        <v>933</v>
      </c>
    </row>
    <row r="600" spans="3:3" ht="15" x14ac:dyDescent="0.2">
      <c r="C600" s="647" t="s">
        <v>934</v>
      </c>
    </row>
    <row r="601" spans="3:3" ht="15" x14ac:dyDescent="0.2">
      <c r="C601" s="647" t="s">
        <v>935</v>
      </c>
    </row>
    <row r="602" spans="3:3" ht="15" x14ac:dyDescent="0.2">
      <c r="C602" s="647" t="s">
        <v>936</v>
      </c>
    </row>
    <row r="603" spans="3:3" ht="15" x14ac:dyDescent="0.2">
      <c r="C603" s="647" t="s">
        <v>937</v>
      </c>
    </row>
    <row r="604" spans="3:3" ht="15" x14ac:dyDescent="0.2">
      <c r="C604" s="647" t="s">
        <v>938</v>
      </c>
    </row>
    <row r="605" spans="3:3" ht="15" x14ac:dyDescent="0.2">
      <c r="C605" s="647" t="s">
        <v>939</v>
      </c>
    </row>
    <row r="606" spans="3:3" ht="15" x14ac:dyDescent="0.2">
      <c r="C606" s="647" t="s">
        <v>2014</v>
      </c>
    </row>
    <row r="607" spans="3:3" ht="15" x14ac:dyDescent="0.2">
      <c r="C607" s="647" t="s">
        <v>777</v>
      </c>
    </row>
    <row r="608" spans="3:3" ht="15" x14ac:dyDescent="0.2">
      <c r="C608" s="647" t="s">
        <v>941</v>
      </c>
    </row>
    <row r="609" spans="3:3" ht="15" x14ac:dyDescent="0.2">
      <c r="C609" s="647" t="s">
        <v>942</v>
      </c>
    </row>
    <row r="610" spans="3:3" ht="15" x14ac:dyDescent="0.2">
      <c r="C610" s="647" t="s">
        <v>2015</v>
      </c>
    </row>
    <row r="611" spans="3:3" ht="15" x14ac:dyDescent="0.2">
      <c r="C611" s="647" t="s">
        <v>944</v>
      </c>
    </row>
    <row r="612" spans="3:3" ht="15" x14ac:dyDescent="0.2">
      <c r="C612" s="647" t="s">
        <v>945</v>
      </c>
    </row>
    <row r="613" spans="3:3" ht="15" x14ac:dyDescent="0.2">
      <c r="C613" s="647" t="s">
        <v>946</v>
      </c>
    </row>
    <row r="614" spans="3:3" ht="15" x14ac:dyDescent="0.2">
      <c r="C614" s="647" t="s">
        <v>947</v>
      </c>
    </row>
    <row r="616" spans="3:3" ht="15" x14ac:dyDescent="0.2">
      <c r="C616" s="647" t="s">
        <v>2016</v>
      </c>
    </row>
    <row r="617" spans="3:3" ht="15" x14ac:dyDescent="0.2">
      <c r="C617" s="647" t="s">
        <v>1052</v>
      </c>
    </row>
    <row r="618" spans="3:3" ht="15" x14ac:dyDescent="0.2">
      <c r="C618" s="647" t="s">
        <v>1053</v>
      </c>
    </row>
    <row r="619" spans="3:3" ht="15" x14ac:dyDescent="0.2">
      <c r="C619" s="647" t="s">
        <v>1054</v>
      </c>
    </row>
    <row r="620" spans="3:3" ht="15" x14ac:dyDescent="0.2">
      <c r="C620" s="647" t="s">
        <v>1055</v>
      </c>
    </row>
    <row r="621" spans="3:3" ht="15" x14ac:dyDescent="0.2">
      <c r="C621" s="647" t="s">
        <v>1056</v>
      </c>
    </row>
    <row r="622" spans="3:3" ht="15" x14ac:dyDescent="0.2">
      <c r="C622" s="647" t="s">
        <v>2017</v>
      </c>
    </row>
    <row r="623" spans="3:3" ht="15" x14ac:dyDescent="0.2">
      <c r="C623" s="647" t="s">
        <v>1058</v>
      </c>
    </row>
    <row r="624" spans="3:3" ht="15" x14ac:dyDescent="0.2">
      <c r="C624" s="647" t="s">
        <v>1059</v>
      </c>
    </row>
    <row r="625" spans="3:3" ht="15" x14ac:dyDescent="0.2">
      <c r="C625" s="647" t="s">
        <v>1060</v>
      </c>
    </row>
    <row r="626" spans="3:3" ht="15" x14ac:dyDescent="0.2">
      <c r="C626" s="647" t="s">
        <v>1061</v>
      </c>
    </row>
    <row r="627" spans="3:3" ht="15" x14ac:dyDescent="0.2">
      <c r="C627" s="647" t="s">
        <v>650</v>
      </c>
    </row>
    <row r="629" spans="3:3" ht="15" x14ac:dyDescent="0.2">
      <c r="C629" s="647" t="s">
        <v>1063</v>
      </c>
    </row>
    <row r="630" spans="3:3" ht="15" x14ac:dyDescent="0.2">
      <c r="C630" s="647" t="s">
        <v>1064</v>
      </c>
    </row>
    <row r="631" spans="3:3" ht="15" x14ac:dyDescent="0.2">
      <c r="C631" s="647" t="s">
        <v>1065</v>
      </c>
    </row>
    <row r="632" spans="3:3" ht="15" x14ac:dyDescent="0.2">
      <c r="C632" s="647" t="s">
        <v>2018</v>
      </c>
    </row>
    <row r="633" spans="3:3" ht="15" x14ac:dyDescent="0.2">
      <c r="C633" s="647" t="s">
        <v>2019</v>
      </c>
    </row>
    <row r="634" spans="3:3" ht="15" x14ac:dyDescent="0.2">
      <c r="C634" s="647" t="s">
        <v>2020</v>
      </c>
    </row>
    <row r="635" spans="3:3" ht="15" x14ac:dyDescent="0.2">
      <c r="C635" s="647" t="s">
        <v>1068</v>
      </c>
    </row>
    <row r="636" spans="3:3" ht="15" x14ac:dyDescent="0.2">
      <c r="C636" s="647" t="s">
        <v>2021</v>
      </c>
    </row>
    <row r="637" spans="3:3" ht="15" x14ac:dyDescent="0.2">
      <c r="C637" s="647" t="s">
        <v>2022</v>
      </c>
    </row>
    <row r="639" spans="3:3" ht="15" x14ac:dyDescent="0.2">
      <c r="C639" s="647" t="s">
        <v>2023</v>
      </c>
    </row>
    <row r="641" spans="3:3" ht="15" x14ac:dyDescent="0.2">
      <c r="C641" s="647" t="s">
        <v>903</v>
      </c>
    </row>
    <row r="642" spans="3:3" ht="15" x14ac:dyDescent="0.2">
      <c r="C642" s="647" t="s">
        <v>904</v>
      </c>
    </row>
    <row r="643" spans="3:3" ht="15" x14ac:dyDescent="0.2">
      <c r="C643" s="647" t="s">
        <v>2024</v>
      </c>
    </row>
    <row r="644" spans="3:3" ht="15" x14ac:dyDescent="0.2">
      <c r="C644" s="647" t="s">
        <v>906</v>
      </c>
    </row>
    <row r="645" spans="3:3" ht="15" x14ac:dyDescent="0.2">
      <c r="C645" s="647" t="s">
        <v>2025</v>
      </c>
    </row>
    <row r="646" spans="3:3" ht="15" x14ac:dyDescent="0.2">
      <c r="C646" s="647" t="s">
        <v>2026</v>
      </c>
    </row>
    <row r="647" spans="3:3" ht="15" x14ac:dyDescent="0.2">
      <c r="C647" s="647" t="s">
        <v>1074</v>
      </c>
    </row>
    <row r="648" spans="3:3" ht="15" x14ac:dyDescent="0.2">
      <c r="C648" s="647" t="s">
        <v>849</v>
      </c>
    </row>
    <row r="650" spans="3:3" ht="15" x14ac:dyDescent="0.2">
      <c r="C650" s="647" t="s">
        <v>903</v>
      </c>
    </row>
    <row r="651" spans="3:3" ht="15" x14ac:dyDescent="0.2">
      <c r="C651" s="647" t="s">
        <v>904</v>
      </c>
    </row>
    <row r="652" spans="3:3" ht="15" x14ac:dyDescent="0.2">
      <c r="C652" s="647" t="s">
        <v>2027</v>
      </c>
    </row>
    <row r="653" spans="3:3" ht="15" x14ac:dyDescent="0.2">
      <c r="C653" s="647" t="s">
        <v>906</v>
      </c>
    </row>
    <row r="654" spans="3:3" ht="15" x14ac:dyDescent="0.2">
      <c r="C654" s="647" t="s">
        <v>2028</v>
      </c>
    </row>
    <row r="655" spans="3:3" ht="15" x14ac:dyDescent="0.2">
      <c r="C655" s="647" t="s">
        <v>908</v>
      </c>
    </row>
    <row r="656" spans="3:3" ht="15" x14ac:dyDescent="0.2">
      <c r="C656" s="647" t="s">
        <v>1074</v>
      </c>
    </row>
    <row r="657" spans="3:3" ht="15" x14ac:dyDescent="0.2">
      <c r="C657" s="647" t="s">
        <v>849</v>
      </c>
    </row>
    <row r="659" spans="3:3" ht="15" x14ac:dyDescent="0.2">
      <c r="C659" s="647" t="s">
        <v>2029</v>
      </c>
    </row>
    <row r="660" spans="3:3" ht="15" x14ac:dyDescent="0.2">
      <c r="C660" s="647" t="s">
        <v>2030</v>
      </c>
    </row>
    <row r="661" spans="3:3" ht="15" x14ac:dyDescent="0.2">
      <c r="C661" s="647"/>
    </row>
    <row r="662" spans="3:3" ht="15" x14ac:dyDescent="0.2">
      <c r="C662" s="647" t="s">
        <v>903</v>
      </c>
    </row>
    <row r="663" spans="3:3" ht="15" x14ac:dyDescent="0.2">
      <c r="C663" s="647" t="s">
        <v>2031</v>
      </c>
    </row>
    <row r="664" spans="3:3" ht="15" x14ac:dyDescent="0.2">
      <c r="C664" s="647" t="s">
        <v>2032</v>
      </c>
    </row>
    <row r="665" spans="3:3" ht="15" x14ac:dyDescent="0.2">
      <c r="C665" s="647" t="s">
        <v>906</v>
      </c>
    </row>
    <row r="666" spans="3:3" ht="15" x14ac:dyDescent="0.2">
      <c r="C666" s="647" t="s">
        <v>914</v>
      </c>
    </row>
    <row r="667" spans="3:3" ht="15" x14ac:dyDescent="0.2">
      <c r="C667" s="647" t="s">
        <v>915</v>
      </c>
    </row>
    <row r="668" spans="3:3" ht="15" x14ac:dyDescent="0.2">
      <c r="C668" s="647" t="s">
        <v>1083</v>
      </c>
    </row>
    <row r="669" spans="3:3" ht="15" x14ac:dyDescent="0.2">
      <c r="C669" s="647" t="s">
        <v>916</v>
      </c>
    </row>
    <row r="670" spans="3:3" ht="15" x14ac:dyDescent="0.2">
      <c r="C670" s="647" t="s">
        <v>917</v>
      </c>
    </row>
    <row r="671" spans="3:3" ht="15" x14ac:dyDescent="0.2">
      <c r="C671" s="647" t="s">
        <v>975</v>
      </c>
    </row>
    <row r="673" spans="3:3" ht="15" x14ac:dyDescent="0.2">
      <c r="C673" s="647" t="s">
        <v>2033</v>
      </c>
    </row>
    <row r="674" spans="3:3" ht="15" x14ac:dyDescent="0.2">
      <c r="C674" s="647" t="s">
        <v>1064</v>
      </c>
    </row>
    <row r="675" spans="3:3" ht="15" x14ac:dyDescent="0.2">
      <c r="C675" s="647" t="s">
        <v>1065</v>
      </c>
    </row>
    <row r="676" spans="3:3" ht="15" x14ac:dyDescent="0.2">
      <c r="C676" s="647" t="s">
        <v>2018</v>
      </c>
    </row>
    <row r="678" spans="3:3" ht="15" x14ac:dyDescent="0.2">
      <c r="C678" s="647" t="s">
        <v>1066</v>
      </c>
    </row>
    <row r="679" spans="3:3" ht="15" x14ac:dyDescent="0.2">
      <c r="C679" s="647" t="s">
        <v>1067</v>
      </c>
    </row>
    <row r="680" spans="3:3" ht="15" x14ac:dyDescent="0.2">
      <c r="C680" s="647" t="s">
        <v>2034</v>
      </c>
    </row>
    <row r="681" spans="3:3" ht="15" x14ac:dyDescent="0.2">
      <c r="C681" s="647" t="s">
        <v>1069</v>
      </c>
    </row>
    <row r="682" spans="3:3" ht="15" x14ac:dyDescent="0.2">
      <c r="C682" s="647" t="s">
        <v>1070</v>
      </c>
    </row>
    <row r="684" spans="3:3" ht="15" x14ac:dyDescent="0.2">
      <c r="C684" s="647" t="s">
        <v>1071</v>
      </c>
    </row>
    <row r="686" spans="3:3" ht="15" x14ac:dyDescent="0.2">
      <c r="C686" s="647" t="s">
        <v>903</v>
      </c>
    </row>
    <row r="687" spans="3:3" ht="15" x14ac:dyDescent="0.2">
      <c r="C687" s="647" t="s">
        <v>904</v>
      </c>
    </row>
    <row r="688" spans="3:3" ht="15" x14ac:dyDescent="0.2">
      <c r="C688" s="647" t="s">
        <v>1072</v>
      </c>
    </row>
    <row r="689" spans="3:3" ht="15" x14ac:dyDescent="0.2">
      <c r="C689" s="647" t="s">
        <v>2035</v>
      </c>
    </row>
    <row r="690" spans="3:3" ht="15" x14ac:dyDescent="0.2">
      <c r="C690" s="647" t="s">
        <v>1073</v>
      </c>
    </row>
    <row r="691" spans="3:3" ht="15" x14ac:dyDescent="0.2">
      <c r="C691" s="647" t="s">
        <v>908</v>
      </c>
    </row>
    <row r="692" spans="3:3" ht="15" x14ac:dyDescent="0.2">
      <c r="C692" s="647" t="s">
        <v>1074</v>
      </c>
    </row>
    <row r="693" spans="3:3" ht="15" x14ac:dyDescent="0.2">
      <c r="C693" s="647" t="s">
        <v>849</v>
      </c>
    </row>
    <row r="695" spans="3:3" ht="15" x14ac:dyDescent="0.2">
      <c r="C695" s="647" t="s">
        <v>903</v>
      </c>
    </row>
    <row r="696" spans="3:3" ht="15" x14ac:dyDescent="0.2">
      <c r="C696" s="647" t="s">
        <v>904</v>
      </c>
    </row>
    <row r="697" spans="3:3" ht="15" x14ac:dyDescent="0.2">
      <c r="C697" s="647" t="s">
        <v>1075</v>
      </c>
    </row>
    <row r="698" spans="3:3" ht="15" x14ac:dyDescent="0.2">
      <c r="C698" s="647" t="s">
        <v>906</v>
      </c>
    </row>
    <row r="699" spans="3:3" ht="15" x14ac:dyDescent="0.2">
      <c r="C699" s="647" t="s">
        <v>2036</v>
      </c>
    </row>
    <row r="700" spans="3:3" ht="15" x14ac:dyDescent="0.2">
      <c r="C700" s="647" t="s">
        <v>1074</v>
      </c>
    </row>
    <row r="701" spans="3:3" ht="15" x14ac:dyDescent="0.2">
      <c r="C701" s="647" t="s">
        <v>849</v>
      </c>
    </row>
    <row r="703" spans="3:3" ht="15" x14ac:dyDescent="0.2">
      <c r="C703" s="647" t="s">
        <v>2037</v>
      </c>
    </row>
    <row r="704" spans="3:3" ht="15" x14ac:dyDescent="0.2">
      <c r="C704" s="647" t="s">
        <v>2038</v>
      </c>
    </row>
    <row r="706" spans="3:3" ht="15" x14ac:dyDescent="0.2">
      <c r="C706" s="647" t="s">
        <v>903</v>
      </c>
    </row>
    <row r="707" spans="3:3" ht="15" x14ac:dyDescent="0.2">
      <c r="C707" s="647" t="s">
        <v>2039</v>
      </c>
    </row>
    <row r="708" spans="3:3" ht="15" x14ac:dyDescent="0.2">
      <c r="C708" s="647" t="s">
        <v>2040</v>
      </c>
    </row>
    <row r="709" spans="3:3" ht="15" x14ac:dyDescent="0.2">
      <c r="C709" s="647" t="s">
        <v>906</v>
      </c>
    </row>
    <row r="710" spans="3:3" ht="15" x14ac:dyDescent="0.2">
      <c r="C710" s="647" t="s">
        <v>914</v>
      </c>
    </row>
    <row r="711" spans="3:3" ht="15" x14ac:dyDescent="0.2">
      <c r="C711" s="647" t="s">
        <v>915</v>
      </c>
    </row>
    <row r="712" spans="3:3" ht="15" x14ac:dyDescent="0.2">
      <c r="C712" s="647" t="s">
        <v>1083</v>
      </c>
    </row>
    <row r="713" spans="3:3" ht="15" x14ac:dyDescent="0.2">
      <c r="C713" s="647" t="s">
        <v>916</v>
      </c>
    </row>
    <row r="714" spans="3:3" ht="15" x14ac:dyDescent="0.2">
      <c r="C714" s="647" t="s">
        <v>917</v>
      </c>
    </row>
    <row r="715" spans="3:3" ht="15" x14ac:dyDescent="0.2">
      <c r="C715" s="647" t="s">
        <v>849</v>
      </c>
    </row>
    <row r="717" spans="3:3" ht="15" x14ac:dyDescent="0.2">
      <c r="C717" s="647" t="s">
        <v>2041</v>
      </c>
    </row>
    <row r="719" spans="3:3" ht="15" x14ac:dyDescent="0.2">
      <c r="C719" s="647" t="s">
        <v>903</v>
      </c>
    </row>
    <row r="720" spans="3:3" ht="15" x14ac:dyDescent="0.2">
      <c r="C720" s="647" t="s">
        <v>904</v>
      </c>
    </row>
    <row r="721" spans="3:3" ht="15" x14ac:dyDescent="0.2">
      <c r="C721" s="647" t="s">
        <v>2042</v>
      </c>
    </row>
    <row r="722" spans="3:3" ht="15" x14ac:dyDescent="0.2">
      <c r="C722" s="647" t="s">
        <v>906</v>
      </c>
    </row>
    <row r="723" spans="3:3" ht="15" x14ac:dyDescent="0.2">
      <c r="C723" s="647" t="s">
        <v>2043</v>
      </c>
    </row>
    <row r="724" spans="3:3" ht="15" x14ac:dyDescent="0.2">
      <c r="C724" s="647" t="s">
        <v>908</v>
      </c>
    </row>
    <row r="725" spans="3:3" ht="15" x14ac:dyDescent="0.2">
      <c r="C725" s="647" t="s">
        <v>909</v>
      </c>
    </row>
    <row r="726" spans="3:3" ht="15" x14ac:dyDescent="0.2">
      <c r="C726" s="647" t="s">
        <v>849</v>
      </c>
    </row>
    <row r="728" spans="3:3" ht="15" x14ac:dyDescent="0.2">
      <c r="C728" s="647" t="s">
        <v>2044</v>
      </c>
    </row>
    <row r="729" spans="3:3" ht="15" x14ac:dyDescent="0.2">
      <c r="C729" s="647" t="s">
        <v>2045</v>
      </c>
    </row>
    <row r="731" spans="3:3" ht="15" x14ac:dyDescent="0.2">
      <c r="C731" s="647" t="s">
        <v>903</v>
      </c>
    </row>
    <row r="732" spans="3:3" ht="15" x14ac:dyDescent="0.2">
      <c r="C732" s="647" t="s">
        <v>2046</v>
      </c>
    </row>
    <row r="733" spans="3:3" ht="15" x14ac:dyDescent="0.2">
      <c r="C733" s="647" t="s">
        <v>2047</v>
      </c>
    </row>
    <row r="734" spans="3:3" ht="15" x14ac:dyDescent="0.2">
      <c r="C734" s="647" t="s">
        <v>906</v>
      </c>
    </row>
    <row r="735" spans="3:3" ht="15" x14ac:dyDescent="0.2">
      <c r="C735" s="647" t="s">
        <v>914</v>
      </c>
    </row>
    <row r="736" spans="3:3" ht="15" x14ac:dyDescent="0.2">
      <c r="C736" s="647" t="s">
        <v>915</v>
      </c>
    </row>
    <row r="737" spans="3:3" ht="15" x14ac:dyDescent="0.2">
      <c r="C737" s="647" t="s">
        <v>1083</v>
      </c>
    </row>
    <row r="738" spans="3:3" ht="15" x14ac:dyDescent="0.2">
      <c r="C738" s="647" t="s">
        <v>916</v>
      </c>
    </row>
    <row r="739" spans="3:3" ht="15" x14ac:dyDescent="0.2">
      <c r="C739" s="647" t="s">
        <v>917</v>
      </c>
    </row>
    <row r="740" spans="3:3" ht="15" x14ac:dyDescent="0.2">
      <c r="C740" s="647" t="s">
        <v>849</v>
      </c>
    </row>
    <row r="742" spans="3:3" ht="15" x14ac:dyDescent="0.2">
      <c r="C742" s="647" t="s">
        <v>2048</v>
      </c>
    </row>
    <row r="743" spans="3:3" ht="15" x14ac:dyDescent="0.2">
      <c r="C743" s="647" t="s">
        <v>903</v>
      </c>
    </row>
    <row r="744" spans="3:3" ht="15" x14ac:dyDescent="0.2">
      <c r="C744" s="647" t="s">
        <v>904</v>
      </c>
    </row>
    <row r="745" spans="3:3" ht="15" x14ac:dyDescent="0.2">
      <c r="C745" s="647" t="s">
        <v>2049</v>
      </c>
    </row>
    <row r="746" spans="3:3" ht="15" x14ac:dyDescent="0.2">
      <c r="C746" s="647" t="s">
        <v>906</v>
      </c>
    </row>
    <row r="747" spans="3:3" ht="15" x14ac:dyDescent="0.2">
      <c r="C747" s="647" t="s">
        <v>2050</v>
      </c>
    </row>
    <row r="748" spans="3:3" ht="15" x14ac:dyDescent="0.2">
      <c r="C748" s="647" t="s">
        <v>908</v>
      </c>
    </row>
    <row r="749" spans="3:3" ht="15" x14ac:dyDescent="0.2">
      <c r="C749" s="647" t="s">
        <v>2051</v>
      </c>
    </row>
    <row r="750" spans="3:3" ht="15" x14ac:dyDescent="0.2">
      <c r="C750" s="647" t="s">
        <v>849</v>
      </c>
    </row>
    <row r="752" spans="3:3" ht="15" x14ac:dyDescent="0.2">
      <c r="C752" s="647" t="s">
        <v>2052</v>
      </c>
    </row>
    <row r="753" spans="3:3" ht="15" x14ac:dyDescent="0.2">
      <c r="C753" s="647" t="s">
        <v>2053</v>
      </c>
    </row>
    <row r="755" spans="3:3" ht="15" x14ac:dyDescent="0.2">
      <c r="C755" s="647" t="s">
        <v>903</v>
      </c>
    </row>
    <row r="756" spans="3:3" ht="15" x14ac:dyDescent="0.2">
      <c r="C756" s="647" t="s">
        <v>2054</v>
      </c>
    </row>
    <row r="757" spans="3:3" ht="15" x14ac:dyDescent="0.2">
      <c r="C757" s="647" t="s">
        <v>2055</v>
      </c>
    </row>
    <row r="758" spans="3:3" ht="15" x14ac:dyDescent="0.2">
      <c r="C758" s="647" t="s">
        <v>906</v>
      </c>
    </row>
    <row r="759" spans="3:3" ht="15" x14ac:dyDescent="0.2">
      <c r="C759" s="647" t="s">
        <v>914</v>
      </c>
    </row>
    <row r="760" spans="3:3" ht="15" x14ac:dyDescent="0.2">
      <c r="C760" s="647" t="s">
        <v>915</v>
      </c>
    </row>
    <row r="761" spans="3:3" ht="15" x14ac:dyDescent="0.2">
      <c r="C761" s="647" t="s">
        <v>1083</v>
      </c>
    </row>
    <row r="762" spans="3:3" ht="15" x14ac:dyDescent="0.2">
      <c r="C762" s="647" t="s">
        <v>916</v>
      </c>
    </row>
    <row r="763" spans="3:3" ht="15" x14ac:dyDescent="0.2">
      <c r="C763" s="647" t="s">
        <v>917</v>
      </c>
    </row>
    <row r="764" spans="3:3" ht="15" x14ac:dyDescent="0.2">
      <c r="C764" s="647" t="s">
        <v>849</v>
      </c>
    </row>
    <row r="766" spans="3:3" ht="15" x14ac:dyDescent="0.2">
      <c r="C766" s="647" t="s">
        <v>903</v>
      </c>
    </row>
    <row r="767" spans="3:3" ht="15" x14ac:dyDescent="0.2">
      <c r="C767" s="647" t="s">
        <v>904</v>
      </c>
    </row>
    <row r="768" spans="3:3" ht="15" x14ac:dyDescent="0.2">
      <c r="C768" s="647" t="s">
        <v>2056</v>
      </c>
    </row>
    <row r="769" spans="3:3" ht="15" x14ac:dyDescent="0.2">
      <c r="C769" s="647" t="s">
        <v>906</v>
      </c>
    </row>
    <row r="770" spans="3:3" ht="15" x14ac:dyDescent="0.2">
      <c r="C770" s="647" t="s">
        <v>2057</v>
      </c>
    </row>
    <row r="771" spans="3:3" ht="15" x14ac:dyDescent="0.2">
      <c r="C771" s="647" t="s">
        <v>908</v>
      </c>
    </row>
    <row r="772" spans="3:3" ht="15" x14ac:dyDescent="0.2">
      <c r="C772" s="647" t="s">
        <v>2051</v>
      </c>
    </row>
    <row r="773" spans="3:3" ht="15" x14ac:dyDescent="0.2">
      <c r="C773" s="647" t="s">
        <v>849</v>
      </c>
    </row>
    <row r="775" spans="3:3" ht="15" x14ac:dyDescent="0.2">
      <c r="C775" s="647" t="s">
        <v>2058</v>
      </c>
    </row>
    <row r="776" spans="3:3" ht="15" x14ac:dyDescent="0.2">
      <c r="C776" s="647" t="s">
        <v>2059</v>
      </c>
    </row>
    <row r="778" spans="3:3" ht="15" x14ac:dyDescent="0.2">
      <c r="C778" s="647" t="s">
        <v>903</v>
      </c>
    </row>
    <row r="779" spans="3:3" ht="15" x14ac:dyDescent="0.2">
      <c r="C779" s="647" t="s">
        <v>2060</v>
      </c>
    </row>
    <row r="780" spans="3:3" ht="15" x14ac:dyDescent="0.2">
      <c r="C780" s="647" t="s">
        <v>2061</v>
      </c>
    </row>
    <row r="781" spans="3:3" ht="15" x14ac:dyDescent="0.2">
      <c r="C781" s="647" t="s">
        <v>906</v>
      </c>
    </row>
    <row r="782" spans="3:3" ht="15" x14ac:dyDescent="0.2">
      <c r="C782" s="647" t="s">
        <v>914</v>
      </c>
    </row>
    <row r="783" spans="3:3" ht="15" x14ac:dyDescent="0.2">
      <c r="C783" s="647" t="s">
        <v>915</v>
      </c>
    </row>
    <row r="784" spans="3:3" ht="15" x14ac:dyDescent="0.2">
      <c r="C784" s="647" t="s">
        <v>1083</v>
      </c>
    </row>
    <row r="785" spans="3:3" ht="15" x14ac:dyDescent="0.2">
      <c r="C785" s="647" t="s">
        <v>916</v>
      </c>
    </row>
    <row r="786" spans="3:3" ht="15" x14ac:dyDescent="0.2">
      <c r="C786" s="647" t="s">
        <v>917</v>
      </c>
    </row>
    <row r="787" spans="3:3" ht="15" x14ac:dyDescent="0.2">
      <c r="C787" s="647" t="s">
        <v>975</v>
      </c>
    </row>
    <row r="789" spans="3:3" ht="15" x14ac:dyDescent="0.2">
      <c r="C789" s="647" t="s">
        <v>2062</v>
      </c>
    </row>
    <row r="790" spans="3:3" ht="15" x14ac:dyDescent="0.2">
      <c r="C790" s="647" t="s">
        <v>1064</v>
      </c>
    </row>
    <row r="791" spans="3:3" ht="15" x14ac:dyDescent="0.2">
      <c r="C791" s="647" t="s">
        <v>1065</v>
      </c>
    </row>
    <row r="792" spans="3:3" ht="15" x14ac:dyDescent="0.2">
      <c r="C792" s="647" t="s">
        <v>2018</v>
      </c>
    </row>
    <row r="794" spans="3:3" ht="15" x14ac:dyDescent="0.2">
      <c r="C794" s="647" t="s">
        <v>1085</v>
      </c>
    </row>
    <row r="795" spans="3:3" ht="15" x14ac:dyDescent="0.2">
      <c r="C795" s="647" t="s">
        <v>1086</v>
      </c>
    </row>
    <row r="797" spans="3:3" ht="15" x14ac:dyDescent="0.2">
      <c r="C797" s="647" t="s">
        <v>2063</v>
      </c>
    </row>
    <row r="798" spans="3:3" ht="15" x14ac:dyDescent="0.2">
      <c r="C798" s="647" t="s">
        <v>1088</v>
      </c>
    </row>
    <row r="799" spans="3:3" ht="15" x14ac:dyDescent="0.2">
      <c r="C799" s="647" t="s">
        <v>1089</v>
      </c>
    </row>
    <row r="801" spans="3:3" ht="15" x14ac:dyDescent="0.2">
      <c r="C801" s="647" t="s">
        <v>1090</v>
      </c>
    </row>
    <row r="803" spans="3:3" ht="15" x14ac:dyDescent="0.2">
      <c r="C803" s="647" t="s">
        <v>903</v>
      </c>
    </row>
    <row r="804" spans="3:3" ht="15" x14ac:dyDescent="0.2">
      <c r="C804" s="647" t="s">
        <v>904</v>
      </c>
    </row>
    <row r="805" spans="3:3" ht="15" x14ac:dyDescent="0.2">
      <c r="C805" s="647" t="s">
        <v>1091</v>
      </c>
    </row>
    <row r="806" spans="3:3" ht="15" x14ac:dyDescent="0.2">
      <c r="C806" s="647" t="s">
        <v>906</v>
      </c>
    </row>
    <row r="807" spans="3:3" ht="15" x14ac:dyDescent="0.2">
      <c r="C807" s="647" t="s">
        <v>1092</v>
      </c>
    </row>
    <row r="808" spans="3:3" ht="15" x14ac:dyDescent="0.2">
      <c r="C808" s="647" t="s">
        <v>908</v>
      </c>
    </row>
    <row r="809" spans="3:3" ht="15" x14ac:dyDescent="0.2">
      <c r="C809" s="647" t="s">
        <v>1093</v>
      </c>
    </row>
    <row r="810" spans="3:3" ht="15" x14ac:dyDescent="0.2">
      <c r="C810" s="647" t="s">
        <v>849</v>
      </c>
    </row>
    <row r="812" spans="3:3" ht="15" x14ac:dyDescent="0.2">
      <c r="C812" s="647" t="s">
        <v>903</v>
      </c>
    </row>
    <row r="813" spans="3:3" ht="15" x14ac:dyDescent="0.2">
      <c r="C813" s="647" t="s">
        <v>904</v>
      </c>
    </row>
    <row r="814" spans="3:3" ht="15" x14ac:dyDescent="0.2">
      <c r="C814" s="647" t="s">
        <v>1094</v>
      </c>
    </row>
    <row r="815" spans="3:3" ht="15" x14ac:dyDescent="0.2">
      <c r="C815" s="647" t="s">
        <v>906</v>
      </c>
    </row>
    <row r="816" spans="3:3" ht="15" x14ac:dyDescent="0.2">
      <c r="C816" s="647" t="s">
        <v>1095</v>
      </c>
    </row>
    <row r="817" spans="3:3" ht="15" x14ac:dyDescent="0.2">
      <c r="C817" s="647" t="s">
        <v>908</v>
      </c>
    </row>
    <row r="818" spans="3:3" ht="15" x14ac:dyDescent="0.2">
      <c r="C818" s="647" t="s">
        <v>1093</v>
      </c>
    </row>
    <row r="819" spans="3:3" ht="15" x14ac:dyDescent="0.2">
      <c r="C819" s="647" t="s">
        <v>849</v>
      </c>
    </row>
    <row r="821" spans="3:3" ht="15" x14ac:dyDescent="0.2">
      <c r="C821" s="647" t="s">
        <v>2064</v>
      </c>
    </row>
    <row r="822" spans="3:3" ht="15" x14ac:dyDescent="0.2">
      <c r="C822" s="647" t="s">
        <v>2065</v>
      </c>
    </row>
    <row r="824" spans="3:3" ht="15" x14ac:dyDescent="0.2">
      <c r="C824" s="647" t="s">
        <v>903</v>
      </c>
    </row>
    <row r="825" spans="3:3" ht="15" x14ac:dyDescent="0.2">
      <c r="C825" s="647" t="s">
        <v>2066</v>
      </c>
    </row>
    <row r="826" spans="3:3" ht="15" x14ac:dyDescent="0.2">
      <c r="C826" s="647" t="s">
        <v>2067</v>
      </c>
    </row>
    <row r="827" spans="3:3" ht="15" x14ac:dyDescent="0.2">
      <c r="C827" s="647" t="s">
        <v>906</v>
      </c>
    </row>
    <row r="828" spans="3:3" ht="15" x14ac:dyDescent="0.2">
      <c r="C828" s="647" t="s">
        <v>914</v>
      </c>
    </row>
    <row r="829" spans="3:3" ht="15" x14ac:dyDescent="0.2">
      <c r="C829" s="647" t="s">
        <v>915</v>
      </c>
    </row>
    <row r="830" spans="3:3" ht="15" x14ac:dyDescent="0.2">
      <c r="C830" s="647" t="s">
        <v>1083</v>
      </c>
    </row>
    <row r="831" spans="3:3" ht="15" x14ac:dyDescent="0.2">
      <c r="C831" s="647" t="s">
        <v>959</v>
      </c>
    </row>
    <row r="832" spans="3:3" ht="15" x14ac:dyDescent="0.2">
      <c r="C832" s="647" t="s">
        <v>917</v>
      </c>
    </row>
    <row r="833" spans="3:3" ht="15" x14ac:dyDescent="0.2">
      <c r="C833" s="647" t="s">
        <v>849</v>
      </c>
    </row>
    <row r="835" spans="3:3" ht="15" x14ac:dyDescent="0.2">
      <c r="C835" s="647" t="s">
        <v>2068</v>
      </c>
    </row>
    <row r="836" spans="3:3" ht="15" x14ac:dyDescent="0.2">
      <c r="C836" s="647" t="s">
        <v>903</v>
      </c>
    </row>
    <row r="837" spans="3:3" ht="15" x14ac:dyDescent="0.2">
      <c r="C837" s="647" t="s">
        <v>904</v>
      </c>
    </row>
    <row r="838" spans="3:3" ht="15" x14ac:dyDescent="0.2">
      <c r="C838" s="647" t="s">
        <v>2069</v>
      </c>
    </row>
    <row r="839" spans="3:3" ht="15" x14ac:dyDescent="0.2">
      <c r="C839" s="647" t="s">
        <v>906</v>
      </c>
    </row>
    <row r="840" spans="3:3" ht="15" x14ac:dyDescent="0.2">
      <c r="C840" s="647" t="s">
        <v>2070</v>
      </c>
    </row>
    <row r="841" spans="3:3" ht="15" x14ac:dyDescent="0.2">
      <c r="C841" s="647" t="s">
        <v>908</v>
      </c>
    </row>
    <row r="842" spans="3:3" ht="15" x14ac:dyDescent="0.2">
      <c r="C842" s="647" t="s">
        <v>909</v>
      </c>
    </row>
    <row r="843" spans="3:3" ht="15" x14ac:dyDescent="0.2">
      <c r="C843" s="647" t="s">
        <v>849</v>
      </c>
    </row>
    <row r="845" spans="3:3" ht="15" x14ac:dyDescent="0.2">
      <c r="C845" s="647" t="s">
        <v>903</v>
      </c>
    </row>
    <row r="846" spans="3:3" ht="15" x14ac:dyDescent="0.2">
      <c r="C846" s="647" t="s">
        <v>2071</v>
      </c>
    </row>
    <row r="847" spans="3:3" ht="15" x14ac:dyDescent="0.2">
      <c r="C847" s="647" t="s">
        <v>2072</v>
      </c>
    </row>
    <row r="848" spans="3:3" ht="15" x14ac:dyDescent="0.2">
      <c r="C848" s="647" t="s">
        <v>906</v>
      </c>
    </row>
    <row r="849" spans="3:3" ht="15" x14ac:dyDescent="0.2">
      <c r="C849" s="647" t="s">
        <v>1236</v>
      </c>
    </row>
    <row r="850" spans="3:3" ht="15" x14ac:dyDescent="0.2">
      <c r="C850" s="647" t="s">
        <v>915</v>
      </c>
    </row>
    <row r="851" spans="3:3" ht="15" x14ac:dyDescent="0.2">
      <c r="C851" s="647" t="s">
        <v>959</v>
      </c>
    </row>
    <row r="852" spans="3:3" ht="15" x14ac:dyDescent="0.2">
      <c r="C852" s="647" t="s">
        <v>917</v>
      </c>
    </row>
    <row r="853" spans="3:3" ht="15" x14ac:dyDescent="0.2">
      <c r="C853" s="647" t="s">
        <v>849</v>
      </c>
    </row>
    <row r="855" spans="3:3" ht="15" x14ac:dyDescent="0.2">
      <c r="C855" s="647" t="s">
        <v>2073</v>
      </c>
    </row>
    <row r="856" spans="3:3" ht="15" x14ac:dyDescent="0.2">
      <c r="C856" s="647" t="s">
        <v>2074</v>
      </c>
    </row>
    <row r="858" spans="3:3" ht="15" x14ac:dyDescent="0.2">
      <c r="C858" s="647" t="s">
        <v>982</v>
      </c>
    </row>
    <row r="859" spans="3:3" ht="15" x14ac:dyDescent="0.2">
      <c r="C859" s="647" t="s">
        <v>983</v>
      </c>
    </row>
    <row r="860" spans="3:3" ht="15" x14ac:dyDescent="0.2">
      <c r="C860" s="647" t="s">
        <v>984</v>
      </c>
    </row>
    <row r="862" spans="3:3" ht="15" x14ac:dyDescent="0.2">
      <c r="C862" s="647" t="s">
        <v>2075</v>
      </c>
    </row>
    <row r="863" spans="3:3" ht="15" x14ac:dyDescent="0.2">
      <c r="C863" s="647" t="s">
        <v>986</v>
      </c>
    </row>
    <row r="864" spans="3:3" ht="15" x14ac:dyDescent="0.2">
      <c r="C864" s="647" t="s">
        <v>987</v>
      </c>
    </row>
    <row r="865" spans="3:3" ht="15" x14ac:dyDescent="0.2">
      <c r="C865" s="647" t="s">
        <v>2076</v>
      </c>
    </row>
    <row r="866" spans="3:3" ht="15" x14ac:dyDescent="0.2">
      <c r="C866" s="647" t="s">
        <v>989</v>
      </c>
    </row>
    <row r="867" spans="3:3" ht="15" x14ac:dyDescent="0.2">
      <c r="C867" s="647" t="s">
        <v>2077</v>
      </c>
    </row>
    <row r="868" spans="3:3" ht="15" x14ac:dyDescent="0.2">
      <c r="C868" s="647" t="s">
        <v>991</v>
      </c>
    </row>
    <row r="869" spans="3:3" ht="15" x14ac:dyDescent="0.2">
      <c r="C869" s="647" t="s">
        <v>992</v>
      </c>
    </row>
    <row r="870" spans="3:3" ht="15" x14ac:dyDescent="0.2">
      <c r="C870" s="647" t="s">
        <v>993</v>
      </c>
    </row>
    <row r="872" spans="3:3" ht="15" x14ac:dyDescent="0.2">
      <c r="C872" s="647" t="s">
        <v>2078</v>
      </c>
    </row>
    <row r="873" spans="3:3" ht="15" x14ac:dyDescent="0.2">
      <c r="C873" s="647" t="s">
        <v>2079</v>
      </c>
    </row>
    <row r="875" spans="3:3" ht="15" x14ac:dyDescent="0.2">
      <c r="C875" s="647" t="s">
        <v>986</v>
      </c>
    </row>
    <row r="876" spans="3:3" ht="15" x14ac:dyDescent="0.2">
      <c r="C876" s="647" t="s">
        <v>996</v>
      </c>
    </row>
    <row r="877" spans="3:3" ht="15" x14ac:dyDescent="0.2">
      <c r="C877" s="647" t="s">
        <v>2080</v>
      </c>
    </row>
    <row r="878" spans="3:3" ht="15" x14ac:dyDescent="0.2">
      <c r="C878" s="647" t="s">
        <v>989</v>
      </c>
    </row>
    <row r="879" spans="3:3" ht="15" x14ac:dyDescent="0.2">
      <c r="C879" s="647" t="s">
        <v>998</v>
      </c>
    </row>
    <row r="880" spans="3:3" ht="15" x14ac:dyDescent="0.2">
      <c r="C880" s="647" t="s">
        <v>999</v>
      </c>
    </row>
    <row r="881" spans="3:3" ht="15" x14ac:dyDescent="0.2">
      <c r="C881" s="647" t="s">
        <v>1000</v>
      </c>
    </row>
    <row r="882" spans="3:3" ht="15" x14ac:dyDescent="0.2">
      <c r="C882" s="647" t="s">
        <v>1001</v>
      </c>
    </row>
    <row r="883" spans="3:3" ht="15" x14ac:dyDescent="0.2">
      <c r="C883" s="647" t="s">
        <v>1002</v>
      </c>
    </row>
    <row r="885" spans="3:3" ht="15" x14ac:dyDescent="0.2">
      <c r="C885" s="647" t="s">
        <v>1003</v>
      </c>
    </row>
    <row r="886" spans="3:3" ht="15" x14ac:dyDescent="0.2">
      <c r="C886" s="647" t="s">
        <v>986</v>
      </c>
    </row>
    <row r="887" spans="3:3" ht="15" x14ac:dyDescent="0.2">
      <c r="C887" s="647" t="s">
        <v>987</v>
      </c>
    </row>
    <row r="888" spans="3:3" ht="15" x14ac:dyDescent="0.2">
      <c r="C888" s="647" t="s">
        <v>2081</v>
      </c>
    </row>
    <row r="889" spans="3:3" ht="15" x14ac:dyDescent="0.2">
      <c r="C889" s="647" t="s">
        <v>989</v>
      </c>
    </row>
    <row r="890" spans="3:3" ht="15" x14ac:dyDescent="0.2">
      <c r="C890" s="647" t="s">
        <v>2082</v>
      </c>
    </row>
    <row r="891" spans="3:3" ht="15" x14ac:dyDescent="0.2">
      <c r="C891" s="647" t="s">
        <v>991</v>
      </c>
    </row>
    <row r="892" spans="3:3" ht="15" x14ac:dyDescent="0.2">
      <c r="C892" s="647" t="s">
        <v>1006</v>
      </c>
    </row>
    <row r="893" spans="3:3" ht="15" x14ac:dyDescent="0.2">
      <c r="C893" s="647" t="s">
        <v>993</v>
      </c>
    </row>
    <row r="895" spans="3:3" ht="15" x14ac:dyDescent="0.2">
      <c r="C895" s="647" t="s">
        <v>986</v>
      </c>
    </row>
    <row r="896" spans="3:3" ht="15" x14ac:dyDescent="0.2">
      <c r="C896" s="647" t="s">
        <v>987</v>
      </c>
    </row>
    <row r="897" spans="3:3" ht="15" x14ac:dyDescent="0.2">
      <c r="C897" s="647" t="s">
        <v>2083</v>
      </c>
    </row>
    <row r="898" spans="3:3" ht="15" x14ac:dyDescent="0.2">
      <c r="C898" s="647" t="s">
        <v>989</v>
      </c>
    </row>
    <row r="899" spans="3:3" ht="15" x14ac:dyDescent="0.2">
      <c r="C899" s="647" t="s">
        <v>2084</v>
      </c>
    </row>
    <row r="900" spans="3:3" ht="15" x14ac:dyDescent="0.2">
      <c r="C900" s="647" t="s">
        <v>991</v>
      </c>
    </row>
    <row r="901" spans="3:3" ht="15" x14ac:dyDescent="0.2">
      <c r="C901" s="647" t="s">
        <v>1006</v>
      </c>
    </row>
    <row r="902" spans="3:3" ht="15" x14ac:dyDescent="0.2">
      <c r="C902" s="647" t="s">
        <v>993</v>
      </c>
    </row>
    <row r="904" spans="3:3" ht="15" x14ac:dyDescent="0.2">
      <c r="C904" s="647" t="s">
        <v>2085</v>
      </c>
    </row>
    <row r="906" spans="3:3" ht="15" x14ac:dyDescent="0.2">
      <c r="C906" s="647" t="s">
        <v>986</v>
      </c>
    </row>
    <row r="907" spans="3:3" ht="15" x14ac:dyDescent="0.2">
      <c r="C907" s="647" t="s">
        <v>1010</v>
      </c>
    </row>
    <row r="908" spans="3:3" ht="15" x14ac:dyDescent="0.2">
      <c r="C908" s="647" t="s">
        <v>2086</v>
      </c>
    </row>
    <row r="909" spans="3:3" ht="15" x14ac:dyDescent="0.2">
      <c r="C909" s="647" t="s">
        <v>989</v>
      </c>
    </row>
    <row r="910" spans="3:3" ht="15" x14ac:dyDescent="0.2">
      <c r="C910" s="647" t="s">
        <v>998</v>
      </c>
    </row>
    <row r="911" spans="3:3" ht="15" x14ac:dyDescent="0.2">
      <c r="C911" s="647" t="s">
        <v>999</v>
      </c>
    </row>
    <row r="912" spans="3:3" ht="15" x14ac:dyDescent="0.2">
      <c r="C912" s="647" t="s">
        <v>1000</v>
      </c>
    </row>
    <row r="913" spans="3:3" ht="15" x14ac:dyDescent="0.2">
      <c r="C913" s="647" t="s">
        <v>1001</v>
      </c>
    </row>
    <row r="914" spans="3:3" ht="15" x14ac:dyDescent="0.2">
      <c r="C914" s="647" t="s">
        <v>1002</v>
      </c>
    </row>
    <row r="916" spans="3:3" ht="15" x14ac:dyDescent="0.2">
      <c r="C916" s="647" t="s">
        <v>1012</v>
      </c>
    </row>
    <row r="917" spans="3:3" ht="15" x14ac:dyDescent="0.2">
      <c r="C917" s="647" t="s">
        <v>986</v>
      </c>
    </row>
    <row r="918" spans="3:3" ht="15" x14ac:dyDescent="0.2">
      <c r="C918" s="647" t="s">
        <v>987</v>
      </c>
    </row>
    <row r="919" spans="3:3" ht="15" x14ac:dyDescent="0.2">
      <c r="C919" s="647" t="s">
        <v>2087</v>
      </c>
    </row>
    <row r="920" spans="3:3" ht="15" x14ac:dyDescent="0.2">
      <c r="C920" s="647" t="s">
        <v>989</v>
      </c>
    </row>
    <row r="921" spans="3:3" ht="15" x14ac:dyDescent="0.2">
      <c r="C921" s="647" t="s">
        <v>2088</v>
      </c>
    </row>
    <row r="922" spans="3:3" ht="15" x14ac:dyDescent="0.2">
      <c r="C922" s="647" t="s">
        <v>991</v>
      </c>
    </row>
    <row r="923" spans="3:3" ht="15" x14ac:dyDescent="0.2">
      <c r="C923" s="647" t="s">
        <v>1000</v>
      </c>
    </row>
    <row r="924" spans="3:3" ht="15" x14ac:dyDescent="0.2">
      <c r="C924" s="647" t="s">
        <v>2089</v>
      </c>
    </row>
    <row r="925" spans="3:3" ht="15" x14ac:dyDescent="0.2">
      <c r="C925" s="647" t="s">
        <v>993</v>
      </c>
    </row>
    <row r="927" spans="3:3" ht="15" x14ac:dyDescent="0.2">
      <c r="C927" s="647" t="s">
        <v>2090</v>
      </c>
    </row>
    <row r="928" spans="3:3" ht="15" x14ac:dyDescent="0.2">
      <c r="C928" s="647" t="s">
        <v>2091</v>
      </c>
    </row>
    <row r="930" spans="3:3" ht="15" x14ac:dyDescent="0.2">
      <c r="C930" s="647" t="s">
        <v>986</v>
      </c>
    </row>
    <row r="931" spans="3:3" ht="15" x14ac:dyDescent="0.2">
      <c r="C931" s="647" t="s">
        <v>2092</v>
      </c>
    </row>
    <row r="932" spans="3:3" ht="15" x14ac:dyDescent="0.2">
      <c r="C932" s="647" t="s">
        <v>2093</v>
      </c>
    </row>
    <row r="933" spans="3:3" ht="15" x14ac:dyDescent="0.2">
      <c r="C933" s="647" t="s">
        <v>989</v>
      </c>
    </row>
    <row r="934" spans="3:3" ht="15" x14ac:dyDescent="0.2">
      <c r="C934" s="647" t="s">
        <v>2094</v>
      </c>
    </row>
    <row r="935" spans="3:3" ht="15" x14ac:dyDescent="0.2">
      <c r="C935" s="647" t="s">
        <v>999</v>
      </c>
    </row>
    <row r="936" spans="3:3" ht="15" x14ac:dyDescent="0.2">
      <c r="C936" s="647" t="s">
        <v>1000</v>
      </c>
    </row>
    <row r="937" spans="3:3" ht="15" x14ac:dyDescent="0.2">
      <c r="C937" s="647" t="s">
        <v>1001</v>
      </c>
    </row>
    <row r="938" spans="3:3" ht="15" x14ac:dyDescent="0.2">
      <c r="C938" s="647" t="s">
        <v>1002</v>
      </c>
    </row>
    <row r="940" spans="3:3" ht="15" x14ac:dyDescent="0.2">
      <c r="C940" s="647" t="s">
        <v>845</v>
      </c>
    </row>
    <row r="941" spans="3:3" ht="15" x14ac:dyDescent="0.2">
      <c r="C941" s="647" t="s">
        <v>2095</v>
      </c>
    </row>
    <row r="942" spans="3:3" ht="15" x14ac:dyDescent="0.2">
      <c r="C942" s="647" t="s">
        <v>2096</v>
      </c>
    </row>
    <row r="944" spans="3:3" ht="15" x14ac:dyDescent="0.2">
      <c r="C944" s="647" t="s">
        <v>1021</v>
      </c>
    </row>
    <row r="945" spans="3:3" ht="15" x14ac:dyDescent="0.2">
      <c r="C945" s="647" t="s">
        <v>1022</v>
      </c>
    </row>
    <row r="946" spans="3:3" ht="15" x14ac:dyDescent="0.2">
      <c r="C946" s="647" t="s">
        <v>1023</v>
      </c>
    </row>
    <row r="948" spans="3:3" ht="15" x14ac:dyDescent="0.2">
      <c r="C948" s="647" t="s">
        <v>1024</v>
      </c>
    </row>
    <row r="949" spans="3:3" ht="15" x14ac:dyDescent="0.2">
      <c r="C949" s="647" t="s">
        <v>1025</v>
      </c>
    </row>
    <row r="950" spans="3:3" ht="15" x14ac:dyDescent="0.2">
      <c r="C950" s="647" t="s">
        <v>1026</v>
      </c>
    </row>
    <row r="951" spans="3:3" ht="15" x14ac:dyDescent="0.2">
      <c r="C951" s="647" t="s">
        <v>1027</v>
      </c>
    </row>
    <row r="953" spans="3:3" ht="15" x14ac:dyDescent="0.2">
      <c r="C953" s="647" t="s">
        <v>1028</v>
      </c>
    </row>
    <row r="954" spans="3:3" x14ac:dyDescent="0.2">
      <c r="C954" s="649" t="s">
        <v>1029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7C8DA-D1F0-436C-A419-D56AAC18FE53}">
  <sheetPr codeName="Sheet26">
    <tabColor rgb="FF00A3E0"/>
  </sheetPr>
  <dimension ref="A1:D624"/>
  <sheetViews>
    <sheetView workbookViewId="0"/>
  </sheetViews>
  <sheetFormatPr defaultColWidth="0" defaultRowHeight="12.75" x14ac:dyDescent="0.2"/>
  <cols>
    <col min="1" max="1" width="24.7109375" style="33" customWidth="1"/>
    <col min="2" max="2" width="9.140625" style="33" customWidth="1"/>
    <col min="3" max="3" width="120.7109375" style="649" customWidth="1"/>
    <col min="4" max="4" width="1.7109375" style="33" customWidth="1"/>
    <col min="5" max="16384" width="9.140625" style="33" hidden="1"/>
  </cols>
  <sheetData>
    <row r="1" spans="1:4" ht="15.75" thickBot="1" x14ac:dyDescent="0.25">
      <c r="A1" s="171" t="s">
        <v>1631</v>
      </c>
      <c r="C1" s="647" t="s">
        <v>490</v>
      </c>
    </row>
    <row r="2" spans="1:4" ht="16.5" thickTop="1" thickBot="1" x14ac:dyDescent="0.25">
      <c r="A2" s="648" t="str">
        <f>_xlfn.CONCAT(Results!C32,".sim")</f>
        <v>Estatico.sim</v>
      </c>
      <c r="C2" s="647" t="s">
        <v>491</v>
      </c>
    </row>
    <row r="3" spans="1:4" ht="13.5" thickBot="1" x14ac:dyDescent="0.25"/>
    <row r="4" spans="1:4" ht="15.75" thickBot="1" x14ac:dyDescent="0.25">
      <c r="A4" s="171" t="s">
        <v>1633</v>
      </c>
      <c r="B4" s="50"/>
      <c r="C4" s="169" t="s">
        <v>2135</v>
      </c>
      <c r="D4" s="50"/>
    </row>
    <row r="5" spans="1:4" ht="16.5" thickTop="1" thickBot="1" x14ac:dyDescent="0.25">
      <c r="A5" s="648" t="str">
        <f>CONCATENATE(Results!C40,".png")</f>
        <v>Cont1.png</v>
      </c>
      <c r="B5" s="50"/>
      <c r="C5" s="169" t="s">
        <v>2136</v>
      </c>
      <c r="D5" s="50"/>
    </row>
    <row r="6" spans="1:4" ht="15.75" thickBot="1" x14ac:dyDescent="0.25">
      <c r="C6" s="647" t="s">
        <v>492</v>
      </c>
    </row>
    <row r="7" spans="1:4" ht="15.75" thickBot="1" x14ac:dyDescent="0.25">
      <c r="A7" s="171" t="s">
        <v>1634</v>
      </c>
      <c r="C7" s="647" t="s">
        <v>493</v>
      </c>
    </row>
    <row r="8" spans="1:4" ht="16.5" thickTop="1" thickBot="1" x14ac:dyDescent="0.25">
      <c r="A8" s="648" t="str">
        <f>CONCATENATE("Figuras\", Results!C40,".py")</f>
        <v>Figuras\Cont1.py</v>
      </c>
      <c r="C8" s="647" t="s">
        <v>494</v>
      </c>
    </row>
    <row r="9" spans="1:4" ht="15.75" thickBot="1" x14ac:dyDescent="0.25">
      <c r="C9" s="647" t="s">
        <v>495</v>
      </c>
    </row>
    <row r="10" spans="1:4" ht="15.75" thickBot="1" x14ac:dyDescent="0.25">
      <c r="A10" s="171" t="s">
        <v>1635</v>
      </c>
      <c r="C10" s="647" t="s">
        <v>497</v>
      </c>
    </row>
    <row r="11" spans="1:4" ht="14.25" thickTop="1" thickBot="1" x14ac:dyDescent="0.25">
      <c r="A11" s="648" t="str">
        <f>_xlfn.CONCAT(Results!C40,".sim")</f>
        <v>Cont1.sim</v>
      </c>
    </row>
    <row r="12" spans="1:4" ht="15.75" thickBot="1" x14ac:dyDescent="0.25">
      <c r="C12" s="647" t="s">
        <v>1909</v>
      </c>
    </row>
    <row r="13" spans="1:4" ht="15.75" thickBot="1" x14ac:dyDescent="0.25">
      <c r="A13" s="646" t="s">
        <v>498</v>
      </c>
      <c r="C13" s="647" t="s">
        <v>2152</v>
      </c>
    </row>
    <row r="14" spans="1:4" ht="16.5" thickTop="1" thickBot="1" x14ac:dyDescent="0.25">
      <c r="A14" s="648">
        <f>Results!$C$49</f>
        <v>24</v>
      </c>
      <c r="C14" s="647" t="s">
        <v>2195</v>
      </c>
    </row>
    <row r="15" spans="1:4" ht="15.75" thickBot="1" x14ac:dyDescent="0.25">
      <c r="A15" s="63"/>
      <c r="C15" s="647" t="s">
        <v>2196</v>
      </c>
    </row>
    <row r="16" spans="1:4" ht="13.5" thickBot="1" x14ac:dyDescent="0.25">
      <c r="A16" s="656" t="s">
        <v>500</v>
      </c>
    </row>
    <row r="17" spans="1:3" ht="15.75" thickTop="1" x14ac:dyDescent="0.2">
      <c r="A17" s="651" t="str">
        <f>'1st_Post_Processing'!$L$6</f>
        <v>Line</v>
      </c>
      <c r="C17" s="647" t="s">
        <v>501</v>
      </c>
    </row>
    <row r="18" spans="1:3" ht="15" x14ac:dyDescent="0.2">
      <c r="A18" s="652" t="str">
        <f>'1st_Post_Processing'!$L$7</f>
        <v>Stiffener1</v>
      </c>
      <c r="B18" s="650"/>
      <c r="C18" s="647" t="str">
        <f>_xlfn.CONCAT("filename_static = glob.glob(fr'{workspace_dir}\",$A$2,"')[0]")</f>
        <v>filename_static = glob.glob(fr'{workspace_dir}\Estatico.sim')[0]</v>
      </c>
    </row>
    <row r="19" spans="1:3" ht="13.5" thickBot="1" x14ac:dyDescent="0.25">
      <c r="A19" s="658" t="str">
        <f>'1st_Post_Processing'!$L$8</f>
        <v>P7000048060</v>
      </c>
    </row>
    <row r="20" spans="1:3" ht="15" x14ac:dyDescent="0.2">
      <c r="C20" s="647" t="s">
        <v>1103</v>
      </c>
    </row>
    <row r="21" spans="1:3" ht="15" x14ac:dyDescent="0.2">
      <c r="B21" s="650"/>
      <c r="C21" s="647" t="str">
        <f>_xlfn.CONCAT("filename_cont = glob.glob(fr'{workspace_dir}\",$A$11,"')[0]")</f>
        <v>filename_cont = glob.glob(fr'{workspace_dir}\Cont1.sim')[0]</v>
      </c>
    </row>
    <row r="23" spans="1:3" ht="15" x14ac:dyDescent="0.2">
      <c r="C23" s="647" t="s">
        <v>502</v>
      </c>
    </row>
    <row r="24" spans="1:3" ht="15" x14ac:dyDescent="0.2">
      <c r="B24" s="650"/>
      <c r="C24" s="647" t="str">
        <f>_xlfn.CONCAT("pngname = fr'{figure_dir}\",$A$5,"'")</f>
        <v>pngname = fr'{figure_dir}\Cont1.png'</v>
      </c>
    </row>
    <row r="27" spans="1:3" ht="15" x14ac:dyDescent="0.2">
      <c r="C27" s="647" t="s">
        <v>504</v>
      </c>
    </row>
    <row r="29" spans="1:3" ht="15" x14ac:dyDescent="0.2">
      <c r="C29" s="647" t="s">
        <v>505</v>
      </c>
    </row>
    <row r="30" spans="1:3" ht="15" x14ac:dyDescent="0.2">
      <c r="C30" s="647" t="s">
        <v>506</v>
      </c>
    </row>
    <row r="31" spans="1:3" ht="15" x14ac:dyDescent="0.2">
      <c r="C31" s="647" t="s">
        <v>507</v>
      </c>
    </row>
    <row r="33" spans="3:3" ht="15" x14ac:dyDescent="0.2">
      <c r="C33" s="647" t="s">
        <v>508</v>
      </c>
    </row>
    <row r="34" spans="3:3" ht="15" x14ac:dyDescent="0.2">
      <c r="C34" s="647" t="s">
        <v>509</v>
      </c>
    </row>
    <row r="35" spans="3:3" ht="15" x14ac:dyDescent="0.2">
      <c r="C35" s="647" t="s">
        <v>510</v>
      </c>
    </row>
    <row r="36" spans="3:3" ht="15" x14ac:dyDescent="0.2">
      <c r="C36" s="647" t="s">
        <v>511</v>
      </c>
    </row>
    <row r="37" spans="3:3" ht="15" x14ac:dyDescent="0.2">
      <c r="C37" s="647" t="s">
        <v>512</v>
      </c>
    </row>
    <row r="39" spans="3:3" ht="15" x14ac:dyDescent="0.2">
      <c r="C39" s="647" t="s">
        <v>2097</v>
      </c>
    </row>
    <row r="40" spans="3:3" ht="15" x14ac:dyDescent="0.2">
      <c r="C40" s="647" t="s">
        <v>516</v>
      </c>
    </row>
    <row r="42" spans="3:3" ht="15" x14ac:dyDescent="0.2">
      <c r="C42" s="647" t="s">
        <v>2098</v>
      </c>
    </row>
    <row r="43" spans="3:3" ht="15" x14ac:dyDescent="0.2">
      <c r="C43" s="647" t="s">
        <v>514</v>
      </c>
    </row>
    <row r="45" spans="3:3" ht="15" x14ac:dyDescent="0.2">
      <c r="C45" s="647" t="s">
        <v>2099</v>
      </c>
    </row>
    <row r="46" spans="3:3" ht="15" x14ac:dyDescent="0.2">
      <c r="C46" s="647" t="s">
        <v>2100</v>
      </c>
    </row>
    <row r="48" spans="3:3" ht="15" x14ac:dyDescent="0.2">
      <c r="C48" s="647" t="s">
        <v>2101</v>
      </c>
    </row>
    <row r="49" spans="2:3" ht="15" x14ac:dyDescent="0.2">
      <c r="C49" s="647" t="s">
        <v>518</v>
      </c>
    </row>
    <row r="51" spans="2:3" ht="15" x14ac:dyDescent="0.2">
      <c r="C51" s="647" t="s">
        <v>545</v>
      </c>
    </row>
    <row r="52" spans="2:3" ht="15" x14ac:dyDescent="0.2">
      <c r="C52" s="647" t="s">
        <v>2102</v>
      </c>
    </row>
    <row r="54" spans="2:3" ht="15" x14ac:dyDescent="0.2">
      <c r="C54" s="647" t="s">
        <v>547</v>
      </c>
    </row>
    <row r="56" spans="2:3" ht="15" x14ac:dyDescent="0.2">
      <c r="C56" s="647" t="s">
        <v>1104</v>
      </c>
    </row>
    <row r="57" spans="2:3" ht="15" x14ac:dyDescent="0.2">
      <c r="C57" s="647" t="s">
        <v>1105</v>
      </c>
    </row>
    <row r="59" spans="2:3" ht="15" x14ac:dyDescent="0.2">
      <c r="C59" s="647" t="s">
        <v>574</v>
      </c>
    </row>
    <row r="60" spans="2:3" ht="15" x14ac:dyDescent="0.2">
      <c r="B60" s="650"/>
      <c r="C60" s="647" t="str">
        <f>_xlfn.CONCAT("vcm1=model_2['",$A$19,"']")</f>
        <v>vcm1=model_2['P7000048060']</v>
      </c>
    </row>
    <row r="62" spans="2:3" ht="15" x14ac:dyDescent="0.2">
      <c r="C62" s="647" t="s">
        <v>575</v>
      </c>
    </row>
    <row r="63" spans="2:3" ht="15" x14ac:dyDescent="0.2">
      <c r="B63" s="650"/>
      <c r="C63" s="647" t="str">
        <f>_xlfn.CONCAT("line1=model_2['",$A$17,"']")</f>
        <v>line1=model_2['Line']</v>
      </c>
    </row>
    <row r="64" spans="2:3" ht="15" x14ac:dyDescent="0.2">
      <c r="B64" s="650"/>
      <c r="C64" s="647" t="str">
        <f>_xlfn.CONCAT("att_lines=list(['",$A$18,"'])")</f>
        <v>att_lines=list(['Stiffener1'])</v>
      </c>
    </row>
    <row r="66" spans="3:3" ht="15" x14ac:dyDescent="0.2">
      <c r="C66" s="647" t="s">
        <v>657</v>
      </c>
    </row>
    <row r="67" spans="3:3" ht="15" x14ac:dyDescent="0.2">
      <c r="C67" s="647" t="s">
        <v>658</v>
      </c>
    </row>
    <row r="68" spans="3:3" ht="15" x14ac:dyDescent="0.2">
      <c r="C68" s="647" t="s">
        <v>659</v>
      </c>
    </row>
    <row r="69" spans="3:3" ht="15" x14ac:dyDescent="0.2">
      <c r="C69" s="647" t="s">
        <v>660</v>
      </c>
    </row>
    <row r="71" spans="3:3" ht="15" x14ac:dyDescent="0.2">
      <c r="C71" s="647" t="s">
        <v>673</v>
      </c>
    </row>
    <row r="72" spans="3:3" ht="15" x14ac:dyDescent="0.2">
      <c r="C72" s="647" t="s">
        <v>674</v>
      </c>
    </row>
    <row r="73" spans="3:3" ht="15" x14ac:dyDescent="0.2">
      <c r="C73" s="647" t="s">
        <v>675</v>
      </c>
    </row>
    <row r="74" spans="3:3" ht="15" x14ac:dyDescent="0.2">
      <c r="C74" s="647" t="s">
        <v>676</v>
      </c>
    </row>
    <row r="75" spans="3:3" ht="15" x14ac:dyDescent="0.2">
      <c r="C75" s="647" t="s">
        <v>1106</v>
      </c>
    </row>
    <row r="76" spans="3:3" ht="15" x14ac:dyDescent="0.2">
      <c r="C76" s="647" t="s">
        <v>684</v>
      </c>
    </row>
    <row r="77" spans="3:3" ht="15" x14ac:dyDescent="0.2">
      <c r="C77" s="647" t="s">
        <v>685</v>
      </c>
    </row>
    <row r="78" spans="3:3" ht="15" x14ac:dyDescent="0.2">
      <c r="C78" s="647" t="s">
        <v>686</v>
      </c>
    </row>
    <row r="79" spans="3:3" ht="15" x14ac:dyDescent="0.2">
      <c r="C79" s="647" t="s">
        <v>687</v>
      </c>
    </row>
    <row r="80" spans="3:3" ht="15" x14ac:dyDescent="0.2">
      <c r="C80" s="647" t="s">
        <v>688</v>
      </c>
    </row>
    <row r="81" spans="3:3" ht="15" x14ac:dyDescent="0.2">
      <c r="C81" s="647" t="s">
        <v>1108</v>
      </c>
    </row>
    <row r="82" spans="3:3" ht="15" x14ac:dyDescent="0.2">
      <c r="C82" s="647" t="s">
        <v>568</v>
      </c>
    </row>
    <row r="83" spans="3:3" ht="15" x14ac:dyDescent="0.2">
      <c r="C83" s="647" t="s">
        <v>696</v>
      </c>
    </row>
    <row r="84" spans="3:3" ht="15" x14ac:dyDescent="0.2">
      <c r="C84" s="647" t="s">
        <v>1109</v>
      </c>
    </row>
    <row r="85" spans="3:3" ht="15" x14ac:dyDescent="0.2">
      <c r="C85" s="647" t="s">
        <v>698</v>
      </c>
    </row>
    <row r="86" spans="3:3" ht="15" x14ac:dyDescent="0.2">
      <c r="C86" s="647" t="s">
        <v>699</v>
      </c>
    </row>
    <row r="87" spans="3:3" ht="15" x14ac:dyDescent="0.2">
      <c r="C87" s="647" t="s">
        <v>685</v>
      </c>
    </row>
    <row r="88" spans="3:3" ht="15" x14ac:dyDescent="0.2">
      <c r="C88" s="647" t="s">
        <v>686</v>
      </c>
    </row>
    <row r="89" spans="3:3" ht="15" x14ac:dyDescent="0.2">
      <c r="C89" s="647" t="s">
        <v>687</v>
      </c>
    </row>
    <row r="90" spans="3:3" ht="15" x14ac:dyDescent="0.2">
      <c r="C90" s="647" t="s">
        <v>700</v>
      </c>
    </row>
    <row r="91" spans="3:3" ht="15" x14ac:dyDescent="0.2">
      <c r="C91" s="647" t="s">
        <v>701</v>
      </c>
    </row>
    <row r="92" spans="3:3" ht="15" x14ac:dyDescent="0.2">
      <c r="C92" s="647" t="s">
        <v>702</v>
      </c>
    </row>
    <row r="93" spans="3:3" ht="15" x14ac:dyDescent="0.2">
      <c r="C93" s="647" t="s">
        <v>703</v>
      </c>
    </row>
    <row r="94" spans="3:3" ht="15" x14ac:dyDescent="0.2">
      <c r="C94" s="647" t="s">
        <v>704</v>
      </c>
    </row>
    <row r="95" spans="3:3" ht="15" x14ac:dyDescent="0.2">
      <c r="C95" s="647" t="s">
        <v>1110</v>
      </c>
    </row>
    <row r="96" spans="3:3" ht="15" x14ac:dyDescent="0.2">
      <c r="C96" s="647" t="s">
        <v>706</v>
      </c>
    </row>
    <row r="97" spans="3:3" ht="15" x14ac:dyDescent="0.2">
      <c r="C97" s="647" t="s">
        <v>568</v>
      </c>
    </row>
    <row r="98" spans="3:3" ht="15" x14ac:dyDescent="0.2">
      <c r="C98" s="647" t="s">
        <v>707</v>
      </c>
    </row>
    <row r="99" spans="3:3" ht="15" x14ac:dyDescent="0.2">
      <c r="C99" s="647" t="s">
        <v>1111</v>
      </c>
    </row>
    <row r="100" spans="3:3" ht="15" x14ac:dyDescent="0.2">
      <c r="C100" s="647" t="s">
        <v>709</v>
      </c>
    </row>
    <row r="101" spans="3:3" ht="15" x14ac:dyDescent="0.2">
      <c r="C101" s="647" t="s">
        <v>685</v>
      </c>
    </row>
    <row r="102" spans="3:3" ht="15" x14ac:dyDescent="0.2">
      <c r="C102" s="647" t="s">
        <v>686</v>
      </c>
    </row>
    <row r="103" spans="3:3" ht="15" x14ac:dyDescent="0.2">
      <c r="C103" s="647" t="s">
        <v>687</v>
      </c>
    </row>
    <row r="104" spans="3:3" ht="15" x14ac:dyDescent="0.2">
      <c r="C104" s="647" t="s">
        <v>1112</v>
      </c>
    </row>
    <row r="105" spans="3:3" ht="15" x14ac:dyDescent="0.2">
      <c r="C105" s="647" t="s">
        <v>1113</v>
      </c>
    </row>
    <row r="106" spans="3:3" ht="15" x14ac:dyDescent="0.2">
      <c r="C106" s="647" t="s">
        <v>568</v>
      </c>
    </row>
    <row r="107" spans="3:3" ht="15" x14ac:dyDescent="0.2">
      <c r="C107" s="647" t="s">
        <v>1114</v>
      </c>
    </row>
    <row r="108" spans="3:3" ht="15" x14ac:dyDescent="0.2">
      <c r="C108" s="647" t="s">
        <v>713</v>
      </c>
    </row>
    <row r="109" spans="3:3" ht="15" x14ac:dyDescent="0.2">
      <c r="C109" s="647" t="s">
        <v>685</v>
      </c>
    </row>
    <row r="110" spans="3:3" ht="15" x14ac:dyDescent="0.2">
      <c r="C110" s="647" t="s">
        <v>686</v>
      </c>
    </row>
    <row r="111" spans="3:3" ht="15" x14ac:dyDescent="0.2">
      <c r="C111" s="647" t="s">
        <v>687</v>
      </c>
    </row>
    <row r="112" spans="3:3" ht="15" x14ac:dyDescent="0.2">
      <c r="C112" s="647" t="s">
        <v>701</v>
      </c>
    </row>
    <row r="113" spans="3:3" ht="15" x14ac:dyDescent="0.2">
      <c r="C113" s="647" t="s">
        <v>702</v>
      </c>
    </row>
    <row r="114" spans="3:3" ht="15" x14ac:dyDescent="0.2">
      <c r="C114" s="647" t="s">
        <v>703</v>
      </c>
    </row>
    <row r="115" spans="3:3" ht="15" x14ac:dyDescent="0.2">
      <c r="C115" s="647" t="s">
        <v>704</v>
      </c>
    </row>
    <row r="116" spans="3:3" ht="15" x14ac:dyDescent="0.2">
      <c r="C116" s="647" t="s">
        <v>1110</v>
      </c>
    </row>
    <row r="117" spans="3:3" ht="15" x14ac:dyDescent="0.2">
      <c r="C117" s="647" t="s">
        <v>1115</v>
      </c>
    </row>
    <row r="118" spans="3:3" ht="15" x14ac:dyDescent="0.2">
      <c r="C118" s="647" t="s">
        <v>715</v>
      </c>
    </row>
    <row r="119" spans="3:3" ht="15" x14ac:dyDescent="0.2">
      <c r="C119" s="647" t="s">
        <v>1116</v>
      </c>
    </row>
    <row r="120" spans="3:3" ht="15" x14ac:dyDescent="0.2">
      <c r="C120" s="647" t="s">
        <v>1117</v>
      </c>
    </row>
    <row r="121" spans="3:3" ht="15" x14ac:dyDescent="0.2">
      <c r="C121" s="647" t="s">
        <v>1118</v>
      </c>
    </row>
    <row r="122" spans="3:3" ht="15" x14ac:dyDescent="0.2">
      <c r="C122" s="647" t="s">
        <v>1119</v>
      </c>
    </row>
    <row r="123" spans="3:3" ht="15" x14ac:dyDescent="0.2">
      <c r="C123" s="647" t="s">
        <v>720</v>
      </c>
    </row>
    <row r="124" spans="3:3" ht="15" x14ac:dyDescent="0.2">
      <c r="C124" s="647" t="s">
        <v>721</v>
      </c>
    </row>
    <row r="125" spans="3:3" ht="15" x14ac:dyDescent="0.2">
      <c r="C125" s="647" t="s">
        <v>722</v>
      </c>
    </row>
    <row r="126" spans="3:3" ht="15" x14ac:dyDescent="0.2">
      <c r="C126" s="647" t="s">
        <v>723</v>
      </c>
    </row>
    <row r="127" spans="3:3" ht="15" x14ac:dyDescent="0.2">
      <c r="C127" s="647" t="s">
        <v>724</v>
      </c>
    </row>
    <row r="128" spans="3:3" ht="15" x14ac:dyDescent="0.2">
      <c r="C128" s="647" t="s">
        <v>725</v>
      </c>
    </row>
    <row r="129" spans="2:3" ht="15" x14ac:dyDescent="0.2">
      <c r="C129" s="647" t="s">
        <v>1120</v>
      </c>
    </row>
    <row r="130" spans="2:3" ht="15" x14ac:dyDescent="0.2">
      <c r="C130" s="647" t="s">
        <v>1121</v>
      </c>
    </row>
    <row r="131" spans="2:3" ht="15" x14ac:dyDescent="0.2">
      <c r="C131" s="647" t="s">
        <v>728</v>
      </c>
    </row>
    <row r="132" spans="2:3" ht="15" x14ac:dyDescent="0.2">
      <c r="C132" s="647" t="s">
        <v>1122</v>
      </c>
    </row>
    <row r="134" spans="2:3" ht="15" x14ac:dyDescent="0.2">
      <c r="C134" s="647" t="s">
        <v>845</v>
      </c>
    </row>
    <row r="136" spans="2:3" ht="15" x14ac:dyDescent="0.2">
      <c r="C136" s="647" t="s">
        <v>572</v>
      </c>
    </row>
    <row r="137" spans="2:3" ht="15" x14ac:dyDescent="0.2">
      <c r="C137" s="647" t="s">
        <v>1123</v>
      </c>
    </row>
    <row r="139" spans="2:3" ht="15" x14ac:dyDescent="0.2">
      <c r="C139" s="647" t="s">
        <v>574</v>
      </c>
    </row>
    <row r="140" spans="2:3" ht="15" x14ac:dyDescent="0.2">
      <c r="B140" s="650"/>
      <c r="C140" s="647" t="str">
        <f>_xlfn.CONCAT("vcm1=model['",$A$19,"']")</f>
        <v>vcm1=model['P7000048060']</v>
      </c>
    </row>
    <row r="142" spans="2:3" ht="15" x14ac:dyDescent="0.2">
      <c r="C142" s="647" t="s">
        <v>575</v>
      </c>
    </row>
    <row r="143" spans="2:3" ht="15" x14ac:dyDescent="0.2">
      <c r="B143" s="650"/>
      <c r="C143" s="647" t="str">
        <f>_xlfn.CONCAT("line1=model['",$A$17,"']")</f>
        <v>line1=model['Line']</v>
      </c>
    </row>
    <row r="144" spans="2:3" ht="15" x14ac:dyDescent="0.2">
      <c r="B144" s="650"/>
      <c r="C144" s="647" t="str">
        <f>_xlfn.CONCAT("att_lines=list(['",$A$18,"'])")</f>
        <v>att_lines=list(['Stiffener1'])</v>
      </c>
    </row>
    <row r="145" spans="3:3" ht="15" x14ac:dyDescent="0.2">
      <c r="C145" s="647" t="s">
        <v>2103</v>
      </c>
    </row>
    <row r="146" spans="3:3" ht="15" x14ac:dyDescent="0.2">
      <c r="C146" s="647" t="s">
        <v>1954</v>
      </c>
    </row>
    <row r="147" spans="3:3" ht="15" x14ac:dyDescent="0.2">
      <c r="C147" s="647" t="s">
        <v>1955</v>
      </c>
    </row>
    <row r="148" spans="3:3" ht="15" x14ac:dyDescent="0.2">
      <c r="C148" s="647" t="s">
        <v>607</v>
      </c>
    </row>
    <row r="149" spans="3:3" ht="15" x14ac:dyDescent="0.2">
      <c r="C149" s="647" t="s">
        <v>608</v>
      </c>
    </row>
    <row r="151" spans="3:3" ht="15" x14ac:dyDescent="0.2">
      <c r="C151" s="647" t="s">
        <v>609</v>
      </c>
    </row>
    <row r="152" spans="3:3" ht="15" x14ac:dyDescent="0.2">
      <c r="C152" s="647" t="s">
        <v>610</v>
      </c>
    </row>
    <row r="153" spans="3:3" ht="15" x14ac:dyDescent="0.2">
      <c r="C153" s="647" t="s">
        <v>611</v>
      </c>
    </row>
    <row r="154" spans="3:3" ht="15" x14ac:dyDescent="0.2">
      <c r="C154" s="647" t="s">
        <v>612</v>
      </c>
    </row>
    <row r="155" spans="3:3" ht="15" x14ac:dyDescent="0.2">
      <c r="C155" s="647" t="s">
        <v>613</v>
      </c>
    </row>
    <row r="156" spans="3:3" ht="15" x14ac:dyDescent="0.2">
      <c r="C156" s="647" t="s">
        <v>614</v>
      </c>
    </row>
    <row r="157" spans="3:3" ht="15" x14ac:dyDescent="0.2">
      <c r="C157" s="647" t="s">
        <v>615</v>
      </c>
    </row>
    <row r="158" spans="3:3" ht="15" x14ac:dyDescent="0.2">
      <c r="C158" s="647" t="s">
        <v>616</v>
      </c>
    </row>
    <row r="159" spans="3:3" ht="15" x14ac:dyDescent="0.2">
      <c r="C159" s="647" t="s">
        <v>617</v>
      </c>
    </row>
    <row r="160" spans="3:3" ht="15" x14ac:dyDescent="0.2">
      <c r="C160" s="647" t="s">
        <v>618</v>
      </c>
    </row>
    <row r="161" spans="3:3" ht="15" x14ac:dyDescent="0.2">
      <c r="C161" s="647" t="s">
        <v>619</v>
      </c>
    </row>
    <row r="162" spans="3:3" ht="15" x14ac:dyDescent="0.2">
      <c r="C162" s="647" t="s">
        <v>620</v>
      </c>
    </row>
    <row r="164" spans="3:3" ht="15" x14ac:dyDescent="0.2">
      <c r="C164" s="647" t="s">
        <v>621</v>
      </c>
    </row>
    <row r="165" spans="3:3" ht="15" x14ac:dyDescent="0.2">
      <c r="C165" s="647" t="s">
        <v>622</v>
      </c>
    </row>
    <row r="166" spans="3:3" ht="15" x14ac:dyDescent="0.2">
      <c r="C166" s="647" t="s">
        <v>623</v>
      </c>
    </row>
    <row r="167" spans="3:3" ht="15" x14ac:dyDescent="0.2">
      <c r="C167" s="647" t="s">
        <v>624</v>
      </c>
    </row>
    <row r="168" spans="3:3" ht="15" x14ac:dyDescent="0.2">
      <c r="C168" s="647" t="s">
        <v>625</v>
      </c>
    </row>
    <row r="169" spans="3:3" ht="15" x14ac:dyDescent="0.2">
      <c r="C169" s="647" t="s">
        <v>626</v>
      </c>
    </row>
    <row r="170" spans="3:3" ht="15" x14ac:dyDescent="0.2">
      <c r="C170" s="647" t="s">
        <v>627</v>
      </c>
    </row>
    <row r="171" spans="3:3" ht="15" x14ac:dyDescent="0.2">
      <c r="C171" s="647" t="s">
        <v>619</v>
      </c>
    </row>
    <row r="172" spans="3:3" ht="15" x14ac:dyDescent="0.2">
      <c r="C172" s="647" t="s">
        <v>628</v>
      </c>
    </row>
    <row r="173" spans="3:3" ht="15" x14ac:dyDescent="0.2">
      <c r="C173" s="647" t="s">
        <v>629</v>
      </c>
    </row>
    <row r="174" spans="3:3" ht="15" x14ac:dyDescent="0.2">
      <c r="C174" s="647" t="s">
        <v>630</v>
      </c>
    </row>
    <row r="175" spans="3:3" ht="15" x14ac:dyDescent="0.2">
      <c r="C175" s="647" t="s">
        <v>631</v>
      </c>
    </row>
    <row r="177" spans="3:3" ht="15" x14ac:dyDescent="0.2">
      <c r="C177" s="647" t="s">
        <v>632</v>
      </c>
    </row>
    <row r="178" spans="3:3" ht="15" x14ac:dyDescent="0.2">
      <c r="C178" s="647" t="s">
        <v>633</v>
      </c>
    </row>
    <row r="179" spans="3:3" ht="15" x14ac:dyDescent="0.2">
      <c r="C179" s="647" t="s">
        <v>634</v>
      </c>
    </row>
    <row r="180" spans="3:3" ht="15" x14ac:dyDescent="0.2">
      <c r="C180" s="647" t="s">
        <v>635</v>
      </c>
    </row>
    <row r="181" spans="3:3" ht="15" x14ac:dyDescent="0.2">
      <c r="C181" s="647" t="s">
        <v>636</v>
      </c>
    </row>
    <row r="182" spans="3:3" ht="15" x14ac:dyDescent="0.2">
      <c r="C182" s="647" t="s">
        <v>637</v>
      </c>
    </row>
    <row r="183" spans="3:3" ht="15" x14ac:dyDescent="0.2">
      <c r="C183" s="647" t="s">
        <v>638</v>
      </c>
    </row>
    <row r="185" spans="3:3" ht="15" x14ac:dyDescent="0.2">
      <c r="C185" s="647" t="s">
        <v>639</v>
      </c>
    </row>
    <row r="186" spans="3:3" ht="15" x14ac:dyDescent="0.2">
      <c r="C186" s="647" t="s">
        <v>640</v>
      </c>
    </row>
    <row r="187" spans="3:3" ht="15" x14ac:dyDescent="0.2">
      <c r="C187" s="647" t="s">
        <v>641</v>
      </c>
    </row>
    <row r="189" spans="3:3" ht="15" x14ac:dyDescent="0.2">
      <c r="C189" s="647" t="s">
        <v>642</v>
      </c>
    </row>
    <row r="190" spans="3:3" ht="15" x14ac:dyDescent="0.2">
      <c r="C190" s="647" t="s">
        <v>643</v>
      </c>
    </row>
    <row r="191" spans="3:3" ht="15" x14ac:dyDescent="0.2">
      <c r="C191" s="647" t="s">
        <v>644</v>
      </c>
    </row>
    <row r="192" spans="3:3" ht="15" x14ac:dyDescent="0.2">
      <c r="C192" s="647" t="s">
        <v>645</v>
      </c>
    </row>
    <row r="193" spans="3:3" ht="15" x14ac:dyDescent="0.2">
      <c r="C193" s="647" t="s">
        <v>646</v>
      </c>
    </row>
    <row r="194" spans="3:3" ht="15" x14ac:dyDescent="0.2">
      <c r="C194" s="647" t="s">
        <v>1129</v>
      </c>
    </row>
    <row r="195" spans="3:3" ht="15" x14ac:dyDescent="0.2">
      <c r="C195" s="647" t="s">
        <v>651</v>
      </c>
    </row>
    <row r="197" spans="3:3" ht="15" x14ac:dyDescent="0.2">
      <c r="C197" s="647" t="s">
        <v>652</v>
      </c>
    </row>
    <row r="198" spans="3:3" ht="15" x14ac:dyDescent="0.2">
      <c r="C198" s="647" t="s">
        <v>653</v>
      </c>
    </row>
    <row r="200" spans="3:3" ht="15" x14ac:dyDescent="0.2">
      <c r="C200" s="647" t="s">
        <v>654</v>
      </c>
    </row>
    <row r="201" spans="3:3" ht="15" x14ac:dyDescent="0.2">
      <c r="C201" s="647" t="s">
        <v>655</v>
      </c>
    </row>
    <row r="202" spans="3:3" ht="15" x14ac:dyDescent="0.2">
      <c r="C202" s="647" t="s">
        <v>656</v>
      </c>
    </row>
    <row r="204" spans="3:3" ht="15" x14ac:dyDescent="0.2">
      <c r="C204" s="647" t="s">
        <v>657</v>
      </c>
    </row>
    <row r="205" spans="3:3" ht="15" x14ac:dyDescent="0.2">
      <c r="C205" s="647" t="s">
        <v>658</v>
      </c>
    </row>
    <row r="206" spans="3:3" ht="15" x14ac:dyDescent="0.2">
      <c r="C206" s="647" t="s">
        <v>659</v>
      </c>
    </row>
    <row r="207" spans="3:3" ht="15" x14ac:dyDescent="0.2">
      <c r="C207" s="647" t="s">
        <v>660</v>
      </c>
    </row>
    <row r="209" spans="3:3" ht="15" x14ac:dyDescent="0.2">
      <c r="C209" s="647" t="s">
        <v>661</v>
      </c>
    </row>
    <row r="210" spans="3:3" ht="15" x14ac:dyDescent="0.2">
      <c r="C210" s="647" t="s">
        <v>662</v>
      </c>
    </row>
    <row r="211" spans="3:3" ht="15" x14ac:dyDescent="0.2">
      <c r="C211" s="647" t="s">
        <v>663</v>
      </c>
    </row>
    <row r="212" spans="3:3" ht="15" x14ac:dyDescent="0.2">
      <c r="C212" s="647" t="s">
        <v>664</v>
      </c>
    </row>
    <row r="213" spans="3:3" ht="15" x14ac:dyDescent="0.2">
      <c r="C213" s="647" t="s">
        <v>623</v>
      </c>
    </row>
    <row r="214" spans="3:3" ht="15" x14ac:dyDescent="0.2">
      <c r="C214" s="647" t="s">
        <v>624</v>
      </c>
    </row>
    <row r="215" spans="3:3" ht="15" x14ac:dyDescent="0.2">
      <c r="C215" s="647" t="s">
        <v>665</v>
      </c>
    </row>
    <row r="216" spans="3:3" ht="15" x14ac:dyDescent="0.2">
      <c r="C216" s="647" t="s">
        <v>666</v>
      </c>
    </row>
    <row r="217" spans="3:3" ht="15" x14ac:dyDescent="0.2">
      <c r="C217" s="647" t="s">
        <v>667</v>
      </c>
    </row>
    <row r="218" spans="3:3" ht="15" x14ac:dyDescent="0.2">
      <c r="C218" s="647" t="s">
        <v>1956</v>
      </c>
    </row>
    <row r="219" spans="3:3" ht="15" x14ac:dyDescent="0.2">
      <c r="C219" s="647" t="s">
        <v>1957</v>
      </c>
    </row>
    <row r="220" spans="3:3" ht="15" x14ac:dyDescent="0.2">
      <c r="C220" s="647" t="s">
        <v>1958</v>
      </c>
    </row>
    <row r="221" spans="3:3" ht="15" x14ac:dyDescent="0.2">
      <c r="C221" s="647" t="s">
        <v>1959</v>
      </c>
    </row>
    <row r="222" spans="3:3" ht="15" x14ac:dyDescent="0.2">
      <c r="C222" s="647" t="s">
        <v>1960</v>
      </c>
    </row>
    <row r="223" spans="3:3" ht="15" x14ac:dyDescent="0.2">
      <c r="C223" s="647" t="s">
        <v>1961</v>
      </c>
    </row>
    <row r="224" spans="3:3" ht="15" x14ac:dyDescent="0.2">
      <c r="C224" s="647" t="s">
        <v>1962</v>
      </c>
    </row>
    <row r="225" spans="3:3" ht="15" x14ac:dyDescent="0.2">
      <c r="C225" s="647" t="s">
        <v>673</v>
      </c>
    </row>
    <row r="226" spans="3:3" ht="15" x14ac:dyDescent="0.2">
      <c r="C226" s="647" t="s">
        <v>674</v>
      </c>
    </row>
    <row r="227" spans="3:3" ht="15" x14ac:dyDescent="0.2">
      <c r="C227" s="647" t="s">
        <v>675</v>
      </c>
    </row>
    <row r="228" spans="3:3" ht="15" x14ac:dyDescent="0.2">
      <c r="C228" s="647" t="s">
        <v>676</v>
      </c>
    </row>
    <row r="229" spans="3:3" ht="15" x14ac:dyDescent="0.2">
      <c r="C229" s="647" t="s">
        <v>677</v>
      </c>
    </row>
    <row r="230" spans="3:3" ht="15" x14ac:dyDescent="0.2">
      <c r="C230" s="647" t="s">
        <v>678</v>
      </c>
    </row>
    <row r="231" spans="3:3" ht="15" x14ac:dyDescent="0.2">
      <c r="C231" s="647" t="s">
        <v>679</v>
      </c>
    </row>
    <row r="232" spans="3:3" ht="15" x14ac:dyDescent="0.2">
      <c r="C232" s="647" t="s">
        <v>680</v>
      </c>
    </row>
    <row r="233" spans="3:3" ht="15" x14ac:dyDescent="0.2">
      <c r="C233" s="647" t="s">
        <v>681</v>
      </c>
    </row>
    <row r="234" spans="3:3" ht="15" x14ac:dyDescent="0.2">
      <c r="C234" s="647" t="s">
        <v>682</v>
      </c>
    </row>
    <row r="235" spans="3:3" ht="15" x14ac:dyDescent="0.2">
      <c r="C235" s="647" t="s">
        <v>683</v>
      </c>
    </row>
    <row r="236" spans="3:3" ht="15" x14ac:dyDescent="0.2">
      <c r="C236" s="647" t="s">
        <v>684</v>
      </c>
    </row>
    <row r="237" spans="3:3" ht="15" x14ac:dyDescent="0.2">
      <c r="C237" s="647" t="s">
        <v>685</v>
      </c>
    </row>
    <row r="238" spans="3:3" ht="15" x14ac:dyDescent="0.2">
      <c r="C238" s="647" t="s">
        <v>686</v>
      </c>
    </row>
    <row r="239" spans="3:3" ht="15" x14ac:dyDescent="0.2">
      <c r="C239" s="647" t="s">
        <v>687</v>
      </c>
    </row>
    <row r="240" spans="3:3" ht="15" x14ac:dyDescent="0.2">
      <c r="C240" s="647" t="s">
        <v>688</v>
      </c>
    </row>
    <row r="241" spans="3:3" ht="15" x14ac:dyDescent="0.2">
      <c r="C241" s="647" t="s">
        <v>689</v>
      </c>
    </row>
    <row r="242" spans="3:3" ht="15" x14ac:dyDescent="0.2">
      <c r="C242" s="647" t="s">
        <v>690</v>
      </c>
    </row>
    <row r="243" spans="3:3" ht="15" x14ac:dyDescent="0.2">
      <c r="C243" s="647" t="s">
        <v>691</v>
      </c>
    </row>
    <row r="244" spans="3:3" ht="15" x14ac:dyDescent="0.2">
      <c r="C244" s="647" t="s">
        <v>692</v>
      </c>
    </row>
    <row r="245" spans="3:3" ht="15" x14ac:dyDescent="0.2">
      <c r="C245" s="647" t="s">
        <v>693</v>
      </c>
    </row>
    <row r="246" spans="3:3" ht="15" x14ac:dyDescent="0.2">
      <c r="C246" s="647" t="s">
        <v>694</v>
      </c>
    </row>
    <row r="247" spans="3:3" ht="15" x14ac:dyDescent="0.2">
      <c r="C247" s="647" t="s">
        <v>695</v>
      </c>
    </row>
    <row r="248" spans="3:3" ht="15" x14ac:dyDescent="0.2">
      <c r="C248" s="647" t="s">
        <v>568</v>
      </c>
    </row>
    <row r="249" spans="3:3" ht="15" x14ac:dyDescent="0.2">
      <c r="C249" s="647" t="s">
        <v>696</v>
      </c>
    </row>
    <row r="250" spans="3:3" ht="15" x14ac:dyDescent="0.2">
      <c r="C250" s="647" t="s">
        <v>697</v>
      </c>
    </row>
    <row r="251" spans="3:3" ht="15" x14ac:dyDescent="0.2">
      <c r="C251" s="647" t="s">
        <v>698</v>
      </c>
    </row>
    <row r="252" spans="3:3" ht="15" x14ac:dyDescent="0.2">
      <c r="C252" s="647" t="s">
        <v>699</v>
      </c>
    </row>
    <row r="253" spans="3:3" ht="15" x14ac:dyDescent="0.2">
      <c r="C253" s="647" t="s">
        <v>685</v>
      </c>
    </row>
    <row r="254" spans="3:3" ht="15" x14ac:dyDescent="0.2">
      <c r="C254" s="647" t="s">
        <v>686</v>
      </c>
    </row>
    <row r="255" spans="3:3" ht="15" x14ac:dyDescent="0.2">
      <c r="C255" s="647" t="s">
        <v>687</v>
      </c>
    </row>
    <row r="256" spans="3:3" ht="15" x14ac:dyDescent="0.2">
      <c r="C256" s="647" t="s">
        <v>700</v>
      </c>
    </row>
    <row r="257" spans="3:3" ht="15" x14ac:dyDescent="0.2">
      <c r="C257" s="647" t="s">
        <v>701</v>
      </c>
    </row>
    <row r="258" spans="3:3" ht="15" x14ac:dyDescent="0.2">
      <c r="C258" s="647" t="s">
        <v>702</v>
      </c>
    </row>
    <row r="259" spans="3:3" ht="15" x14ac:dyDescent="0.2">
      <c r="C259" s="647" t="s">
        <v>703</v>
      </c>
    </row>
    <row r="260" spans="3:3" ht="15" x14ac:dyDescent="0.2">
      <c r="C260" s="647" t="s">
        <v>704</v>
      </c>
    </row>
    <row r="261" spans="3:3" ht="15" x14ac:dyDescent="0.2">
      <c r="C261" s="647" t="s">
        <v>705</v>
      </c>
    </row>
    <row r="262" spans="3:3" ht="15" x14ac:dyDescent="0.2">
      <c r="C262" s="647" t="s">
        <v>706</v>
      </c>
    </row>
    <row r="263" spans="3:3" ht="15" x14ac:dyDescent="0.2">
      <c r="C263" s="647" t="s">
        <v>568</v>
      </c>
    </row>
    <row r="264" spans="3:3" ht="15" x14ac:dyDescent="0.2">
      <c r="C264" s="647" t="s">
        <v>707</v>
      </c>
    </row>
    <row r="265" spans="3:3" ht="15" x14ac:dyDescent="0.2">
      <c r="C265" s="647" t="s">
        <v>708</v>
      </c>
    </row>
    <row r="266" spans="3:3" ht="15" x14ac:dyDescent="0.2">
      <c r="C266" s="647" t="s">
        <v>709</v>
      </c>
    </row>
    <row r="267" spans="3:3" ht="15" x14ac:dyDescent="0.2">
      <c r="C267" s="647" t="s">
        <v>685</v>
      </c>
    </row>
    <row r="268" spans="3:3" ht="15" x14ac:dyDescent="0.2">
      <c r="C268" s="647" t="s">
        <v>686</v>
      </c>
    </row>
    <row r="269" spans="3:3" ht="15" x14ac:dyDescent="0.2">
      <c r="C269" s="647" t="s">
        <v>687</v>
      </c>
    </row>
    <row r="270" spans="3:3" ht="15" x14ac:dyDescent="0.2">
      <c r="C270" s="647" t="s">
        <v>710</v>
      </c>
    </row>
    <row r="271" spans="3:3" ht="15" x14ac:dyDescent="0.2">
      <c r="C271" s="647" t="s">
        <v>711</v>
      </c>
    </row>
    <row r="272" spans="3:3" ht="15" x14ac:dyDescent="0.2">
      <c r="C272" s="647" t="s">
        <v>568</v>
      </c>
    </row>
    <row r="273" spans="3:3" ht="15" x14ac:dyDescent="0.2">
      <c r="C273" s="647" t="s">
        <v>712</v>
      </c>
    </row>
    <row r="274" spans="3:3" ht="15" x14ac:dyDescent="0.2">
      <c r="C274" s="647" t="s">
        <v>713</v>
      </c>
    </row>
    <row r="275" spans="3:3" ht="15" x14ac:dyDescent="0.2">
      <c r="C275" s="647" t="s">
        <v>685</v>
      </c>
    </row>
    <row r="276" spans="3:3" ht="15" x14ac:dyDescent="0.2">
      <c r="C276" s="647" t="s">
        <v>686</v>
      </c>
    </row>
    <row r="277" spans="3:3" ht="15" x14ac:dyDescent="0.2">
      <c r="C277" s="647" t="s">
        <v>687</v>
      </c>
    </row>
    <row r="278" spans="3:3" ht="15" x14ac:dyDescent="0.2">
      <c r="C278" s="647" t="s">
        <v>701</v>
      </c>
    </row>
    <row r="279" spans="3:3" ht="15" x14ac:dyDescent="0.2">
      <c r="C279" s="647" t="s">
        <v>702</v>
      </c>
    </row>
    <row r="280" spans="3:3" ht="15" x14ac:dyDescent="0.2">
      <c r="C280" s="647" t="s">
        <v>703</v>
      </c>
    </row>
    <row r="281" spans="3:3" ht="15" x14ac:dyDescent="0.2">
      <c r="C281" s="647" t="s">
        <v>704</v>
      </c>
    </row>
    <row r="282" spans="3:3" ht="15" x14ac:dyDescent="0.2">
      <c r="C282" s="647" t="s">
        <v>705</v>
      </c>
    </row>
    <row r="283" spans="3:3" ht="15" x14ac:dyDescent="0.2">
      <c r="C283" s="647" t="s">
        <v>714</v>
      </c>
    </row>
    <row r="284" spans="3:3" ht="15" x14ac:dyDescent="0.2">
      <c r="C284" s="647" t="s">
        <v>715</v>
      </c>
    </row>
    <row r="285" spans="3:3" ht="15" x14ac:dyDescent="0.2">
      <c r="C285" s="647" t="s">
        <v>716</v>
      </c>
    </row>
    <row r="286" spans="3:3" ht="15" x14ac:dyDescent="0.2">
      <c r="C286" s="647" t="s">
        <v>717</v>
      </c>
    </row>
    <row r="287" spans="3:3" ht="15" x14ac:dyDescent="0.2">
      <c r="C287" s="647" t="s">
        <v>718</v>
      </c>
    </row>
    <row r="288" spans="3:3" ht="15" x14ac:dyDescent="0.2">
      <c r="C288" s="647" t="s">
        <v>719</v>
      </c>
    </row>
    <row r="289" spans="3:3" ht="15" x14ac:dyDescent="0.2">
      <c r="C289" s="647" t="s">
        <v>720</v>
      </c>
    </row>
    <row r="290" spans="3:3" ht="15" x14ac:dyDescent="0.2">
      <c r="C290" s="647" t="s">
        <v>721</v>
      </c>
    </row>
    <row r="291" spans="3:3" ht="15" x14ac:dyDescent="0.2">
      <c r="C291" s="647" t="s">
        <v>722</v>
      </c>
    </row>
    <row r="292" spans="3:3" ht="15" x14ac:dyDescent="0.2">
      <c r="C292" s="647" t="s">
        <v>723</v>
      </c>
    </row>
    <row r="293" spans="3:3" ht="15" x14ac:dyDescent="0.2">
      <c r="C293" s="647" t="s">
        <v>724</v>
      </c>
    </row>
    <row r="294" spans="3:3" ht="15" x14ac:dyDescent="0.2">
      <c r="C294" s="647" t="s">
        <v>725</v>
      </c>
    </row>
    <row r="295" spans="3:3" ht="15" x14ac:dyDescent="0.2">
      <c r="C295" s="647" t="s">
        <v>726</v>
      </c>
    </row>
    <row r="296" spans="3:3" ht="15" x14ac:dyDescent="0.2">
      <c r="C296" s="647" t="s">
        <v>727</v>
      </c>
    </row>
    <row r="297" spans="3:3" ht="15" x14ac:dyDescent="0.2">
      <c r="C297" s="647" t="s">
        <v>728</v>
      </c>
    </row>
    <row r="298" spans="3:3" ht="15" x14ac:dyDescent="0.2">
      <c r="C298" s="647" t="s">
        <v>729</v>
      </c>
    </row>
    <row r="299" spans="3:3" ht="15" x14ac:dyDescent="0.2">
      <c r="C299" s="647" t="s">
        <v>730</v>
      </c>
    </row>
    <row r="300" spans="3:3" ht="15" x14ac:dyDescent="0.2">
      <c r="C300" s="647" t="s">
        <v>731</v>
      </c>
    </row>
    <row r="301" spans="3:3" ht="15" x14ac:dyDescent="0.2">
      <c r="C301" s="647" t="s">
        <v>723</v>
      </c>
    </row>
    <row r="302" spans="3:3" ht="15" x14ac:dyDescent="0.2">
      <c r="C302" s="647" t="s">
        <v>732</v>
      </c>
    </row>
    <row r="303" spans="3:3" ht="15" x14ac:dyDescent="0.2">
      <c r="C303" s="647" t="s">
        <v>733</v>
      </c>
    </row>
    <row r="304" spans="3:3" ht="15" x14ac:dyDescent="0.2">
      <c r="C304" s="647" t="s">
        <v>734</v>
      </c>
    </row>
    <row r="305" spans="3:3" ht="15" x14ac:dyDescent="0.2">
      <c r="C305" s="647" t="s">
        <v>2104</v>
      </c>
    </row>
    <row r="306" spans="3:3" ht="15" x14ac:dyDescent="0.2">
      <c r="C306" s="647" t="s">
        <v>568</v>
      </c>
    </row>
    <row r="307" spans="3:3" ht="15" x14ac:dyDescent="0.2">
      <c r="C307" s="647" t="s">
        <v>736</v>
      </c>
    </row>
    <row r="308" spans="3:3" ht="15" x14ac:dyDescent="0.2">
      <c r="C308" s="647" t="s">
        <v>737</v>
      </c>
    </row>
    <row r="309" spans="3:3" ht="15" x14ac:dyDescent="0.2">
      <c r="C309" s="647" t="s">
        <v>738</v>
      </c>
    </row>
    <row r="310" spans="3:3" ht="15" x14ac:dyDescent="0.2">
      <c r="C310" s="647" t="s">
        <v>723</v>
      </c>
    </row>
    <row r="311" spans="3:3" ht="15" x14ac:dyDescent="0.2">
      <c r="C311" s="647" t="s">
        <v>739</v>
      </c>
    </row>
    <row r="312" spans="3:3" ht="15" x14ac:dyDescent="0.2">
      <c r="C312" s="647" t="s">
        <v>740</v>
      </c>
    </row>
    <row r="313" spans="3:3" ht="15" x14ac:dyDescent="0.2">
      <c r="C313" s="647" t="s">
        <v>741</v>
      </c>
    </row>
    <row r="314" spans="3:3" ht="15" x14ac:dyDescent="0.2">
      <c r="C314" s="647" t="s">
        <v>742</v>
      </c>
    </row>
    <row r="315" spans="3:3" ht="15" x14ac:dyDescent="0.2">
      <c r="C315" s="647" t="s">
        <v>743</v>
      </c>
    </row>
    <row r="316" spans="3:3" ht="15" x14ac:dyDescent="0.2">
      <c r="C316" s="647" t="s">
        <v>744</v>
      </c>
    </row>
    <row r="317" spans="3:3" ht="15" x14ac:dyDescent="0.2">
      <c r="C317" s="647" t="s">
        <v>745</v>
      </c>
    </row>
    <row r="318" spans="3:3" ht="15" x14ac:dyDescent="0.2">
      <c r="C318" s="647" t="s">
        <v>1963</v>
      </c>
    </row>
    <row r="319" spans="3:3" ht="15" x14ac:dyDescent="0.2">
      <c r="C319" s="647" t="s">
        <v>1964</v>
      </c>
    </row>
    <row r="321" spans="3:3" ht="15" x14ac:dyDescent="0.2">
      <c r="C321" s="647" t="s">
        <v>2105</v>
      </c>
    </row>
    <row r="322" spans="3:3" ht="15" x14ac:dyDescent="0.2">
      <c r="C322" s="647" t="s">
        <v>2106</v>
      </c>
    </row>
    <row r="323" spans="3:3" ht="15" x14ac:dyDescent="0.2">
      <c r="C323" s="647" t="s">
        <v>2107</v>
      </c>
    </row>
    <row r="324" spans="3:3" ht="15" x14ac:dyDescent="0.2">
      <c r="C324" s="647" t="s">
        <v>2108</v>
      </c>
    </row>
    <row r="325" spans="3:3" ht="15" x14ac:dyDescent="0.2">
      <c r="C325" s="647" t="s">
        <v>2109</v>
      </c>
    </row>
    <row r="326" spans="3:3" ht="15" x14ac:dyDescent="0.2">
      <c r="C326" s="647" t="s">
        <v>2110</v>
      </c>
    </row>
    <row r="327" spans="3:3" ht="15" x14ac:dyDescent="0.2">
      <c r="C327" s="647" t="s">
        <v>2111</v>
      </c>
    </row>
    <row r="328" spans="3:3" ht="15" x14ac:dyDescent="0.2">
      <c r="C328" s="647" t="s">
        <v>2112</v>
      </c>
    </row>
    <row r="329" spans="3:3" ht="15" x14ac:dyDescent="0.2">
      <c r="C329" s="647" t="s">
        <v>2113</v>
      </c>
    </row>
    <row r="330" spans="3:3" ht="15" x14ac:dyDescent="0.2">
      <c r="C330" s="647" t="s">
        <v>2114</v>
      </c>
    </row>
    <row r="331" spans="3:3" ht="15" x14ac:dyDescent="0.2">
      <c r="C331" s="647" t="s">
        <v>2115</v>
      </c>
    </row>
    <row r="332" spans="3:3" ht="15" x14ac:dyDescent="0.2">
      <c r="C332" s="647" t="s">
        <v>2116</v>
      </c>
    </row>
    <row r="333" spans="3:3" ht="15" x14ac:dyDescent="0.2">
      <c r="C333" s="647" t="s">
        <v>800</v>
      </c>
    </row>
    <row r="334" spans="3:3" ht="15" x14ac:dyDescent="0.2">
      <c r="C334" s="647" t="s">
        <v>845</v>
      </c>
    </row>
    <row r="336" spans="3:3" ht="15" x14ac:dyDescent="0.2">
      <c r="C336" s="647" t="s">
        <v>846</v>
      </c>
    </row>
    <row r="337" spans="3:3" ht="15" x14ac:dyDescent="0.2">
      <c r="C337" s="647" t="s">
        <v>2117</v>
      </c>
    </row>
    <row r="338" spans="3:3" ht="15" x14ac:dyDescent="0.2">
      <c r="C338" s="647" t="s">
        <v>2008</v>
      </c>
    </row>
    <row r="339" spans="3:3" ht="15" x14ac:dyDescent="0.2">
      <c r="C339" s="647" t="s">
        <v>849</v>
      </c>
    </row>
    <row r="340" spans="3:3" ht="15" x14ac:dyDescent="0.2">
      <c r="C340" s="647" t="s">
        <v>850</v>
      </c>
    </row>
    <row r="342" spans="3:3" ht="15" x14ac:dyDescent="0.2">
      <c r="C342" s="647" t="s">
        <v>851</v>
      </c>
    </row>
    <row r="343" spans="3:3" ht="15" x14ac:dyDescent="0.2">
      <c r="C343" s="647" t="s">
        <v>852</v>
      </c>
    </row>
    <row r="344" spans="3:3" ht="15" x14ac:dyDescent="0.2">
      <c r="C344" s="647" t="s">
        <v>853</v>
      </c>
    </row>
    <row r="345" spans="3:3" ht="15" x14ac:dyDescent="0.2">
      <c r="C345" s="647" t="s">
        <v>854</v>
      </c>
    </row>
    <row r="346" spans="3:3" ht="15" x14ac:dyDescent="0.2">
      <c r="C346" s="647" t="s">
        <v>855</v>
      </c>
    </row>
    <row r="347" spans="3:3" ht="15" x14ac:dyDescent="0.2">
      <c r="C347" s="647" t="s">
        <v>856</v>
      </c>
    </row>
    <row r="348" spans="3:3" ht="15" x14ac:dyDescent="0.2">
      <c r="C348" s="647" t="s">
        <v>857</v>
      </c>
    </row>
    <row r="349" spans="3:3" ht="15" x14ac:dyDescent="0.2">
      <c r="C349" s="647" t="s">
        <v>2118</v>
      </c>
    </row>
    <row r="350" spans="3:3" ht="15" x14ac:dyDescent="0.2">
      <c r="C350" s="647" t="s">
        <v>859</v>
      </c>
    </row>
    <row r="351" spans="3:3" ht="15" x14ac:dyDescent="0.2">
      <c r="C351" s="647" t="s">
        <v>860</v>
      </c>
    </row>
    <row r="352" spans="3:3" ht="15" x14ac:dyDescent="0.2">
      <c r="C352" s="647" t="s">
        <v>861</v>
      </c>
    </row>
    <row r="353" spans="3:3" ht="15" x14ac:dyDescent="0.2">
      <c r="C353" s="647" t="s">
        <v>862</v>
      </c>
    </row>
    <row r="354" spans="3:3" ht="15" x14ac:dyDescent="0.2">
      <c r="C354" s="647" t="s">
        <v>863</v>
      </c>
    </row>
    <row r="356" spans="3:3" ht="15" x14ac:dyDescent="0.2">
      <c r="C356" s="647" t="s">
        <v>864</v>
      </c>
    </row>
    <row r="358" spans="3:3" ht="15" x14ac:dyDescent="0.2">
      <c r="C358" s="647" t="s">
        <v>865</v>
      </c>
    </row>
    <row r="359" spans="3:3" ht="15" x14ac:dyDescent="0.2">
      <c r="C359" s="647" t="s">
        <v>866</v>
      </c>
    </row>
    <row r="360" spans="3:3" ht="15" x14ac:dyDescent="0.2">
      <c r="C360" s="647" t="s">
        <v>867</v>
      </c>
    </row>
    <row r="361" spans="3:3" ht="15" x14ac:dyDescent="0.2">
      <c r="C361" s="647" t="s">
        <v>868</v>
      </c>
    </row>
    <row r="362" spans="3:3" ht="15" x14ac:dyDescent="0.2">
      <c r="C362" s="647" t="s">
        <v>869</v>
      </c>
    </row>
    <row r="363" spans="3:3" ht="15" x14ac:dyDescent="0.2">
      <c r="C363" s="647" t="s">
        <v>2119</v>
      </c>
    </row>
    <row r="364" spans="3:3" ht="15" x14ac:dyDescent="0.2">
      <c r="C364" s="647" t="s">
        <v>849</v>
      </c>
    </row>
    <row r="366" spans="3:3" ht="15" x14ac:dyDescent="0.2">
      <c r="C366" s="647" t="s">
        <v>871</v>
      </c>
    </row>
    <row r="367" spans="3:3" ht="15" x14ac:dyDescent="0.2">
      <c r="C367" s="647" t="s">
        <v>872</v>
      </c>
    </row>
    <row r="369" spans="3:3" ht="15" x14ac:dyDescent="0.2">
      <c r="C369" s="647" t="s">
        <v>873</v>
      </c>
    </row>
    <row r="370" spans="3:3" ht="15" x14ac:dyDescent="0.2">
      <c r="C370" s="647" t="s">
        <v>874</v>
      </c>
    </row>
    <row r="371" spans="3:3" ht="15" x14ac:dyDescent="0.2">
      <c r="C371" s="647" t="s">
        <v>875</v>
      </c>
    </row>
    <row r="372" spans="3:3" ht="15" x14ac:dyDescent="0.2">
      <c r="C372" s="647" t="s">
        <v>876</v>
      </c>
    </row>
    <row r="373" spans="3:3" ht="15" x14ac:dyDescent="0.2">
      <c r="C373" s="647" t="s">
        <v>877</v>
      </c>
    </row>
    <row r="374" spans="3:3" ht="15" x14ac:dyDescent="0.2">
      <c r="C374" s="647" t="s">
        <v>878</v>
      </c>
    </row>
    <row r="376" spans="3:3" ht="15" x14ac:dyDescent="0.2">
      <c r="C376" s="647" t="s">
        <v>873</v>
      </c>
    </row>
    <row r="377" spans="3:3" ht="15" x14ac:dyDescent="0.2">
      <c r="C377" s="647" t="s">
        <v>879</v>
      </c>
    </row>
    <row r="378" spans="3:3" ht="15" x14ac:dyDescent="0.2">
      <c r="C378" s="647" t="s">
        <v>880</v>
      </c>
    </row>
    <row r="379" spans="3:3" ht="15" x14ac:dyDescent="0.2">
      <c r="C379" s="647" t="s">
        <v>881</v>
      </c>
    </row>
    <row r="380" spans="3:3" ht="15" x14ac:dyDescent="0.2">
      <c r="C380" s="647" t="s">
        <v>882</v>
      </c>
    </row>
    <row r="382" spans="3:3" ht="15" x14ac:dyDescent="0.2">
      <c r="C382" s="647" t="s">
        <v>883</v>
      </c>
    </row>
    <row r="383" spans="3:3" ht="15" x14ac:dyDescent="0.2">
      <c r="C383" s="647" t="s">
        <v>884</v>
      </c>
    </row>
    <row r="384" spans="3:3" ht="15" x14ac:dyDescent="0.2">
      <c r="C384" s="647" t="s">
        <v>885</v>
      </c>
    </row>
    <row r="385" spans="3:3" ht="15" x14ac:dyDescent="0.2">
      <c r="C385" s="647" t="s">
        <v>886</v>
      </c>
    </row>
    <row r="386" spans="3:3" ht="15" x14ac:dyDescent="0.2">
      <c r="C386" s="647" t="s">
        <v>887</v>
      </c>
    </row>
    <row r="388" spans="3:3" ht="15" x14ac:dyDescent="0.2">
      <c r="C388" s="647" t="s">
        <v>888</v>
      </c>
    </row>
    <row r="389" spans="3:3" ht="15" x14ac:dyDescent="0.2">
      <c r="C389" s="647" t="s">
        <v>889</v>
      </c>
    </row>
    <row r="390" spans="3:3" ht="15" x14ac:dyDescent="0.2">
      <c r="C390" s="647" t="s">
        <v>623</v>
      </c>
    </row>
    <row r="391" spans="3:3" ht="15" x14ac:dyDescent="0.2">
      <c r="C391" s="647" t="s">
        <v>624</v>
      </c>
    </row>
    <row r="392" spans="3:3" ht="15" x14ac:dyDescent="0.2">
      <c r="C392" s="647" t="s">
        <v>890</v>
      </c>
    </row>
    <row r="393" spans="3:3" ht="15" x14ac:dyDescent="0.2">
      <c r="C393" s="647" t="s">
        <v>891</v>
      </c>
    </row>
    <row r="394" spans="3:3" ht="15" x14ac:dyDescent="0.2">
      <c r="C394" s="647" t="s">
        <v>892</v>
      </c>
    </row>
    <row r="396" spans="3:3" ht="15" x14ac:dyDescent="0.2">
      <c r="C396" s="647" t="s">
        <v>893</v>
      </c>
    </row>
    <row r="397" spans="3:3" ht="15" x14ac:dyDescent="0.2">
      <c r="C397" s="647" t="s">
        <v>624</v>
      </c>
    </row>
    <row r="399" spans="3:3" ht="15" x14ac:dyDescent="0.2">
      <c r="C399" s="647" t="s">
        <v>894</v>
      </c>
    </row>
    <row r="400" spans="3:3" ht="15" x14ac:dyDescent="0.2">
      <c r="C400" s="647" t="s">
        <v>895</v>
      </c>
    </row>
    <row r="401" spans="3:3" ht="15" x14ac:dyDescent="0.2">
      <c r="C401" s="647" t="s">
        <v>896</v>
      </c>
    </row>
    <row r="403" spans="3:3" ht="15" x14ac:dyDescent="0.2">
      <c r="C403" s="647" t="s">
        <v>897</v>
      </c>
    </row>
    <row r="404" spans="3:3" ht="15" x14ac:dyDescent="0.2">
      <c r="C404" s="647" t="s">
        <v>898</v>
      </c>
    </row>
    <row r="405" spans="3:3" ht="15" x14ac:dyDescent="0.2">
      <c r="C405" s="647" t="s">
        <v>899</v>
      </c>
    </row>
    <row r="406" spans="3:3" ht="15" x14ac:dyDescent="0.2">
      <c r="C406" s="647" t="s">
        <v>900</v>
      </c>
    </row>
    <row r="407" spans="3:3" ht="15" x14ac:dyDescent="0.2">
      <c r="C407" s="647" t="s">
        <v>901</v>
      </c>
    </row>
    <row r="409" spans="3:3" ht="15" x14ac:dyDescent="0.2">
      <c r="C409" s="647" t="s">
        <v>2041</v>
      </c>
    </row>
    <row r="411" spans="3:3" ht="15" x14ac:dyDescent="0.2">
      <c r="C411" s="647" t="s">
        <v>903</v>
      </c>
    </row>
    <row r="412" spans="3:3" ht="15" x14ac:dyDescent="0.2">
      <c r="C412" s="647" t="s">
        <v>904</v>
      </c>
    </row>
    <row r="413" spans="3:3" ht="15" x14ac:dyDescent="0.2">
      <c r="C413" s="647" t="s">
        <v>2120</v>
      </c>
    </row>
    <row r="414" spans="3:3" ht="15" x14ac:dyDescent="0.2">
      <c r="C414" s="647" t="s">
        <v>906</v>
      </c>
    </row>
    <row r="415" spans="3:3" ht="15" x14ac:dyDescent="0.2">
      <c r="C415" s="647" t="s">
        <v>2121</v>
      </c>
    </row>
    <row r="416" spans="3:3" ht="15" x14ac:dyDescent="0.2">
      <c r="C416" s="647" t="s">
        <v>908</v>
      </c>
    </row>
    <row r="417" spans="3:3" ht="15" x14ac:dyDescent="0.2">
      <c r="C417" s="647" t="s">
        <v>909</v>
      </c>
    </row>
    <row r="418" spans="3:3" ht="15" x14ac:dyDescent="0.2">
      <c r="C418" s="647" t="s">
        <v>849</v>
      </c>
    </row>
    <row r="420" spans="3:3" ht="15" x14ac:dyDescent="0.2">
      <c r="C420" s="647" t="s">
        <v>2122</v>
      </c>
    </row>
    <row r="421" spans="3:3" ht="15" x14ac:dyDescent="0.2">
      <c r="C421" s="647" t="s">
        <v>2123</v>
      </c>
    </row>
    <row r="423" spans="3:3" ht="15" x14ac:dyDescent="0.2">
      <c r="C423" s="647" t="s">
        <v>903</v>
      </c>
    </row>
    <row r="424" spans="3:3" ht="15" x14ac:dyDescent="0.2">
      <c r="C424" s="647" t="s">
        <v>2046</v>
      </c>
    </row>
    <row r="425" spans="3:3" ht="15" x14ac:dyDescent="0.2">
      <c r="C425" s="647" t="s">
        <v>2124</v>
      </c>
    </row>
    <row r="426" spans="3:3" ht="15" x14ac:dyDescent="0.2">
      <c r="C426" s="647" t="s">
        <v>906</v>
      </c>
    </row>
    <row r="427" spans="3:3" ht="15" x14ac:dyDescent="0.2">
      <c r="C427" s="647" t="s">
        <v>914</v>
      </c>
    </row>
    <row r="428" spans="3:3" ht="15" x14ac:dyDescent="0.2">
      <c r="C428" s="647" t="s">
        <v>915</v>
      </c>
    </row>
    <row r="429" spans="3:3" ht="15" x14ac:dyDescent="0.2">
      <c r="C429" s="647" t="s">
        <v>1083</v>
      </c>
    </row>
    <row r="430" spans="3:3" ht="15" x14ac:dyDescent="0.2">
      <c r="C430" s="647" t="s">
        <v>916</v>
      </c>
    </row>
    <row r="431" spans="3:3" ht="15" x14ac:dyDescent="0.2">
      <c r="C431" s="647" t="s">
        <v>917</v>
      </c>
    </row>
    <row r="432" spans="3:3" ht="15" x14ac:dyDescent="0.2">
      <c r="C432" s="647" t="s">
        <v>849</v>
      </c>
    </row>
    <row r="433" spans="3:3" ht="15" x14ac:dyDescent="0.2">
      <c r="C433" s="647" t="s">
        <v>800</v>
      </c>
    </row>
    <row r="434" spans="3:3" ht="15" x14ac:dyDescent="0.2">
      <c r="C434" s="647" t="s">
        <v>2125</v>
      </c>
    </row>
    <row r="435" spans="3:3" ht="15" x14ac:dyDescent="0.2">
      <c r="C435" s="647" t="s">
        <v>903</v>
      </c>
    </row>
    <row r="436" spans="3:3" ht="15" x14ac:dyDescent="0.2">
      <c r="C436" s="647" t="s">
        <v>904</v>
      </c>
    </row>
    <row r="437" spans="3:3" ht="15" x14ac:dyDescent="0.2">
      <c r="C437" s="647" t="s">
        <v>2126</v>
      </c>
    </row>
    <row r="438" spans="3:3" ht="15" x14ac:dyDescent="0.2">
      <c r="C438" s="647" t="s">
        <v>906</v>
      </c>
    </row>
    <row r="439" spans="3:3" ht="15" x14ac:dyDescent="0.2">
      <c r="C439" s="647" t="s">
        <v>2127</v>
      </c>
    </row>
    <row r="440" spans="3:3" ht="15" x14ac:dyDescent="0.2">
      <c r="C440" s="647" t="s">
        <v>2026</v>
      </c>
    </row>
    <row r="441" spans="3:3" ht="15" x14ac:dyDescent="0.2">
      <c r="C441" s="647" t="s">
        <v>909</v>
      </c>
    </row>
    <row r="442" spans="3:3" ht="15" x14ac:dyDescent="0.2">
      <c r="C442" s="647" t="s">
        <v>849</v>
      </c>
    </row>
    <row r="444" spans="3:3" ht="15" x14ac:dyDescent="0.2">
      <c r="C444" s="647" t="s">
        <v>2128</v>
      </c>
    </row>
    <row r="445" spans="3:3" ht="15" x14ac:dyDescent="0.2">
      <c r="C445" s="647" t="s">
        <v>2129</v>
      </c>
    </row>
    <row r="447" spans="3:3" ht="15" x14ac:dyDescent="0.2">
      <c r="C447" s="647" t="s">
        <v>903</v>
      </c>
    </row>
    <row r="448" spans="3:3" ht="15" x14ac:dyDescent="0.2">
      <c r="C448" s="647" t="s">
        <v>2130</v>
      </c>
    </row>
    <row r="449" spans="3:3" ht="15" x14ac:dyDescent="0.2">
      <c r="C449" s="647" t="s">
        <v>906</v>
      </c>
    </row>
    <row r="450" spans="3:3" ht="15" x14ac:dyDescent="0.2">
      <c r="C450" s="647" t="s">
        <v>914</v>
      </c>
    </row>
    <row r="451" spans="3:3" ht="15" x14ac:dyDescent="0.2">
      <c r="C451" s="647" t="s">
        <v>915</v>
      </c>
    </row>
    <row r="452" spans="3:3" ht="15" x14ac:dyDescent="0.2">
      <c r="C452" s="647" t="s">
        <v>1083</v>
      </c>
    </row>
    <row r="453" spans="3:3" ht="15" x14ac:dyDescent="0.2">
      <c r="C453" s="647" t="s">
        <v>916</v>
      </c>
    </row>
    <row r="454" spans="3:3" ht="15" x14ac:dyDescent="0.2">
      <c r="C454" s="647" t="s">
        <v>917</v>
      </c>
    </row>
    <row r="455" spans="3:3" ht="15" x14ac:dyDescent="0.2">
      <c r="C455" s="647" t="s">
        <v>849</v>
      </c>
    </row>
    <row r="457" spans="3:3" ht="15" x14ac:dyDescent="0.2">
      <c r="C457" s="647" t="s">
        <v>919</v>
      </c>
    </row>
    <row r="458" spans="3:3" ht="15" x14ac:dyDescent="0.2">
      <c r="C458" s="647" t="s">
        <v>920</v>
      </c>
    </row>
    <row r="459" spans="3:3" ht="15" x14ac:dyDescent="0.2">
      <c r="C459" s="647" t="s">
        <v>921</v>
      </c>
    </row>
    <row r="460" spans="3:3" ht="15" x14ac:dyDescent="0.2">
      <c r="C460" s="647" t="s">
        <v>922</v>
      </c>
    </row>
    <row r="461" spans="3:3" ht="15" x14ac:dyDescent="0.2">
      <c r="C461" s="647" t="s">
        <v>923</v>
      </c>
    </row>
    <row r="462" spans="3:3" ht="15" x14ac:dyDescent="0.2">
      <c r="C462" s="647" t="s">
        <v>924</v>
      </c>
    </row>
    <row r="463" spans="3:3" ht="15" x14ac:dyDescent="0.2">
      <c r="C463" s="647" t="s">
        <v>925</v>
      </c>
    </row>
    <row r="464" spans="3:3" ht="15" x14ac:dyDescent="0.2">
      <c r="C464" s="647" t="s">
        <v>926</v>
      </c>
    </row>
    <row r="465" spans="3:3" ht="15" x14ac:dyDescent="0.2">
      <c r="C465" s="647" t="s">
        <v>927</v>
      </c>
    </row>
    <row r="466" spans="3:3" ht="15" x14ac:dyDescent="0.2">
      <c r="C466" s="647" t="s">
        <v>1137</v>
      </c>
    </row>
    <row r="467" spans="3:3" ht="15" x14ac:dyDescent="0.2">
      <c r="C467" s="647" t="s">
        <v>1138</v>
      </c>
    </row>
    <row r="468" spans="3:3" ht="15" x14ac:dyDescent="0.2">
      <c r="C468" s="647" t="s">
        <v>1139</v>
      </c>
    </row>
    <row r="469" spans="3:3" ht="15" x14ac:dyDescent="0.2">
      <c r="C469" s="647" t="s">
        <v>1140</v>
      </c>
    </row>
    <row r="470" spans="3:3" ht="15" x14ac:dyDescent="0.2">
      <c r="C470" s="647" t="s">
        <v>1141</v>
      </c>
    </row>
    <row r="471" spans="3:3" ht="15" x14ac:dyDescent="0.2">
      <c r="C471" s="647" t="s">
        <v>2131</v>
      </c>
    </row>
    <row r="472" spans="3:3" ht="15" x14ac:dyDescent="0.2">
      <c r="C472" s="647" t="s">
        <v>2132</v>
      </c>
    </row>
    <row r="473" spans="3:3" ht="15" x14ac:dyDescent="0.2">
      <c r="C473" s="647" t="s">
        <v>1143</v>
      </c>
    </row>
    <row r="474" spans="3:3" ht="15" x14ac:dyDescent="0.2">
      <c r="C474" s="647" t="s">
        <v>1144</v>
      </c>
    </row>
    <row r="475" spans="3:3" ht="15" x14ac:dyDescent="0.2">
      <c r="C475" s="647" t="s">
        <v>928</v>
      </c>
    </row>
    <row r="476" spans="3:3" ht="15" x14ac:dyDescent="0.2">
      <c r="C476" s="647" t="s">
        <v>929</v>
      </c>
    </row>
    <row r="477" spans="3:3" ht="15" x14ac:dyDescent="0.2">
      <c r="C477" s="647" t="s">
        <v>930</v>
      </c>
    </row>
    <row r="478" spans="3:3" ht="15" x14ac:dyDescent="0.2">
      <c r="C478" s="647" t="s">
        <v>931</v>
      </c>
    </row>
    <row r="479" spans="3:3" ht="15" x14ac:dyDescent="0.2">
      <c r="C479" s="647" t="s">
        <v>932</v>
      </c>
    </row>
    <row r="480" spans="3:3" ht="15" x14ac:dyDescent="0.2">
      <c r="C480" s="647" t="s">
        <v>933</v>
      </c>
    </row>
    <row r="481" spans="3:3" ht="15" x14ac:dyDescent="0.2">
      <c r="C481" s="647" t="s">
        <v>934</v>
      </c>
    </row>
    <row r="482" spans="3:3" ht="15" x14ac:dyDescent="0.2">
      <c r="C482" s="647" t="s">
        <v>935</v>
      </c>
    </row>
    <row r="483" spans="3:3" ht="15" x14ac:dyDescent="0.2">
      <c r="C483" s="647" t="s">
        <v>936</v>
      </c>
    </row>
    <row r="484" spans="3:3" ht="15" x14ac:dyDescent="0.2">
      <c r="C484" s="647" t="s">
        <v>937</v>
      </c>
    </row>
    <row r="485" spans="3:3" ht="15" x14ac:dyDescent="0.2">
      <c r="C485" s="647" t="s">
        <v>938</v>
      </c>
    </row>
    <row r="486" spans="3:3" ht="15" x14ac:dyDescent="0.2">
      <c r="C486" s="647" t="s">
        <v>939</v>
      </c>
    </row>
    <row r="487" spans="3:3" ht="15" x14ac:dyDescent="0.2">
      <c r="C487" s="647" t="s">
        <v>940</v>
      </c>
    </row>
    <row r="488" spans="3:3" ht="15" x14ac:dyDescent="0.2">
      <c r="C488" s="647" t="s">
        <v>777</v>
      </c>
    </row>
    <row r="489" spans="3:3" ht="15" x14ac:dyDescent="0.2">
      <c r="C489" s="647" t="s">
        <v>941</v>
      </c>
    </row>
    <row r="490" spans="3:3" ht="15" x14ac:dyDescent="0.2">
      <c r="C490" s="647" t="s">
        <v>1145</v>
      </c>
    </row>
    <row r="491" spans="3:3" ht="15" x14ac:dyDescent="0.2">
      <c r="C491" s="647" t="s">
        <v>1146</v>
      </c>
    </row>
    <row r="492" spans="3:3" ht="15" x14ac:dyDescent="0.2">
      <c r="C492" s="647" t="s">
        <v>943</v>
      </c>
    </row>
    <row r="493" spans="3:3" ht="15" x14ac:dyDescent="0.2">
      <c r="C493" s="647" t="s">
        <v>944</v>
      </c>
    </row>
    <row r="494" spans="3:3" ht="15" x14ac:dyDescent="0.2">
      <c r="C494" s="647" t="s">
        <v>945</v>
      </c>
    </row>
    <row r="495" spans="3:3" ht="15" x14ac:dyDescent="0.2">
      <c r="C495" s="647" t="s">
        <v>946</v>
      </c>
    </row>
    <row r="496" spans="3:3" ht="15" x14ac:dyDescent="0.2">
      <c r="C496" s="647" t="s">
        <v>2133</v>
      </c>
    </row>
    <row r="498" spans="3:3" ht="15" x14ac:dyDescent="0.2">
      <c r="C498" s="647" t="s">
        <v>2095</v>
      </c>
    </row>
    <row r="499" spans="3:3" ht="15" x14ac:dyDescent="0.2">
      <c r="C499" s="647" t="s">
        <v>2134</v>
      </c>
    </row>
    <row r="501" spans="3:3" ht="15" x14ac:dyDescent="0.2">
      <c r="C501" s="647" t="s">
        <v>1021</v>
      </c>
    </row>
    <row r="502" spans="3:3" ht="15" x14ac:dyDescent="0.2">
      <c r="C502" s="647" t="s">
        <v>1022</v>
      </c>
    </row>
    <row r="503" spans="3:3" ht="15" x14ac:dyDescent="0.2">
      <c r="C503" s="647" t="s">
        <v>1023</v>
      </c>
    </row>
    <row r="505" spans="3:3" ht="15" x14ac:dyDescent="0.2">
      <c r="C505" s="647" t="s">
        <v>1024</v>
      </c>
    </row>
    <row r="506" spans="3:3" ht="15" x14ac:dyDescent="0.2">
      <c r="C506" s="647" t="s">
        <v>1025</v>
      </c>
    </row>
    <row r="507" spans="3:3" ht="15" x14ac:dyDescent="0.2">
      <c r="C507" s="647" t="s">
        <v>1026</v>
      </c>
    </row>
    <row r="508" spans="3:3" ht="15" x14ac:dyDescent="0.2">
      <c r="C508" s="647" t="s">
        <v>1027</v>
      </c>
    </row>
    <row r="510" spans="3:3" ht="15" x14ac:dyDescent="0.2">
      <c r="C510" s="647" t="s">
        <v>1028</v>
      </c>
    </row>
    <row r="511" spans="3:3" x14ac:dyDescent="0.2">
      <c r="C511" s="649" t="s">
        <v>1029</v>
      </c>
    </row>
    <row r="512" spans="3:3" ht="15" x14ac:dyDescent="0.2">
      <c r="C512" s="647"/>
    </row>
    <row r="513" spans="3:3" ht="15" x14ac:dyDescent="0.2">
      <c r="C513" s="647"/>
    </row>
    <row r="514" spans="3:3" ht="15" x14ac:dyDescent="0.2">
      <c r="C514" s="647"/>
    </row>
    <row r="515" spans="3:3" ht="15" x14ac:dyDescent="0.2">
      <c r="C515" s="647"/>
    </row>
    <row r="516" spans="3:3" ht="15" x14ac:dyDescent="0.2">
      <c r="C516" s="647"/>
    </row>
    <row r="517" spans="3:3" ht="15" x14ac:dyDescent="0.2">
      <c r="C517" s="647"/>
    </row>
    <row r="519" spans="3:3" ht="15" x14ac:dyDescent="0.2">
      <c r="C519" s="647"/>
    </row>
    <row r="520" spans="3:3" ht="15" x14ac:dyDescent="0.2">
      <c r="C520" s="647"/>
    </row>
    <row r="521" spans="3:3" ht="15" x14ac:dyDescent="0.2">
      <c r="C521" s="647"/>
    </row>
    <row r="522" spans="3:3" ht="15" x14ac:dyDescent="0.2">
      <c r="C522" s="647"/>
    </row>
    <row r="523" spans="3:3" ht="15" x14ac:dyDescent="0.2">
      <c r="C523" s="647"/>
    </row>
    <row r="525" spans="3:3" ht="15" x14ac:dyDescent="0.2">
      <c r="C525" s="647"/>
    </row>
    <row r="526" spans="3:3" ht="15" x14ac:dyDescent="0.2">
      <c r="C526" s="647"/>
    </row>
    <row r="527" spans="3:3" ht="15" x14ac:dyDescent="0.2">
      <c r="C527" s="647"/>
    </row>
    <row r="528" spans="3:3" ht="15" x14ac:dyDescent="0.2">
      <c r="C528" s="647"/>
    </row>
    <row r="529" spans="3:3" ht="15" x14ac:dyDescent="0.2">
      <c r="C529" s="647"/>
    </row>
    <row r="531" spans="3:3" ht="15" x14ac:dyDescent="0.2">
      <c r="C531" s="647"/>
    </row>
    <row r="532" spans="3:3" ht="15" x14ac:dyDescent="0.2">
      <c r="C532" s="647"/>
    </row>
    <row r="533" spans="3:3" ht="15" x14ac:dyDescent="0.2">
      <c r="C533" s="647"/>
    </row>
    <row r="534" spans="3:3" ht="15" x14ac:dyDescent="0.2">
      <c r="C534" s="647"/>
    </row>
    <row r="535" spans="3:3" ht="15" x14ac:dyDescent="0.2">
      <c r="C535" s="647"/>
    </row>
    <row r="536" spans="3:3" ht="15" x14ac:dyDescent="0.2">
      <c r="C536" s="647"/>
    </row>
    <row r="537" spans="3:3" ht="15" x14ac:dyDescent="0.2">
      <c r="C537" s="647"/>
    </row>
    <row r="539" spans="3:3" ht="15" x14ac:dyDescent="0.2">
      <c r="C539" s="647"/>
    </row>
    <row r="540" spans="3:3" ht="15" x14ac:dyDescent="0.2">
      <c r="C540" s="647"/>
    </row>
    <row r="542" spans="3:3" ht="15" x14ac:dyDescent="0.2">
      <c r="C542" s="647"/>
    </row>
    <row r="543" spans="3:3" ht="15" x14ac:dyDescent="0.2">
      <c r="C543" s="647"/>
    </row>
    <row r="544" spans="3:3" ht="15" x14ac:dyDescent="0.2">
      <c r="C544" s="647"/>
    </row>
    <row r="546" spans="3:3" ht="15" x14ac:dyDescent="0.2">
      <c r="C546" s="647"/>
    </row>
    <row r="547" spans="3:3" ht="15" x14ac:dyDescent="0.2">
      <c r="C547" s="647"/>
    </row>
    <row r="548" spans="3:3" ht="15" x14ac:dyDescent="0.2">
      <c r="C548" s="647"/>
    </row>
    <row r="549" spans="3:3" ht="15" x14ac:dyDescent="0.2">
      <c r="C549" s="647"/>
    </row>
    <row r="550" spans="3:3" ht="15" x14ac:dyDescent="0.2">
      <c r="C550" s="647"/>
    </row>
    <row r="552" spans="3:3" ht="15" x14ac:dyDescent="0.2">
      <c r="C552" s="647"/>
    </row>
    <row r="553" spans="3:3" ht="15" x14ac:dyDescent="0.2">
      <c r="C553" s="647"/>
    </row>
    <row r="554" spans="3:3" ht="15" x14ac:dyDescent="0.2">
      <c r="C554" s="647"/>
    </row>
    <row r="555" spans="3:3" ht="15" x14ac:dyDescent="0.2">
      <c r="C555" s="647"/>
    </row>
    <row r="556" spans="3:3" ht="15" x14ac:dyDescent="0.2">
      <c r="C556" s="647"/>
    </row>
    <row r="557" spans="3:3" ht="15" x14ac:dyDescent="0.2">
      <c r="C557" s="647"/>
    </row>
    <row r="558" spans="3:3" ht="15" x14ac:dyDescent="0.2">
      <c r="C558" s="647"/>
    </row>
    <row r="559" spans="3:3" ht="15" x14ac:dyDescent="0.2">
      <c r="C559" s="647"/>
    </row>
    <row r="560" spans="3:3" ht="15" x14ac:dyDescent="0.2">
      <c r="C560" s="647"/>
    </row>
    <row r="561" spans="3:3" ht="15" x14ac:dyDescent="0.2">
      <c r="C561" s="647"/>
    </row>
    <row r="562" spans="3:3" ht="15" x14ac:dyDescent="0.2">
      <c r="C562" s="647"/>
    </row>
    <row r="563" spans="3:3" ht="15" x14ac:dyDescent="0.2">
      <c r="C563" s="647"/>
    </row>
    <row r="564" spans="3:3" ht="15" x14ac:dyDescent="0.2">
      <c r="C564" s="647"/>
    </row>
    <row r="565" spans="3:3" ht="15" x14ac:dyDescent="0.2">
      <c r="C565" s="647"/>
    </row>
    <row r="566" spans="3:3" ht="15" x14ac:dyDescent="0.2">
      <c r="C566" s="647"/>
    </row>
    <row r="567" spans="3:3" ht="15" x14ac:dyDescent="0.2">
      <c r="C567" s="647"/>
    </row>
    <row r="568" spans="3:3" ht="15" x14ac:dyDescent="0.2">
      <c r="C568" s="647"/>
    </row>
    <row r="569" spans="3:3" ht="15" x14ac:dyDescent="0.2">
      <c r="C569" s="647"/>
    </row>
    <row r="570" spans="3:3" ht="15" x14ac:dyDescent="0.2">
      <c r="C570" s="647"/>
    </row>
    <row r="571" spans="3:3" ht="15" x14ac:dyDescent="0.2">
      <c r="C571" s="647"/>
    </row>
    <row r="572" spans="3:3" ht="15" x14ac:dyDescent="0.2">
      <c r="C572" s="647"/>
    </row>
    <row r="573" spans="3:3" ht="15" x14ac:dyDescent="0.2">
      <c r="C573" s="647"/>
    </row>
    <row r="574" spans="3:3" ht="15" x14ac:dyDescent="0.2">
      <c r="C574" s="647"/>
    </row>
    <row r="575" spans="3:3" ht="15" x14ac:dyDescent="0.2">
      <c r="C575" s="647"/>
    </row>
    <row r="576" spans="3:3" ht="15" x14ac:dyDescent="0.2">
      <c r="C576" s="647"/>
    </row>
    <row r="577" spans="3:3" ht="15" x14ac:dyDescent="0.2">
      <c r="C577" s="647"/>
    </row>
    <row r="578" spans="3:3" ht="15" x14ac:dyDescent="0.2">
      <c r="C578" s="647"/>
    </row>
    <row r="579" spans="3:3" ht="15" x14ac:dyDescent="0.2">
      <c r="C579" s="647"/>
    </row>
    <row r="580" spans="3:3" ht="15" x14ac:dyDescent="0.2">
      <c r="C580" s="647"/>
    </row>
    <row r="581" spans="3:3" ht="15" x14ac:dyDescent="0.2">
      <c r="C581" s="647"/>
    </row>
    <row r="582" spans="3:3" ht="15" x14ac:dyDescent="0.2">
      <c r="C582" s="647"/>
    </row>
    <row r="583" spans="3:3" ht="15" x14ac:dyDescent="0.2">
      <c r="C583" s="647"/>
    </row>
    <row r="584" spans="3:3" ht="15" x14ac:dyDescent="0.2">
      <c r="C584" s="647"/>
    </row>
    <row r="585" spans="3:3" ht="15" x14ac:dyDescent="0.2">
      <c r="C585" s="647"/>
    </row>
    <row r="586" spans="3:3" ht="15" x14ac:dyDescent="0.2">
      <c r="C586" s="647"/>
    </row>
    <row r="587" spans="3:3" ht="15" x14ac:dyDescent="0.2">
      <c r="C587" s="647"/>
    </row>
    <row r="588" spans="3:3" ht="15" x14ac:dyDescent="0.2">
      <c r="C588" s="647"/>
    </row>
    <row r="589" spans="3:3" ht="15" x14ac:dyDescent="0.2">
      <c r="C589" s="647"/>
    </row>
    <row r="590" spans="3:3" ht="15" x14ac:dyDescent="0.2">
      <c r="C590" s="647"/>
    </row>
    <row r="592" spans="3:3" ht="15" x14ac:dyDescent="0.2">
      <c r="C592" s="647"/>
    </row>
    <row r="593" spans="3:3" ht="15" x14ac:dyDescent="0.2">
      <c r="C593" s="647"/>
    </row>
    <row r="595" spans="3:3" ht="15" x14ac:dyDescent="0.2">
      <c r="C595" s="647"/>
    </row>
    <row r="596" spans="3:3" ht="15" x14ac:dyDescent="0.2">
      <c r="C596" s="647"/>
    </row>
    <row r="597" spans="3:3" ht="15" x14ac:dyDescent="0.2">
      <c r="C597" s="647"/>
    </row>
    <row r="598" spans="3:3" ht="15" x14ac:dyDescent="0.2">
      <c r="C598" s="647"/>
    </row>
    <row r="599" spans="3:3" ht="15" x14ac:dyDescent="0.2">
      <c r="C599" s="647"/>
    </row>
    <row r="600" spans="3:3" ht="15" x14ac:dyDescent="0.2">
      <c r="C600" s="647"/>
    </row>
    <row r="602" spans="3:3" ht="15" x14ac:dyDescent="0.2">
      <c r="C602" s="647"/>
    </row>
    <row r="603" spans="3:3" ht="15" x14ac:dyDescent="0.2">
      <c r="C603" s="647"/>
    </row>
    <row r="604" spans="3:3" ht="15" x14ac:dyDescent="0.2">
      <c r="C604" s="647"/>
    </row>
    <row r="605" spans="3:3" ht="15" x14ac:dyDescent="0.2">
      <c r="C605" s="647"/>
    </row>
    <row r="606" spans="3:3" ht="15" x14ac:dyDescent="0.2">
      <c r="C606" s="647"/>
    </row>
    <row r="607" spans="3:3" ht="15" x14ac:dyDescent="0.2">
      <c r="C607" s="647"/>
    </row>
    <row r="608" spans="3:3" ht="15" x14ac:dyDescent="0.2">
      <c r="C608" s="647"/>
    </row>
    <row r="609" spans="3:3" ht="15" x14ac:dyDescent="0.2">
      <c r="C609" s="647"/>
    </row>
    <row r="611" spans="3:3" ht="15" x14ac:dyDescent="0.2">
      <c r="C611" s="647"/>
    </row>
    <row r="612" spans="3:3" ht="15" x14ac:dyDescent="0.2">
      <c r="C612" s="647"/>
    </row>
    <row r="613" spans="3:3" ht="15" x14ac:dyDescent="0.2">
      <c r="C613" s="647"/>
    </row>
    <row r="615" spans="3:3" ht="15" x14ac:dyDescent="0.2">
      <c r="C615" s="647"/>
    </row>
    <row r="616" spans="3:3" ht="15" x14ac:dyDescent="0.2">
      <c r="C616" s="647"/>
    </row>
    <row r="617" spans="3:3" ht="15" x14ac:dyDescent="0.2">
      <c r="C617" s="647"/>
    </row>
    <row r="619" spans="3:3" ht="15" x14ac:dyDescent="0.2">
      <c r="C619" s="647"/>
    </row>
    <row r="620" spans="3:3" ht="15" x14ac:dyDescent="0.2">
      <c r="C620" s="647"/>
    </row>
    <row r="621" spans="3:3" ht="15" x14ac:dyDescent="0.2">
      <c r="C621" s="647"/>
    </row>
    <row r="622" spans="3:3" ht="15" x14ac:dyDescent="0.2">
      <c r="C622" s="647"/>
    </row>
    <row r="624" spans="3:3" ht="15" x14ac:dyDescent="0.2">
      <c r="C624" s="647"/>
    </row>
  </sheetData>
  <pageMargins left="0.7" right="0.7" top="0.75" bottom="0.75" header="0.3" footer="0.3"/>
  <pageSetup paperSize="9" orientation="portrait" horizontalDpi="90" verticalDpi="9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E314D-E216-4B6F-9050-9E8EECAF86D7}">
  <sheetPr codeName="Sheet27">
    <tabColor rgb="FF00A3E0"/>
  </sheetPr>
  <dimension ref="A1:D624"/>
  <sheetViews>
    <sheetView workbookViewId="0"/>
  </sheetViews>
  <sheetFormatPr defaultColWidth="0" defaultRowHeight="12.75" x14ac:dyDescent="0.2"/>
  <cols>
    <col min="1" max="1" width="24.7109375" style="33" customWidth="1"/>
    <col min="2" max="2" width="9.140625" style="33" customWidth="1"/>
    <col min="3" max="3" width="120.7109375" style="649" customWidth="1"/>
    <col min="4" max="4" width="1.7109375" style="33" customWidth="1"/>
    <col min="5" max="16384" width="9.140625" style="33" hidden="1"/>
  </cols>
  <sheetData>
    <row r="1" spans="1:4" ht="15.75" thickBot="1" x14ac:dyDescent="0.25">
      <c r="A1" s="171" t="s">
        <v>1631</v>
      </c>
      <c r="C1" s="647" t="s">
        <v>490</v>
      </c>
    </row>
    <row r="2" spans="1:4" ht="16.5" thickTop="1" thickBot="1" x14ac:dyDescent="0.25">
      <c r="A2" s="648" t="str">
        <f>_xlfn.CONCAT(Results!C32,".sim")</f>
        <v>Estatico.sim</v>
      </c>
      <c r="C2" s="647" t="s">
        <v>491</v>
      </c>
    </row>
    <row r="3" spans="1:4" ht="13.5" thickBot="1" x14ac:dyDescent="0.25"/>
    <row r="4" spans="1:4" ht="15.75" thickBot="1" x14ac:dyDescent="0.25">
      <c r="A4" s="171" t="s">
        <v>1633</v>
      </c>
      <c r="B4" s="50"/>
      <c r="C4" s="169" t="s">
        <v>2135</v>
      </c>
      <c r="D4" s="50"/>
    </row>
    <row r="5" spans="1:4" ht="16.5" thickTop="1" thickBot="1" x14ac:dyDescent="0.25">
      <c r="A5" s="648" t="str">
        <f>CONCATENATE(Results!C41,".png")</f>
        <v>Cont2.png</v>
      </c>
      <c r="B5" s="50"/>
      <c r="C5" s="169" t="s">
        <v>2136</v>
      </c>
      <c r="D5" s="50"/>
    </row>
    <row r="6" spans="1:4" ht="15.75" thickBot="1" x14ac:dyDescent="0.25">
      <c r="C6" s="647" t="s">
        <v>492</v>
      </c>
    </row>
    <row r="7" spans="1:4" ht="15.75" thickBot="1" x14ac:dyDescent="0.25">
      <c r="A7" s="171" t="s">
        <v>1634</v>
      </c>
      <c r="C7" s="647" t="s">
        <v>493</v>
      </c>
    </row>
    <row r="8" spans="1:4" ht="16.5" thickTop="1" thickBot="1" x14ac:dyDescent="0.25">
      <c r="A8" s="648" t="str">
        <f>CONCATENATE("Figuras\", Results!C41,".py")</f>
        <v>Figuras\Cont2.py</v>
      </c>
      <c r="C8" s="647" t="s">
        <v>494</v>
      </c>
    </row>
    <row r="9" spans="1:4" ht="15.75" thickBot="1" x14ac:dyDescent="0.25">
      <c r="C9" s="647" t="s">
        <v>495</v>
      </c>
    </row>
    <row r="10" spans="1:4" ht="15.75" thickBot="1" x14ac:dyDescent="0.25">
      <c r="A10" s="171" t="s">
        <v>1752</v>
      </c>
      <c r="C10" s="647" t="s">
        <v>497</v>
      </c>
    </row>
    <row r="11" spans="1:4" ht="14.25" thickTop="1" thickBot="1" x14ac:dyDescent="0.25">
      <c r="A11" s="648" t="str">
        <f>_xlfn.CONCAT(Results!C41,".sim")</f>
        <v>Cont2.sim</v>
      </c>
    </row>
    <row r="12" spans="1:4" ht="15.75" thickBot="1" x14ac:dyDescent="0.25">
      <c r="C12" s="647" t="s">
        <v>1909</v>
      </c>
    </row>
    <row r="13" spans="1:4" ht="15.75" thickBot="1" x14ac:dyDescent="0.25">
      <c r="A13" s="646" t="s">
        <v>498</v>
      </c>
      <c r="C13" s="647" t="s">
        <v>2152</v>
      </c>
    </row>
    <row r="14" spans="1:4" ht="16.5" thickTop="1" thickBot="1" x14ac:dyDescent="0.25">
      <c r="A14" s="648">
        <f>Results!$C$50</f>
        <v>24</v>
      </c>
      <c r="C14" s="647" t="s">
        <v>2195</v>
      </c>
    </row>
    <row r="15" spans="1:4" ht="15.75" thickBot="1" x14ac:dyDescent="0.25">
      <c r="A15" s="63"/>
      <c r="C15" s="647" t="s">
        <v>2196</v>
      </c>
    </row>
    <row r="16" spans="1:4" ht="13.5" thickBot="1" x14ac:dyDescent="0.25">
      <c r="A16" s="656" t="s">
        <v>500</v>
      </c>
    </row>
    <row r="17" spans="1:3" ht="15.75" thickTop="1" x14ac:dyDescent="0.2">
      <c r="A17" s="651" t="str">
        <f>'1st_Post_Processing'!$L$6</f>
        <v>Line</v>
      </c>
      <c r="C17" s="647" t="s">
        <v>501</v>
      </c>
    </row>
    <row r="18" spans="1:3" ht="15" x14ac:dyDescent="0.2">
      <c r="A18" s="652" t="str">
        <f>'1st_Post_Processing'!$L$7</f>
        <v>Stiffener1</v>
      </c>
      <c r="B18" s="650"/>
      <c r="C18" s="647" t="str">
        <f>_xlfn.CONCAT("filename_static = glob.glob(fr'{workspace_dir}\",$A$2,"')[0]")</f>
        <v>filename_static = glob.glob(fr'{workspace_dir}\Estatico.sim')[0]</v>
      </c>
    </row>
    <row r="19" spans="1:3" ht="13.5" thickBot="1" x14ac:dyDescent="0.25">
      <c r="A19" s="658" t="str">
        <f>'1st_Post_Processing'!$L$8</f>
        <v>P7000048060</v>
      </c>
    </row>
    <row r="20" spans="1:3" ht="15" x14ac:dyDescent="0.2">
      <c r="C20" s="647" t="s">
        <v>1103</v>
      </c>
    </row>
    <row r="21" spans="1:3" ht="15" x14ac:dyDescent="0.2">
      <c r="B21" s="650"/>
      <c r="C21" s="647" t="str">
        <f>_xlfn.CONCAT("filename_cont = glob.glob(fr'{workspace_dir}\",$A$11,"')[0]")</f>
        <v>filename_cont = glob.glob(fr'{workspace_dir}\Cont2.sim')[0]</v>
      </c>
    </row>
    <row r="23" spans="1:3" ht="15" x14ac:dyDescent="0.2">
      <c r="C23" s="647" t="s">
        <v>502</v>
      </c>
    </row>
    <row r="24" spans="1:3" ht="15" x14ac:dyDescent="0.2">
      <c r="B24" s="650"/>
      <c r="C24" s="647" t="str">
        <f>_xlfn.CONCAT("pngname = fr'{figure_dir}\",$A$5,"'")</f>
        <v>pngname = fr'{figure_dir}\Cont2.png'</v>
      </c>
    </row>
    <row r="27" spans="1:3" ht="15" x14ac:dyDescent="0.2">
      <c r="C27" s="647" t="s">
        <v>504</v>
      </c>
    </row>
    <row r="29" spans="1:3" ht="15" x14ac:dyDescent="0.2">
      <c r="C29" s="647" t="s">
        <v>505</v>
      </c>
    </row>
    <row r="30" spans="1:3" ht="15" x14ac:dyDescent="0.2">
      <c r="C30" s="647" t="s">
        <v>506</v>
      </c>
    </row>
    <row r="31" spans="1:3" ht="15" x14ac:dyDescent="0.2">
      <c r="C31" s="647" t="s">
        <v>507</v>
      </c>
    </row>
    <row r="33" spans="3:3" ht="15" x14ac:dyDescent="0.2">
      <c r="C33" s="647" t="s">
        <v>508</v>
      </c>
    </row>
    <row r="34" spans="3:3" ht="15" x14ac:dyDescent="0.2">
      <c r="C34" s="647" t="s">
        <v>509</v>
      </c>
    </row>
    <row r="35" spans="3:3" ht="15" x14ac:dyDescent="0.2">
      <c r="C35" s="647" t="s">
        <v>510</v>
      </c>
    </row>
    <row r="36" spans="3:3" ht="15" x14ac:dyDescent="0.2">
      <c r="C36" s="647" t="s">
        <v>511</v>
      </c>
    </row>
    <row r="37" spans="3:3" ht="15" x14ac:dyDescent="0.2">
      <c r="C37" s="647" t="s">
        <v>512</v>
      </c>
    </row>
    <row r="39" spans="3:3" ht="15" x14ac:dyDescent="0.2">
      <c r="C39" s="647" t="s">
        <v>2097</v>
      </c>
    </row>
    <row r="40" spans="3:3" ht="15" x14ac:dyDescent="0.2">
      <c r="C40" s="647" t="s">
        <v>516</v>
      </c>
    </row>
    <row r="42" spans="3:3" ht="15" x14ac:dyDescent="0.2">
      <c r="C42" s="647" t="s">
        <v>2098</v>
      </c>
    </row>
    <row r="43" spans="3:3" ht="15" x14ac:dyDescent="0.2">
      <c r="C43" s="647" t="s">
        <v>514</v>
      </c>
    </row>
    <row r="45" spans="3:3" ht="15" x14ac:dyDescent="0.2">
      <c r="C45" s="647" t="s">
        <v>2099</v>
      </c>
    </row>
    <row r="46" spans="3:3" ht="15" x14ac:dyDescent="0.2">
      <c r="C46" s="647" t="s">
        <v>2100</v>
      </c>
    </row>
    <row r="48" spans="3:3" ht="15" x14ac:dyDescent="0.2">
      <c r="C48" s="647" t="s">
        <v>2101</v>
      </c>
    </row>
    <row r="49" spans="2:3" ht="15" x14ac:dyDescent="0.2">
      <c r="C49" s="647" t="s">
        <v>518</v>
      </c>
    </row>
    <row r="51" spans="2:3" ht="15" x14ac:dyDescent="0.2">
      <c r="C51" s="647" t="s">
        <v>545</v>
      </c>
    </row>
    <row r="52" spans="2:3" ht="15" x14ac:dyDescent="0.2">
      <c r="C52" s="647" t="s">
        <v>2102</v>
      </c>
    </row>
    <row r="54" spans="2:3" ht="15" x14ac:dyDescent="0.2">
      <c r="C54" s="647" t="s">
        <v>547</v>
      </c>
    </row>
    <row r="56" spans="2:3" ht="15" x14ac:dyDescent="0.2">
      <c r="C56" s="647" t="s">
        <v>1104</v>
      </c>
    </row>
    <row r="57" spans="2:3" ht="15" x14ac:dyDescent="0.2">
      <c r="C57" s="647" t="s">
        <v>1105</v>
      </c>
    </row>
    <row r="59" spans="2:3" ht="15" x14ac:dyDescent="0.2">
      <c r="C59" s="647" t="s">
        <v>574</v>
      </c>
    </row>
    <row r="60" spans="2:3" ht="15" x14ac:dyDescent="0.2">
      <c r="B60" s="650"/>
      <c r="C60" s="647" t="str">
        <f>_xlfn.CONCAT("vcm1=model_2['",$A$19,"']")</f>
        <v>vcm1=model_2['P7000048060']</v>
      </c>
    </row>
    <row r="62" spans="2:3" ht="15" x14ac:dyDescent="0.2">
      <c r="C62" s="647" t="s">
        <v>575</v>
      </c>
    </row>
    <row r="63" spans="2:3" ht="15" x14ac:dyDescent="0.2">
      <c r="B63" s="650"/>
      <c r="C63" s="647" t="str">
        <f>_xlfn.CONCAT("line1=model_2['",$A$17,"']")</f>
        <v>line1=model_2['Line']</v>
      </c>
    </row>
    <row r="64" spans="2:3" ht="15" x14ac:dyDescent="0.2">
      <c r="B64" s="650"/>
      <c r="C64" s="647" t="str">
        <f>_xlfn.CONCAT("att_lines=list(['",$A$18,"'])")</f>
        <v>att_lines=list(['Stiffener1'])</v>
      </c>
    </row>
    <row r="66" spans="3:3" ht="15" x14ac:dyDescent="0.2">
      <c r="C66" s="647" t="s">
        <v>657</v>
      </c>
    </row>
    <row r="67" spans="3:3" ht="15" x14ac:dyDescent="0.2">
      <c r="C67" s="647" t="s">
        <v>658</v>
      </c>
    </row>
    <row r="68" spans="3:3" ht="15" x14ac:dyDescent="0.2">
      <c r="C68" s="647" t="s">
        <v>659</v>
      </c>
    </row>
    <row r="69" spans="3:3" ht="15" x14ac:dyDescent="0.2">
      <c r="C69" s="647" t="s">
        <v>660</v>
      </c>
    </row>
    <row r="71" spans="3:3" ht="15" x14ac:dyDescent="0.2">
      <c r="C71" s="647" t="s">
        <v>673</v>
      </c>
    </row>
    <row r="72" spans="3:3" ht="15" x14ac:dyDescent="0.2">
      <c r="C72" s="647" t="s">
        <v>674</v>
      </c>
    </row>
    <row r="73" spans="3:3" ht="15" x14ac:dyDescent="0.2">
      <c r="C73" s="647" t="s">
        <v>675</v>
      </c>
    </row>
    <row r="74" spans="3:3" ht="15" x14ac:dyDescent="0.2">
      <c r="C74" s="647" t="s">
        <v>676</v>
      </c>
    </row>
    <row r="75" spans="3:3" ht="15" x14ac:dyDescent="0.2">
      <c r="C75" s="647" t="s">
        <v>1106</v>
      </c>
    </row>
    <row r="76" spans="3:3" ht="15" x14ac:dyDescent="0.2">
      <c r="C76" s="647" t="s">
        <v>684</v>
      </c>
    </row>
    <row r="77" spans="3:3" ht="15" x14ac:dyDescent="0.2">
      <c r="C77" s="647" t="s">
        <v>685</v>
      </c>
    </row>
    <row r="78" spans="3:3" ht="15" x14ac:dyDescent="0.2">
      <c r="C78" s="647" t="s">
        <v>686</v>
      </c>
    </row>
    <row r="79" spans="3:3" ht="15" x14ac:dyDescent="0.2">
      <c r="C79" s="647" t="s">
        <v>687</v>
      </c>
    </row>
    <row r="80" spans="3:3" ht="15" x14ac:dyDescent="0.2">
      <c r="C80" s="647" t="s">
        <v>688</v>
      </c>
    </row>
    <row r="81" spans="3:3" ht="15" x14ac:dyDescent="0.2">
      <c r="C81" s="647" t="s">
        <v>1108</v>
      </c>
    </row>
    <row r="82" spans="3:3" ht="15" x14ac:dyDescent="0.2">
      <c r="C82" s="647" t="s">
        <v>568</v>
      </c>
    </row>
    <row r="83" spans="3:3" ht="15" x14ac:dyDescent="0.2">
      <c r="C83" s="647" t="s">
        <v>696</v>
      </c>
    </row>
    <row r="84" spans="3:3" ht="15" x14ac:dyDescent="0.2">
      <c r="C84" s="647" t="s">
        <v>1109</v>
      </c>
    </row>
    <row r="85" spans="3:3" ht="15" x14ac:dyDescent="0.2">
      <c r="C85" s="647" t="s">
        <v>698</v>
      </c>
    </row>
    <row r="86" spans="3:3" ht="15" x14ac:dyDescent="0.2">
      <c r="C86" s="647" t="s">
        <v>699</v>
      </c>
    </row>
    <row r="87" spans="3:3" ht="15" x14ac:dyDescent="0.2">
      <c r="C87" s="647" t="s">
        <v>685</v>
      </c>
    </row>
    <row r="88" spans="3:3" ht="15" x14ac:dyDescent="0.2">
      <c r="C88" s="647" t="s">
        <v>686</v>
      </c>
    </row>
    <row r="89" spans="3:3" ht="15" x14ac:dyDescent="0.2">
      <c r="C89" s="647" t="s">
        <v>687</v>
      </c>
    </row>
    <row r="90" spans="3:3" ht="15" x14ac:dyDescent="0.2">
      <c r="C90" s="647" t="s">
        <v>700</v>
      </c>
    </row>
    <row r="91" spans="3:3" ht="15" x14ac:dyDescent="0.2">
      <c r="C91" s="647" t="s">
        <v>701</v>
      </c>
    </row>
    <row r="92" spans="3:3" ht="15" x14ac:dyDescent="0.2">
      <c r="C92" s="647" t="s">
        <v>702</v>
      </c>
    </row>
    <row r="93" spans="3:3" ht="15" x14ac:dyDescent="0.2">
      <c r="C93" s="647" t="s">
        <v>703</v>
      </c>
    </row>
    <row r="94" spans="3:3" ht="15" x14ac:dyDescent="0.2">
      <c r="C94" s="647" t="s">
        <v>704</v>
      </c>
    </row>
    <row r="95" spans="3:3" ht="15" x14ac:dyDescent="0.2">
      <c r="C95" s="647" t="s">
        <v>1110</v>
      </c>
    </row>
    <row r="96" spans="3:3" ht="15" x14ac:dyDescent="0.2">
      <c r="C96" s="647" t="s">
        <v>706</v>
      </c>
    </row>
    <row r="97" spans="3:3" ht="15" x14ac:dyDescent="0.2">
      <c r="C97" s="647" t="s">
        <v>568</v>
      </c>
    </row>
    <row r="98" spans="3:3" ht="15" x14ac:dyDescent="0.2">
      <c r="C98" s="647" t="s">
        <v>707</v>
      </c>
    </row>
    <row r="99" spans="3:3" ht="15" x14ac:dyDescent="0.2">
      <c r="C99" s="647" t="s">
        <v>1111</v>
      </c>
    </row>
    <row r="100" spans="3:3" ht="15" x14ac:dyDescent="0.2">
      <c r="C100" s="647" t="s">
        <v>709</v>
      </c>
    </row>
    <row r="101" spans="3:3" ht="15" x14ac:dyDescent="0.2">
      <c r="C101" s="647" t="s">
        <v>685</v>
      </c>
    </row>
    <row r="102" spans="3:3" ht="15" x14ac:dyDescent="0.2">
      <c r="C102" s="647" t="s">
        <v>686</v>
      </c>
    </row>
    <row r="103" spans="3:3" ht="15" x14ac:dyDescent="0.2">
      <c r="C103" s="647" t="s">
        <v>687</v>
      </c>
    </row>
    <row r="104" spans="3:3" ht="15" x14ac:dyDescent="0.2">
      <c r="C104" s="647" t="s">
        <v>1112</v>
      </c>
    </row>
    <row r="105" spans="3:3" ht="15" x14ac:dyDescent="0.2">
      <c r="C105" s="647" t="s">
        <v>1113</v>
      </c>
    </row>
    <row r="106" spans="3:3" ht="15" x14ac:dyDescent="0.2">
      <c r="C106" s="647" t="s">
        <v>568</v>
      </c>
    </row>
    <row r="107" spans="3:3" ht="15" x14ac:dyDescent="0.2">
      <c r="C107" s="647" t="s">
        <v>1114</v>
      </c>
    </row>
    <row r="108" spans="3:3" ht="15" x14ac:dyDescent="0.2">
      <c r="C108" s="647" t="s">
        <v>713</v>
      </c>
    </row>
    <row r="109" spans="3:3" ht="15" x14ac:dyDescent="0.2">
      <c r="C109" s="647" t="s">
        <v>685</v>
      </c>
    </row>
    <row r="110" spans="3:3" ht="15" x14ac:dyDescent="0.2">
      <c r="C110" s="647" t="s">
        <v>686</v>
      </c>
    </row>
    <row r="111" spans="3:3" ht="15" x14ac:dyDescent="0.2">
      <c r="C111" s="647" t="s">
        <v>687</v>
      </c>
    </row>
    <row r="112" spans="3:3" ht="15" x14ac:dyDescent="0.2">
      <c r="C112" s="647" t="s">
        <v>701</v>
      </c>
    </row>
    <row r="113" spans="3:3" ht="15" x14ac:dyDescent="0.2">
      <c r="C113" s="647" t="s">
        <v>702</v>
      </c>
    </row>
    <row r="114" spans="3:3" ht="15" x14ac:dyDescent="0.2">
      <c r="C114" s="647" t="s">
        <v>703</v>
      </c>
    </row>
    <row r="115" spans="3:3" ht="15" x14ac:dyDescent="0.2">
      <c r="C115" s="647" t="s">
        <v>704</v>
      </c>
    </row>
    <row r="116" spans="3:3" ht="15" x14ac:dyDescent="0.2">
      <c r="C116" s="647" t="s">
        <v>1110</v>
      </c>
    </row>
    <row r="117" spans="3:3" ht="15" x14ac:dyDescent="0.2">
      <c r="C117" s="647" t="s">
        <v>1115</v>
      </c>
    </row>
    <row r="118" spans="3:3" ht="15" x14ac:dyDescent="0.2">
      <c r="C118" s="647" t="s">
        <v>715</v>
      </c>
    </row>
    <row r="119" spans="3:3" ht="15" x14ac:dyDescent="0.2">
      <c r="C119" s="647" t="s">
        <v>1116</v>
      </c>
    </row>
    <row r="120" spans="3:3" ht="15" x14ac:dyDescent="0.2">
      <c r="C120" s="647" t="s">
        <v>1117</v>
      </c>
    </row>
    <row r="121" spans="3:3" ht="15" x14ac:dyDescent="0.2">
      <c r="C121" s="647" t="s">
        <v>1118</v>
      </c>
    </row>
    <row r="122" spans="3:3" ht="15" x14ac:dyDescent="0.2">
      <c r="C122" s="647" t="s">
        <v>1119</v>
      </c>
    </row>
    <row r="123" spans="3:3" ht="15" x14ac:dyDescent="0.2">
      <c r="C123" s="647" t="s">
        <v>720</v>
      </c>
    </row>
    <row r="124" spans="3:3" ht="15" x14ac:dyDescent="0.2">
      <c r="C124" s="647" t="s">
        <v>721</v>
      </c>
    </row>
    <row r="125" spans="3:3" ht="15" x14ac:dyDescent="0.2">
      <c r="C125" s="647" t="s">
        <v>722</v>
      </c>
    </row>
    <row r="126" spans="3:3" ht="15" x14ac:dyDescent="0.2">
      <c r="C126" s="647" t="s">
        <v>723</v>
      </c>
    </row>
    <row r="127" spans="3:3" ht="15" x14ac:dyDescent="0.2">
      <c r="C127" s="647" t="s">
        <v>724</v>
      </c>
    </row>
    <row r="128" spans="3:3" ht="15" x14ac:dyDescent="0.2">
      <c r="C128" s="647" t="s">
        <v>725</v>
      </c>
    </row>
    <row r="129" spans="2:3" ht="15" x14ac:dyDescent="0.2">
      <c r="C129" s="647" t="s">
        <v>1120</v>
      </c>
    </row>
    <row r="130" spans="2:3" ht="15" x14ac:dyDescent="0.2">
      <c r="C130" s="647" t="s">
        <v>1121</v>
      </c>
    </row>
    <row r="131" spans="2:3" ht="15" x14ac:dyDescent="0.2">
      <c r="C131" s="647" t="s">
        <v>728</v>
      </c>
    </row>
    <row r="132" spans="2:3" ht="15" x14ac:dyDescent="0.2">
      <c r="C132" s="647" t="s">
        <v>1122</v>
      </c>
    </row>
    <row r="134" spans="2:3" ht="15" x14ac:dyDescent="0.2">
      <c r="C134" s="647" t="s">
        <v>845</v>
      </c>
    </row>
    <row r="136" spans="2:3" ht="15" x14ac:dyDescent="0.2">
      <c r="C136" s="647" t="s">
        <v>572</v>
      </c>
    </row>
    <row r="137" spans="2:3" ht="15" x14ac:dyDescent="0.2">
      <c r="C137" s="647" t="s">
        <v>1123</v>
      </c>
    </row>
    <row r="139" spans="2:3" ht="15" x14ac:dyDescent="0.2">
      <c r="C139" s="647" t="s">
        <v>574</v>
      </c>
    </row>
    <row r="140" spans="2:3" ht="15" x14ac:dyDescent="0.2">
      <c r="B140" s="650"/>
      <c r="C140" s="647" t="str">
        <f>_xlfn.CONCAT("vcm1=model['",$A$19,"']")</f>
        <v>vcm1=model['P7000048060']</v>
      </c>
    </row>
    <row r="142" spans="2:3" ht="15" x14ac:dyDescent="0.2">
      <c r="C142" s="647" t="s">
        <v>575</v>
      </c>
    </row>
    <row r="143" spans="2:3" ht="15" x14ac:dyDescent="0.2">
      <c r="B143" s="650"/>
      <c r="C143" s="647" t="str">
        <f>_xlfn.CONCAT("line1=model['",$A$17,"']")</f>
        <v>line1=model['Line']</v>
      </c>
    </row>
    <row r="144" spans="2:3" ht="15" x14ac:dyDescent="0.2">
      <c r="B144" s="650"/>
      <c r="C144" s="647" t="str">
        <f>_xlfn.CONCAT("att_lines=list(['",$A$18,"'])")</f>
        <v>att_lines=list(['Stiffener1'])</v>
      </c>
    </row>
    <row r="145" spans="3:3" ht="15" x14ac:dyDescent="0.2">
      <c r="C145" s="647" t="s">
        <v>2103</v>
      </c>
    </row>
    <row r="146" spans="3:3" ht="15" x14ac:dyDescent="0.2">
      <c r="C146" s="647" t="s">
        <v>1954</v>
      </c>
    </row>
    <row r="147" spans="3:3" ht="15" x14ac:dyDescent="0.2">
      <c r="C147" s="647" t="s">
        <v>1955</v>
      </c>
    </row>
    <row r="148" spans="3:3" ht="15" x14ac:dyDescent="0.2">
      <c r="C148" s="647" t="s">
        <v>607</v>
      </c>
    </row>
    <row r="149" spans="3:3" ht="15" x14ac:dyDescent="0.2">
      <c r="C149" s="647" t="s">
        <v>608</v>
      </c>
    </row>
    <row r="151" spans="3:3" ht="15" x14ac:dyDescent="0.2">
      <c r="C151" s="647" t="s">
        <v>609</v>
      </c>
    </row>
    <row r="152" spans="3:3" ht="15" x14ac:dyDescent="0.2">
      <c r="C152" s="647" t="s">
        <v>610</v>
      </c>
    </row>
    <row r="153" spans="3:3" ht="15" x14ac:dyDescent="0.2">
      <c r="C153" s="647" t="s">
        <v>611</v>
      </c>
    </row>
    <row r="154" spans="3:3" ht="15" x14ac:dyDescent="0.2">
      <c r="C154" s="647" t="s">
        <v>612</v>
      </c>
    </row>
    <row r="155" spans="3:3" ht="15" x14ac:dyDescent="0.2">
      <c r="C155" s="647" t="s">
        <v>613</v>
      </c>
    </row>
    <row r="156" spans="3:3" ht="15" x14ac:dyDescent="0.2">
      <c r="C156" s="647" t="s">
        <v>614</v>
      </c>
    </row>
    <row r="157" spans="3:3" ht="15" x14ac:dyDescent="0.2">
      <c r="C157" s="647" t="s">
        <v>615</v>
      </c>
    </row>
    <row r="158" spans="3:3" ht="15" x14ac:dyDescent="0.2">
      <c r="C158" s="647" t="s">
        <v>616</v>
      </c>
    </row>
    <row r="159" spans="3:3" ht="15" x14ac:dyDescent="0.2">
      <c r="C159" s="647" t="s">
        <v>617</v>
      </c>
    </row>
    <row r="160" spans="3:3" ht="15" x14ac:dyDescent="0.2">
      <c r="C160" s="647" t="s">
        <v>618</v>
      </c>
    </row>
    <row r="161" spans="3:3" ht="15" x14ac:dyDescent="0.2">
      <c r="C161" s="647" t="s">
        <v>619</v>
      </c>
    </row>
    <row r="162" spans="3:3" ht="15" x14ac:dyDescent="0.2">
      <c r="C162" s="647" t="s">
        <v>620</v>
      </c>
    </row>
    <row r="164" spans="3:3" ht="15" x14ac:dyDescent="0.2">
      <c r="C164" s="647" t="s">
        <v>621</v>
      </c>
    </row>
    <row r="165" spans="3:3" ht="15" x14ac:dyDescent="0.2">
      <c r="C165" s="647" t="s">
        <v>622</v>
      </c>
    </row>
    <row r="166" spans="3:3" ht="15" x14ac:dyDescent="0.2">
      <c r="C166" s="647" t="s">
        <v>623</v>
      </c>
    </row>
    <row r="167" spans="3:3" ht="15" x14ac:dyDescent="0.2">
      <c r="C167" s="647" t="s">
        <v>624</v>
      </c>
    </row>
    <row r="168" spans="3:3" ht="15" x14ac:dyDescent="0.2">
      <c r="C168" s="647" t="s">
        <v>625</v>
      </c>
    </row>
    <row r="169" spans="3:3" ht="15" x14ac:dyDescent="0.2">
      <c r="C169" s="647" t="s">
        <v>626</v>
      </c>
    </row>
    <row r="170" spans="3:3" ht="15" x14ac:dyDescent="0.2">
      <c r="C170" s="647" t="s">
        <v>627</v>
      </c>
    </row>
    <row r="171" spans="3:3" ht="15" x14ac:dyDescent="0.2">
      <c r="C171" s="647" t="s">
        <v>619</v>
      </c>
    </row>
    <row r="172" spans="3:3" ht="15" x14ac:dyDescent="0.2">
      <c r="C172" s="647" t="s">
        <v>628</v>
      </c>
    </row>
    <row r="173" spans="3:3" ht="15" x14ac:dyDescent="0.2">
      <c r="C173" s="647" t="s">
        <v>629</v>
      </c>
    </row>
    <row r="174" spans="3:3" ht="15" x14ac:dyDescent="0.2">
      <c r="C174" s="647" t="s">
        <v>630</v>
      </c>
    </row>
    <row r="175" spans="3:3" ht="15" x14ac:dyDescent="0.2">
      <c r="C175" s="647" t="s">
        <v>631</v>
      </c>
    </row>
    <row r="177" spans="3:3" ht="15" x14ac:dyDescent="0.2">
      <c r="C177" s="647" t="s">
        <v>632</v>
      </c>
    </row>
    <row r="178" spans="3:3" ht="15" x14ac:dyDescent="0.2">
      <c r="C178" s="647" t="s">
        <v>633</v>
      </c>
    </row>
    <row r="179" spans="3:3" ht="15" x14ac:dyDescent="0.2">
      <c r="C179" s="647" t="s">
        <v>634</v>
      </c>
    </row>
    <row r="180" spans="3:3" ht="15" x14ac:dyDescent="0.2">
      <c r="C180" s="647" t="s">
        <v>635</v>
      </c>
    </row>
    <row r="181" spans="3:3" ht="15" x14ac:dyDescent="0.2">
      <c r="C181" s="647" t="s">
        <v>636</v>
      </c>
    </row>
    <row r="182" spans="3:3" ht="15" x14ac:dyDescent="0.2">
      <c r="C182" s="647" t="s">
        <v>637</v>
      </c>
    </row>
    <row r="183" spans="3:3" ht="15" x14ac:dyDescent="0.2">
      <c r="C183" s="647" t="s">
        <v>638</v>
      </c>
    </row>
    <row r="185" spans="3:3" ht="15" x14ac:dyDescent="0.2">
      <c r="C185" s="647" t="s">
        <v>639</v>
      </c>
    </row>
    <row r="186" spans="3:3" ht="15" x14ac:dyDescent="0.2">
      <c r="C186" s="647" t="s">
        <v>640</v>
      </c>
    </row>
    <row r="187" spans="3:3" ht="15" x14ac:dyDescent="0.2">
      <c r="C187" s="647" t="s">
        <v>641</v>
      </c>
    </row>
    <row r="189" spans="3:3" ht="15" x14ac:dyDescent="0.2">
      <c r="C189" s="647" t="s">
        <v>642</v>
      </c>
    </row>
    <row r="190" spans="3:3" ht="15" x14ac:dyDescent="0.2">
      <c r="C190" s="647" t="s">
        <v>643</v>
      </c>
    </row>
    <row r="191" spans="3:3" ht="15" x14ac:dyDescent="0.2">
      <c r="C191" s="647" t="s">
        <v>644</v>
      </c>
    </row>
    <row r="192" spans="3:3" ht="15" x14ac:dyDescent="0.2">
      <c r="C192" s="647" t="s">
        <v>645</v>
      </c>
    </row>
    <row r="193" spans="3:3" ht="15" x14ac:dyDescent="0.2">
      <c r="C193" s="647" t="s">
        <v>646</v>
      </c>
    </row>
    <row r="194" spans="3:3" ht="15" x14ac:dyDescent="0.2">
      <c r="C194" s="647" t="s">
        <v>1129</v>
      </c>
    </row>
    <row r="195" spans="3:3" ht="15" x14ac:dyDescent="0.2">
      <c r="C195" s="647" t="s">
        <v>651</v>
      </c>
    </row>
    <row r="197" spans="3:3" ht="15" x14ac:dyDescent="0.2">
      <c r="C197" s="647" t="s">
        <v>652</v>
      </c>
    </row>
    <row r="198" spans="3:3" ht="15" x14ac:dyDescent="0.2">
      <c r="C198" s="647" t="s">
        <v>653</v>
      </c>
    </row>
    <row r="200" spans="3:3" ht="15" x14ac:dyDescent="0.2">
      <c r="C200" s="647" t="s">
        <v>654</v>
      </c>
    </row>
    <row r="201" spans="3:3" ht="15" x14ac:dyDescent="0.2">
      <c r="C201" s="647" t="s">
        <v>655</v>
      </c>
    </row>
    <row r="202" spans="3:3" ht="15" x14ac:dyDescent="0.2">
      <c r="C202" s="647" t="s">
        <v>656</v>
      </c>
    </row>
    <row r="204" spans="3:3" ht="15" x14ac:dyDescent="0.2">
      <c r="C204" s="647" t="s">
        <v>657</v>
      </c>
    </row>
    <row r="205" spans="3:3" ht="15" x14ac:dyDescent="0.2">
      <c r="C205" s="647" t="s">
        <v>658</v>
      </c>
    </row>
    <row r="206" spans="3:3" ht="15" x14ac:dyDescent="0.2">
      <c r="C206" s="647" t="s">
        <v>659</v>
      </c>
    </row>
    <row r="207" spans="3:3" ht="15" x14ac:dyDescent="0.2">
      <c r="C207" s="647" t="s">
        <v>660</v>
      </c>
    </row>
    <row r="209" spans="3:3" ht="15" x14ac:dyDescent="0.2">
      <c r="C209" s="647" t="s">
        <v>661</v>
      </c>
    </row>
    <row r="210" spans="3:3" ht="15" x14ac:dyDescent="0.2">
      <c r="C210" s="647" t="s">
        <v>662</v>
      </c>
    </row>
    <row r="211" spans="3:3" ht="15" x14ac:dyDescent="0.2">
      <c r="C211" s="647" t="s">
        <v>663</v>
      </c>
    </row>
    <row r="212" spans="3:3" ht="15" x14ac:dyDescent="0.2">
      <c r="C212" s="647" t="s">
        <v>664</v>
      </c>
    </row>
    <row r="213" spans="3:3" ht="15" x14ac:dyDescent="0.2">
      <c r="C213" s="647" t="s">
        <v>623</v>
      </c>
    </row>
    <row r="214" spans="3:3" ht="15" x14ac:dyDescent="0.2">
      <c r="C214" s="647" t="s">
        <v>624</v>
      </c>
    </row>
    <row r="215" spans="3:3" ht="15" x14ac:dyDescent="0.2">
      <c r="C215" s="647" t="s">
        <v>665</v>
      </c>
    </row>
    <row r="216" spans="3:3" ht="15" x14ac:dyDescent="0.2">
      <c r="C216" s="647" t="s">
        <v>666</v>
      </c>
    </row>
    <row r="217" spans="3:3" ht="15" x14ac:dyDescent="0.2">
      <c r="C217" s="647" t="s">
        <v>667</v>
      </c>
    </row>
    <row r="218" spans="3:3" ht="15" x14ac:dyDescent="0.2">
      <c r="C218" s="647" t="s">
        <v>1956</v>
      </c>
    </row>
    <row r="219" spans="3:3" ht="15" x14ac:dyDescent="0.2">
      <c r="C219" s="647" t="s">
        <v>1957</v>
      </c>
    </row>
    <row r="220" spans="3:3" ht="15" x14ac:dyDescent="0.2">
      <c r="C220" s="647" t="s">
        <v>1958</v>
      </c>
    </row>
    <row r="221" spans="3:3" ht="15" x14ac:dyDescent="0.2">
      <c r="C221" s="647" t="s">
        <v>1959</v>
      </c>
    </row>
    <row r="222" spans="3:3" ht="15" x14ac:dyDescent="0.2">
      <c r="C222" s="647" t="s">
        <v>1960</v>
      </c>
    </row>
    <row r="223" spans="3:3" ht="15" x14ac:dyDescent="0.2">
      <c r="C223" s="647" t="s">
        <v>1961</v>
      </c>
    </row>
    <row r="224" spans="3:3" ht="15" x14ac:dyDescent="0.2">
      <c r="C224" s="647" t="s">
        <v>1962</v>
      </c>
    </row>
    <row r="225" spans="3:3" ht="15" x14ac:dyDescent="0.2">
      <c r="C225" s="647" t="s">
        <v>673</v>
      </c>
    </row>
    <row r="226" spans="3:3" ht="15" x14ac:dyDescent="0.2">
      <c r="C226" s="647" t="s">
        <v>674</v>
      </c>
    </row>
    <row r="227" spans="3:3" ht="15" x14ac:dyDescent="0.2">
      <c r="C227" s="647" t="s">
        <v>675</v>
      </c>
    </row>
    <row r="228" spans="3:3" ht="15" x14ac:dyDescent="0.2">
      <c r="C228" s="647" t="s">
        <v>676</v>
      </c>
    </row>
    <row r="229" spans="3:3" ht="15" x14ac:dyDescent="0.2">
      <c r="C229" s="647" t="s">
        <v>677</v>
      </c>
    </row>
    <row r="230" spans="3:3" ht="15" x14ac:dyDescent="0.2">
      <c r="C230" s="647" t="s">
        <v>678</v>
      </c>
    </row>
    <row r="231" spans="3:3" ht="15" x14ac:dyDescent="0.2">
      <c r="C231" s="647" t="s">
        <v>679</v>
      </c>
    </row>
    <row r="232" spans="3:3" ht="15" x14ac:dyDescent="0.2">
      <c r="C232" s="647" t="s">
        <v>680</v>
      </c>
    </row>
    <row r="233" spans="3:3" ht="15" x14ac:dyDescent="0.2">
      <c r="C233" s="647" t="s">
        <v>681</v>
      </c>
    </row>
    <row r="234" spans="3:3" ht="15" x14ac:dyDescent="0.2">
      <c r="C234" s="647" t="s">
        <v>682</v>
      </c>
    </row>
    <row r="235" spans="3:3" ht="15" x14ac:dyDescent="0.2">
      <c r="C235" s="647" t="s">
        <v>683</v>
      </c>
    </row>
    <row r="236" spans="3:3" ht="15" x14ac:dyDescent="0.2">
      <c r="C236" s="647" t="s">
        <v>684</v>
      </c>
    </row>
    <row r="237" spans="3:3" ht="15" x14ac:dyDescent="0.2">
      <c r="C237" s="647" t="s">
        <v>685</v>
      </c>
    </row>
    <row r="238" spans="3:3" ht="15" x14ac:dyDescent="0.2">
      <c r="C238" s="647" t="s">
        <v>686</v>
      </c>
    </row>
    <row r="239" spans="3:3" ht="15" x14ac:dyDescent="0.2">
      <c r="C239" s="647" t="s">
        <v>687</v>
      </c>
    </row>
    <row r="240" spans="3:3" ht="15" x14ac:dyDescent="0.2">
      <c r="C240" s="647" t="s">
        <v>688</v>
      </c>
    </row>
    <row r="241" spans="3:3" ht="15" x14ac:dyDescent="0.2">
      <c r="C241" s="647" t="s">
        <v>689</v>
      </c>
    </row>
    <row r="242" spans="3:3" ht="15" x14ac:dyDescent="0.2">
      <c r="C242" s="647" t="s">
        <v>690</v>
      </c>
    </row>
    <row r="243" spans="3:3" ht="15" x14ac:dyDescent="0.2">
      <c r="C243" s="647" t="s">
        <v>691</v>
      </c>
    </row>
    <row r="244" spans="3:3" ht="15" x14ac:dyDescent="0.2">
      <c r="C244" s="647" t="s">
        <v>692</v>
      </c>
    </row>
    <row r="245" spans="3:3" ht="15" x14ac:dyDescent="0.2">
      <c r="C245" s="647" t="s">
        <v>693</v>
      </c>
    </row>
    <row r="246" spans="3:3" ht="15" x14ac:dyDescent="0.2">
      <c r="C246" s="647" t="s">
        <v>694</v>
      </c>
    </row>
    <row r="247" spans="3:3" ht="15" x14ac:dyDescent="0.2">
      <c r="C247" s="647" t="s">
        <v>695</v>
      </c>
    </row>
    <row r="248" spans="3:3" ht="15" x14ac:dyDescent="0.2">
      <c r="C248" s="647" t="s">
        <v>568</v>
      </c>
    </row>
    <row r="249" spans="3:3" ht="15" x14ac:dyDescent="0.2">
      <c r="C249" s="647" t="s">
        <v>696</v>
      </c>
    </row>
    <row r="250" spans="3:3" ht="15" x14ac:dyDescent="0.2">
      <c r="C250" s="647" t="s">
        <v>697</v>
      </c>
    </row>
    <row r="251" spans="3:3" ht="15" x14ac:dyDescent="0.2">
      <c r="C251" s="647" t="s">
        <v>698</v>
      </c>
    </row>
    <row r="252" spans="3:3" ht="15" x14ac:dyDescent="0.2">
      <c r="C252" s="647" t="s">
        <v>699</v>
      </c>
    </row>
    <row r="253" spans="3:3" ht="15" x14ac:dyDescent="0.2">
      <c r="C253" s="647" t="s">
        <v>685</v>
      </c>
    </row>
    <row r="254" spans="3:3" ht="15" x14ac:dyDescent="0.2">
      <c r="C254" s="647" t="s">
        <v>686</v>
      </c>
    </row>
    <row r="255" spans="3:3" ht="15" x14ac:dyDescent="0.2">
      <c r="C255" s="647" t="s">
        <v>687</v>
      </c>
    </row>
    <row r="256" spans="3:3" ht="15" x14ac:dyDescent="0.2">
      <c r="C256" s="647" t="s">
        <v>700</v>
      </c>
    </row>
    <row r="257" spans="3:3" ht="15" x14ac:dyDescent="0.2">
      <c r="C257" s="647" t="s">
        <v>701</v>
      </c>
    </row>
    <row r="258" spans="3:3" ht="15" x14ac:dyDescent="0.2">
      <c r="C258" s="647" t="s">
        <v>702</v>
      </c>
    </row>
    <row r="259" spans="3:3" ht="15" x14ac:dyDescent="0.2">
      <c r="C259" s="647" t="s">
        <v>703</v>
      </c>
    </row>
    <row r="260" spans="3:3" ht="15" x14ac:dyDescent="0.2">
      <c r="C260" s="647" t="s">
        <v>704</v>
      </c>
    </row>
    <row r="261" spans="3:3" ht="15" x14ac:dyDescent="0.2">
      <c r="C261" s="647" t="s">
        <v>705</v>
      </c>
    </row>
    <row r="262" spans="3:3" ht="15" x14ac:dyDescent="0.2">
      <c r="C262" s="647" t="s">
        <v>706</v>
      </c>
    </row>
    <row r="263" spans="3:3" ht="15" x14ac:dyDescent="0.2">
      <c r="C263" s="647" t="s">
        <v>568</v>
      </c>
    </row>
    <row r="264" spans="3:3" ht="15" x14ac:dyDescent="0.2">
      <c r="C264" s="647" t="s">
        <v>707</v>
      </c>
    </row>
    <row r="265" spans="3:3" ht="15" x14ac:dyDescent="0.2">
      <c r="C265" s="647" t="s">
        <v>708</v>
      </c>
    </row>
    <row r="266" spans="3:3" ht="15" x14ac:dyDescent="0.2">
      <c r="C266" s="647" t="s">
        <v>709</v>
      </c>
    </row>
    <row r="267" spans="3:3" ht="15" x14ac:dyDescent="0.2">
      <c r="C267" s="647" t="s">
        <v>685</v>
      </c>
    </row>
    <row r="268" spans="3:3" ht="15" x14ac:dyDescent="0.2">
      <c r="C268" s="647" t="s">
        <v>686</v>
      </c>
    </row>
    <row r="269" spans="3:3" ht="15" x14ac:dyDescent="0.2">
      <c r="C269" s="647" t="s">
        <v>687</v>
      </c>
    </row>
    <row r="270" spans="3:3" ht="15" x14ac:dyDescent="0.2">
      <c r="C270" s="647" t="s">
        <v>710</v>
      </c>
    </row>
    <row r="271" spans="3:3" ht="15" x14ac:dyDescent="0.2">
      <c r="C271" s="647" t="s">
        <v>711</v>
      </c>
    </row>
    <row r="272" spans="3:3" ht="15" x14ac:dyDescent="0.2">
      <c r="C272" s="647" t="s">
        <v>568</v>
      </c>
    </row>
    <row r="273" spans="3:3" ht="15" x14ac:dyDescent="0.2">
      <c r="C273" s="647" t="s">
        <v>712</v>
      </c>
    </row>
    <row r="274" spans="3:3" ht="15" x14ac:dyDescent="0.2">
      <c r="C274" s="647" t="s">
        <v>713</v>
      </c>
    </row>
    <row r="275" spans="3:3" ht="15" x14ac:dyDescent="0.2">
      <c r="C275" s="647" t="s">
        <v>685</v>
      </c>
    </row>
    <row r="276" spans="3:3" ht="15" x14ac:dyDescent="0.2">
      <c r="C276" s="647" t="s">
        <v>686</v>
      </c>
    </row>
    <row r="277" spans="3:3" ht="15" x14ac:dyDescent="0.2">
      <c r="C277" s="647" t="s">
        <v>687</v>
      </c>
    </row>
    <row r="278" spans="3:3" ht="15" x14ac:dyDescent="0.2">
      <c r="C278" s="647" t="s">
        <v>701</v>
      </c>
    </row>
    <row r="279" spans="3:3" ht="15" x14ac:dyDescent="0.2">
      <c r="C279" s="647" t="s">
        <v>702</v>
      </c>
    </row>
    <row r="280" spans="3:3" ht="15" x14ac:dyDescent="0.2">
      <c r="C280" s="647" t="s">
        <v>703</v>
      </c>
    </row>
    <row r="281" spans="3:3" ht="15" x14ac:dyDescent="0.2">
      <c r="C281" s="647" t="s">
        <v>704</v>
      </c>
    </row>
    <row r="282" spans="3:3" ht="15" x14ac:dyDescent="0.2">
      <c r="C282" s="647" t="s">
        <v>705</v>
      </c>
    </row>
    <row r="283" spans="3:3" ht="15" x14ac:dyDescent="0.2">
      <c r="C283" s="647" t="s">
        <v>714</v>
      </c>
    </row>
    <row r="284" spans="3:3" ht="15" x14ac:dyDescent="0.2">
      <c r="C284" s="647" t="s">
        <v>715</v>
      </c>
    </row>
    <row r="285" spans="3:3" ht="15" x14ac:dyDescent="0.2">
      <c r="C285" s="647" t="s">
        <v>716</v>
      </c>
    </row>
    <row r="286" spans="3:3" ht="15" x14ac:dyDescent="0.2">
      <c r="C286" s="647" t="s">
        <v>717</v>
      </c>
    </row>
    <row r="287" spans="3:3" ht="15" x14ac:dyDescent="0.2">
      <c r="C287" s="647" t="s">
        <v>718</v>
      </c>
    </row>
    <row r="288" spans="3:3" ht="15" x14ac:dyDescent="0.2">
      <c r="C288" s="647" t="s">
        <v>719</v>
      </c>
    </row>
    <row r="289" spans="3:3" ht="15" x14ac:dyDescent="0.2">
      <c r="C289" s="647" t="s">
        <v>720</v>
      </c>
    </row>
    <row r="290" spans="3:3" ht="15" x14ac:dyDescent="0.2">
      <c r="C290" s="647" t="s">
        <v>721</v>
      </c>
    </row>
    <row r="291" spans="3:3" ht="15" x14ac:dyDescent="0.2">
      <c r="C291" s="647" t="s">
        <v>722</v>
      </c>
    </row>
    <row r="292" spans="3:3" ht="15" x14ac:dyDescent="0.2">
      <c r="C292" s="647" t="s">
        <v>723</v>
      </c>
    </row>
    <row r="293" spans="3:3" ht="15" x14ac:dyDescent="0.2">
      <c r="C293" s="647" t="s">
        <v>724</v>
      </c>
    </row>
    <row r="294" spans="3:3" ht="15" x14ac:dyDescent="0.2">
      <c r="C294" s="647" t="s">
        <v>725</v>
      </c>
    </row>
    <row r="295" spans="3:3" ht="15" x14ac:dyDescent="0.2">
      <c r="C295" s="647" t="s">
        <v>726</v>
      </c>
    </row>
    <row r="296" spans="3:3" ht="15" x14ac:dyDescent="0.2">
      <c r="C296" s="647" t="s">
        <v>727</v>
      </c>
    </row>
    <row r="297" spans="3:3" ht="15" x14ac:dyDescent="0.2">
      <c r="C297" s="647" t="s">
        <v>728</v>
      </c>
    </row>
    <row r="298" spans="3:3" ht="15" x14ac:dyDescent="0.2">
      <c r="C298" s="647" t="s">
        <v>729</v>
      </c>
    </row>
    <row r="299" spans="3:3" ht="15" x14ac:dyDescent="0.2">
      <c r="C299" s="647" t="s">
        <v>730</v>
      </c>
    </row>
    <row r="300" spans="3:3" ht="15" x14ac:dyDescent="0.2">
      <c r="C300" s="647" t="s">
        <v>731</v>
      </c>
    </row>
    <row r="301" spans="3:3" ht="15" x14ac:dyDescent="0.2">
      <c r="C301" s="647" t="s">
        <v>723</v>
      </c>
    </row>
    <row r="302" spans="3:3" ht="15" x14ac:dyDescent="0.2">
      <c r="C302" s="647" t="s">
        <v>732</v>
      </c>
    </row>
    <row r="303" spans="3:3" ht="15" x14ac:dyDescent="0.2">
      <c r="C303" s="647" t="s">
        <v>733</v>
      </c>
    </row>
    <row r="304" spans="3:3" ht="15" x14ac:dyDescent="0.2">
      <c r="C304" s="647" t="s">
        <v>734</v>
      </c>
    </row>
    <row r="305" spans="3:3" ht="15" x14ac:dyDescent="0.2">
      <c r="C305" s="647" t="s">
        <v>2104</v>
      </c>
    </row>
    <row r="306" spans="3:3" ht="15" x14ac:dyDescent="0.2">
      <c r="C306" s="647" t="s">
        <v>568</v>
      </c>
    </row>
    <row r="307" spans="3:3" ht="15" x14ac:dyDescent="0.2">
      <c r="C307" s="647" t="s">
        <v>736</v>
      </c>
    </row>
    <row r="308" spans="3:3" ht="15" x14ac:dyDescent="0.2">
      <c r="C308" s="647" t="s">
        <v>737</v>
      </c>
    </row>
    <row r="309" spans="3:3" ht="15" x14ac:dyDescent="0.2">
      <c r="C309" s="647" t="s">
        <v>738</v>
      </c>
    </row>
    <row r="310" spans="3:3" ht="15" x14ac:dyDescent="0.2">
      <c r="C310" s="647" t="s">
        <v>723</v>
      </c>
    </row>
    <row r="311" spans="3:3" ht="15" x14ac:dyDescent="0.2">
      <c r="C311" s="647" t="s">
        <v>739</v>
      </c>
    </row>
    <row r="312" spans="3:3" ht="15" x14ac:dyDescent="0.2">
      <c r="C312" s="647" t="s">
        <v>740</v>
      </c>
    </row>
    <row r="313" spans="3:3" ht="15" x14ac:dyDescent="0.2">
      <c r="C313" s="647" t="s">
        <v>741</v>
      </c>
    </row>
    <row r="314" spans="3:3" ht="15" x14ac:dyDescent="0.2">
      <c r="C314" s="647" t="s">
        <v>742</v>
      </c>
    </row>
    <row r="315" spans="3:3" ht="15" x14ac:dyDescent="0.2">
      <c r="C315" s="647" t="s">
        <v>743</v>
      </c>
    </row>
    <row r="316" spans="3:3" ht="15" x14ac:dyDescent="0.2">
      <c r="C316" s="647" t="s">
        <v>744</v>
      </c>
    </row>
    <row r="317" spans="3:3" ht="15" x14ac:dyDescent="0.2">
      <c r="C317" s="647" t="s">
        <v>745</v>
      </c>
    </row>
    <row r="318" spans="3:3" ht="15" x14ac:dyDescent="0.2">
      <c r="C318" s="647" t="s">
        <v>1963</v>
      </c>
    </row>
    <row r="319" spans="3:3" ht="15" x14ac:dyDescent="0.2">
      <c r="C319" s="647" t="s">
        <v>1964</v>
      </c>
    </row>
    <row r="321" spans="3:3" ht="15" x14ac:dyDescent="0.2">
      <c r="C321" s="647" t="s">
        <v>2105</v>
      </c>
    </row>
    <row r="322" spans="3:3" ht="15" x14ac:dyDescent="0.2">
      <c r="C322" s="647" t="s">
        <v>2106</v>
      </c>
    </row>
    <row r="323" spans="3:3" ht="15" x14ac:dyDescent="0.2">
      <c r="C323" s="647" t="s">
        <v>2107</v>
      </c>
    </row>
    <row r="324" spans="3:3" ht="15" x14ac:dyDescent="0.2">
      <c r="C324" s="647" t="s">
        <v>2108</v>
      </c>
    </row>
    <row r="325" spans="3:3" ht="15" x14ac:dyDescent="0.2">
      <c r="C325" s="647" t="s">
        <v>2109</v>
      </c>
    </row>
    <row r="326" spans="3:3" ht="15" x14ac:dyDescent="0.2">
      <c r="C326" s="647" t="s">
        <v>2110</v>
      </c>
    </row>
    <row r="327" spans="3:3" ht="15" x14ac:dyDescent="0.2">
      <c r="C327" s="647" t="s">
        <v>2111</v>
      </c>
    </row>
    <row r="328" spans="3:3" ht="15" x14ac:dyDescent="0.2">
      <c r="C328" s="647" t="s">
        <v>2112</v>
      </c>
    </row>
    <row r="329" spans="3:3" ht="15" x14ac:dyDescent="0.2">
      <c r="C329" s="647" t="s">
        <v>2113</v>
      </c>
    </row>
    <row r="330" spans="3:3" ht="15" x14ac:dyDescent="0.2">
      <c r="C330" s="647" t="s">
        <v>2114</v>
      </c>
    </row>
    <row r="331" spans="3:3" ht="15" x14ac:dyDescent="0.2">
      <c r="C331" s="647" t="s">
        <v>2115</v>
      </c>
    </row>
    <row r="332" spans="3:3" ht="15" x14ac:dyDescent="0.2">
      <c r="C332" s="647" t="s">
        <v>2116</v>
      </c>
    </row>
    <row r="333" spans="3:3" ht="15" x14ac:dyDescent="0.2">
      <c r="C333" s="647" t="s">
        <v>800</v>
      </c>
    </row>
    <row r="334" spans="3:3" ht="15" x14ac:dyDescent="0.2">
      <c r="C334" s="647" t="s">
        <v>845</v>
      </c>
    </row>
    <row r="336" spans="3:3" ht="15" x14ac:dyDescent="0.2">
      <c r="C336" s="647" t="s">
        <v>846</v>
      </c>
    </row>
    <row r="337" spans="3:3" ht="15" x14ac:dyDescent="0.2">
      <c r="C337" s="647" t="s">
        <v>2117</v>
      </c>
    </row>
    <row r="338" spans="3:3" ht="15" x14ac:dyDescent="0.2">
      <c r="C338" s="647" t="s">
        <v>2008</v>
      </c>
    </row>
    <row r="339" spans="3:3" ht="15" x14ac:dyDescent="0.2">
      <c r="C339" s="647" t="s">
        <v>849</v>
      </c>
    </row>
    <row r="340" spans="3:3" ht="15" x14ac:dyDescent="0.2">
      <c r="C340" s="647" t="s">
        <v>850</v>
      </c>
    </row>
    <row r="342" spans="3:3" ht="15" x14ac:dyDescent="0.2">
      <c r="C342" s="647" t="s">
        <v>851</v>
      </c>
    </row>
    <row r="343" spans="3:3" ht="15" x14ac:dyDescent="0.2">
      <c r="C343" s="647" t="s">
        <v>852</v>
      </c>
    </row>
    <row r="344" spans="3:3" ht="15" x14ac:dyDescent="0.2">
      <c r="C344" s="647" t="s">
        <v>853</v>
      </c>
    </row>
    <row r="345" spans="3:3" ht="15" x14ac:dyDescent="0.2">
      <c r="C345" s="647" t="s">
        <v>854</v>
      </c>
    </row>
    <row r="346" spans="3:3" ht="15" x14ac:dyDescent="0.2">
      <c r="C346" s="647" t="s">
        <v>855</v>
      </c>
    </row>
    <row r="347" spans="3:3" ht="15" x14ac:dyDescent="0.2">
      <c r="C347" s="647" t="s">
        <v>856</v>
      </c>
    </row>
    <row r="348" spans="3:3" ht="15" x14ac:dyDescent="0.2">
      <c r="C348" s="647" t="s">
        <v>857</v>
      </c>
    </row>
    <row r="349" spans="3:3" ht="15" x14ac:dyDescent="0.2">
      <c r="C349" s="647" t="s">
        <v>2118</v>
      </c>
    </row>
    <row r="350" spans="3:3" ht="15" x14ac:dyDescent="0.2">
      <c r="C350" s="647" t="s">
        <v>859</v>
      </c>
    </row>
    <row r="351" spans="3:3" ht="15" x14ac:dyDescent="0.2">
      <c r="C351" s="647" t="s">
        <v>860</v>
      </c>
    </row>
    <row r="352" spans="3:3" ht="15" x14ac:dyDescent="0.2">
      <c r="C352" s="647" t="s">
        <v>861</v>
      </c>
    </row>
    <row r="353" spans="3:3" ht="15" x14ac:dyDescent="0.2">
      <c r="C353" s="647" t="s">
        <v>862</v>
      </c>
    </row>
    <row r="354" spans="3:3" ht="15" x14ac:dyDescent="0.2">
      <c r="C354" s="647" t="s">
        <v>863</v>
      </c>
    </row>
    <row r="356" spans="3:3" ht="15" x14ac:dyDescent="0.2">
      <c r="C356" s="647" t="s">
        <v>864</v>
      </c>
    </row>
    <row r="358" spans="3:3" ht="15" x14ac:dyDescent="0.2">
      <c r="C358" s="647" t="s">
        <v>865</v>
      </c>
    </row>
    <row r="359" spans="3:3" ht="15" x14ac:dyDescent="0.2">
      <c r="C359" s="647" t="s">
        <v>866</v>
      </c>
    </row>
    <row r="360" spans="3:3" ht="15" x14ac:dyDescent="0.2">
      <c r="C360" s="647" t="s">
        <v>867</v>
      </c>
    </row>
    <row r="361" spans="3:3" ht="15" x14ac:dyDescent="0.2">
      <c r="C361" s="647" t="s">
        <v>868</v>
      </c>
    </row>
    <row r="362" spans="3:3" ht="15" x14ac:dyDescent="0.2">
      <c r="C362" s="647" t="s">
        <v>869</v>
      </c>
    </row>
    <row r="363" spans="3:3" ht="15" x14ac:dyDescent="0.2">
      <c r="C363" s="647" t="s">
        <v>2119</v>
      </c>
    </row>
    <row r="364" spans="3:3" ht="15" x14ac:dyDescent="0.2">
      <c r="C364" s="647" t="s">
        <v>849</v>
      </c>
    </row>
    <row r="366" spans="3:3" ht="15" x14ac:dyDescent="0.2">
      <c r="C366" s="647" t="s">
        <v>871</v>
      </c>
    </row>
    <row r="367" spans="3:3" ht="15" x14ac:dyDescent="0.2">
      <c r="C367" s="647" t="s">
        <v>872</v>
      </c>
    </row>
    <row r="369" spans="3:3" ht="15" x14ac:dyDescent="0.2">
      <c r="C369" s="647" t="s">
        <v>873</v>
      </c>
    </row>
    <row r="370" spans="3:3" ht="15" x14ac:dyDescent="0.2">
      <c r="C370" s="647" t="s">
        <v>874</v>
      </c>
    </row>
    <row r="371" spans="3:3" ht="15" x14ac:dyDescent="0.2">
      <c r="C371" s="647" t="s">
        <v>875</v>
      </c>
    </row>
    <row r="372" spans="3:3" ht="15" x14ac:dyDescent="0.2">
      <c r="C372" s="647" t="s">
        <v>876</v>
      </c>
    </row>
    <row r="373" spans="3:3" ht="15" x14ac:dyDescent="0.2">
      <c r="C373" s="647" t="s">
        <v>877</v>
      </c>
    </row>
    <row r="374" spans="3:3" ht="15" x14ac:dyDescent="0.2">
      <c r="C374" s="647" t="s">
        <v>878</v>
      </c>
    </row>
    <row r="376" spans="3:3" ht="15" x14ac:dyDescent="0.2">
      <c r="C376" s="647" t="s">
        <v>873</v>
      </c>
    </row>
    <row r="377" spans="3:3" ht="15" x14ac:dyDescent="0.2">
      <c r="C377" s="647" t="s">
        <v>879</v>
      </c>
    </row>
    <row r="378" spans="3:3" ht="15" x14ac:dyDescent="0.2">
      <c r="C378" s="647" t="s">
        <v>880</v>
      </c>
    </row>
    <row r="379" spans="3:3" ht="15" x14ac:dyDescent="0.2">
      <c r="C379" s="647" t="s">
        <v>881</v>
      </c>
    </row>
    <row r="380" spans="3:3" ht="15" x14ac:dyDescent="0.2">
      <c r="C380" s="647" t="s">
        <v>882</v>
      </c>
    </row>
    <row r="382" spans="3:3" ht="15" x14ac:dyDescent="0.2">
      <c r="C382" s="647" t="s">
        <v>883</v>
      </c>
    </row>
    <row r="383" spans="3:3" ht="15" x14ac:dyDescent="0.2">
      <c r="C383" s="647" t="s">
        <v>884</v>
      </c>
    </row>
    <row r="384" spans="3:3" ht="15" x14ac:dyDescent="0.2">
      <c r="C384" s="647" t="s">
        <v>885</v>
      </c>
    </row>
    <row r="385" spans="3:3" ht="15" x14ac:dyDescent="0.2">
      <c r="C385" s="647" t="s">
        <v>886</v>
      </c>
    </row>
    <row r="386" spans="3:3" ht="15" x14ac:dyDescent="0.2">
      <c r="C386" s="647" t="s">
        <v>887</v>
      </c>
    </row>
    <row r="388" spans="3:3" ht="15" x14ac:dyDescent="0.2">
      <c r="C388" s="647" t="s">
        <v>888</v>
      </c>
    </row>
    <row r="389" spans="3:3" ht="15" x14ac:dyDescent="0.2">
      <c r="C389" s="647" t="s">
        <v>889</v>
      </c>
    </row>
    <row r="390" spans="3:3" ht="15" x14ac:dyDescent="0.2">
      <c r="C390" s="647" t="s">
        <v>623</v>
      </c>
    </row>
    <row r="391" spans="3:3" ht="15" x14ac:dyDescent="0.2">
      <c r="C391" s="647" t="s">
        <v>624</v>
      </c>
    </row>
    <row r="392" spans="3:3" ht="15" x14ac:dyDescent="0.2">
      <c r="C392" s="647" t="s">
        <v>890</v>
      </c>
    </row>
    <row r="393" spans="3:3" ht="15" x14ac:dyDescent="0.2">
      <c r="C393" s="647" t="s">
        <v>891</v>
      </c>
    </row>
    <row r="394" spans="3:3" ht="15" x14ac:dyDescent="0.2">
      <c r="C394" s="647" t="s">
        <v>892</v>
      </c>
    </row>
    <row r="396" spans="3:3" ht="15" x14ac:dyDescent="0.2">
      <c r="C396" s="647" t="s">
        <v>893</v>
      </c>
    </row>
    <row r="397" spans="3:3" ht="15" x14ac:dyDescent="0.2">
      <c r="C397" s="647" t="s">
        <v>624</v>
      </c>
    </row>
    <row r="399" spans="3:3" ht="15" x14ac:dyDescent="0.2">
      <c r="C399" s="647" t="s">
        <v>894</v>
      </c>
    </row>
    <row r="400" spans="3:3" ht="15" x14ac:dyDescent="0.2">
      <c r="C400" s="647" t="s">
        <v>895</v>
      </c>
    </row>
    <row r="401" spans="3:3" ht="15" x14ac:dyDescent="0.2">
      <c r="C401" s="647" t="s">
        <v>896</v>
      </c>
    </row>
    <row r="403" spans="3:3" ht="15" x14ac:dyDescent="0.2">
      <c r="C403" s="647" t="s">
        <v>897</v>
      </c>
    </row>
    <row r="404" spans="3:3" ht="15" x14ac:dyDescent="0.2">
      <c r="C404" s="647" t="s">
        <v>898</v>
      </c>
    </row>
    <row r="405" spans="3:3" ht="15" x14ac:dyDescent="0.2">
      <c r="C405" s="647" t="s">
        <v>899</v>
      </c>
    </row>
    <row r="406" spans="3:3" ht="15" x14ac:dyDescent="0.2">
      <c r="C406" s="647" t="s">
        <v>900</v>
      </c>
    </row>
    <row r="407" spans="3:3" ht="15" x14ac:dyDescent="0.2">
      <c r="C407" s="647" t="s">
        <v>901</v>
      </c>
    </row>
    <row r="409" spans="3:3" ht="15" x14ac:dyDescent="0.2">
      <c r="C409" s="647" t="s">
        <v>2041</v>
      </c>
    </row>
    <row r="411" spans="3:3" ht="15" x14ac:dyDescent="0.2">
      <c r="C411" s="647" t="s">
        <v>903</v>
      </c>
    </row>
    <row r="412" spans="3:3" ht="15" x14ac:dyDescent="0.2">
      <c r="C412" s="647" t="s">
        <v>904</v>
      </c>
    </row>
    <row r="413" spans="3:3" ht="15" x14ac:dyDescent="0.2">
      <c r="C413" s="647" t="s">
        <v>2120</v>
      </c>
    </row>
    <row r="414" spans="3:3" ht="15" x14ac:dyDescent="0.2">
      <c r="C414" s="647" t="s">
        <v>906</v>
      </c>
    </row>
    <row r="415" spans="3:3" ht="15" x14ac:dyDescent="0.2">
      <c r="C415" s="647" t="s">
        <v>2121</v>
      </c>
    </row>
    <row r="416" spans="3:3" ht="15" x14ac:dyDescent="0.2">
      <c r="C416" s="647" t="s">
        <v>908</v>
      </c>
    </row>
    <row r="417" spans="3:3" ht="15" x14ac:dyDescent="0.2">
      <c r="C417" s="647" t="s">
        <v>909</v>
      </c>
    </row>
    <row r="418" spans="3:3" ht="15" x14ac:dyDescent="0.2">
      <c r="C418" s="647" t="s">
        <v>849</v>
      </c>
    </row>
    <row r="420" spans="3:3" ht="15" x14ac:dyDescent="0.2">
      <c r="C420" s="647" t="s">
        <v>2122</v>
      </c>
    </row>
    <row r="421" spans="3:3" ht="15" x14ac:dyDescent="0.2">
      <c r="C421" s="647" t="s">
        <v>2123</v>
      </c>
    </row>
    <row r="423" spans="3:3" ht="15" x14ac:dyDescent="0.2">
      <c r="C423" s="647" t="s">
        <v>903</v>
      </c>
    </row>
    <row r="424" spans="3:3" ht="15" x14ac:dyDescent="0.2">
      <c r="C424" s="647" t="s">
        <v>2046</v>
      </c>
    </row>
    <row r="425" spans="3:3" ht="15" x14ac:dyDescent="0.2">
      <c r="C425" s="647" t="s">
        <v>2124</v>
      </c>
    </row>
    <row r="426" spans="3:3" ht="15" x14ac:dyDescent="0.2">
      <c r="C426" s="647" t="s">
        <v>906</v>
      </c>
    </row>
    <row r="427" spans="3:3" ht="15" x14ac:dyDescent="0.2">
      <c r="C427" s="647" t="s">
        <v>914</v>
      </c>
    </row>
    <row r="428" spans="3:3" ht="15" x14ac:dyDescent="0.2">
      <c r="C428" s="647" t="s">
        <v>915</v>
      </c>
    </row>
    <row r="429" spans="3:3" ht="15" x14ac:dyDescent="0.2">
      <c r="C429" s="647" t="s">
        <v>1083</v>
      </c>
    </row>
    <row r="430" spans="3:3" ht="15" x14ac:dyDescent="0.2">
      <c r="C430" s="647" t="s">
        <v>916</v>
      </c>
    </row>
    <row r="431" spans="3:3" ht="15" x14ac:dyDescent="0.2">
      <c r="C431" s="647" t="s">
        <v>917</v>
      </c>
    </row>
    <row r="432" spans="3:3" ht="15" x14ac:dyDescent="0.2">
      <c r="C432" s="647" t="s">
        <v>849</v>
      </c>
    </row>
    <row r="433" spans="3:3" ht="15" x14ac:dyDescent="0.2">
      <c r="C433" s="647" t="s">
        <v>800</v>
      </c>
    </row>
    <row r="434" spans="3:3" ht="15" x14ac:dyDescent="0.2">
      <c r="C434" s="647" t="s">
        <v>2125</v>
      </c>
    </row>
    <row r="435" spans="3:3" ht="15" x14ac:dyDescent="0.2">
      <c r="C435" s="647" t="s">
        <v>903</v>
      </c>
    </row>
    <row r="436" spans="3:3" ht="15" x14ac:dyDescent="0.2">
      <c r="C436" s="647" t="s">
        <v>904</v>
      </c>
    </row>
    <row r="437" spans="3:3" ht="15" x14ac:dyDescent="0.2">
      <c r="C437" s="647" t="s">
        <v>2126</v>
      </c>
    </row>
    <row r="438" spans="3:3" ht="15" x14ac:dyDescent="0.2">
      <c r="C438" s="647" t="s">
        <v>906</v>
      </c>
    </row>
    <row r="439" spans="3:3" ht="15" x14ac:dyDescent="0.2">
      <c r="C439" s="647" t="s">
        <v>2127</v>
      </c>
    </row>
    <row r="440" spans="3:3" ht="15" x14ac:dyDescent="0.2">
      <c r="C440" s="647" t="s">
        <v>2026</v>
      </c>
    </row>
    <row r="441" spans="3:3" ht="15" x14ac:dyDescent="0.2">
      <c r="C441" s="647" t="s">
        <v>909</v>
      </c>
    </row>
    <row r="442" spans="3:3" ht="15" x14ac:dyDescent="0.2">
      <c r="C442" s="647" t="s">
        <v>849</v>
      </c>
    </row>
    <row r="444" spans="3:3" ht="15" x14ac:dyDescent="0.2">
      <c r="C444" s="647" t="s">
        <v>2128</v>
      </c>
    </row>
    <row r="445" spans="3:3" ht="15" x14ac:dyDescent="0.2">
      <c r="C445" s="647" t="s">
        <v>2129</v>
      </c>
    </row>
    <row r="447" spans="3:3" ht="15" x14ac:dyDescent="0.2">
      <c r="C447" s="647" t="s">
        <v>903</v>
      </c>
    </row>
    <row r="448" spans="3:3" ht="15" x14ac:dyDescent="0.2">
      <c r="C448" s="647" t="s">
        <v>2130</v>
      </c>
    </row>
    <row r="449" spans="3:3" ht="15" x14ac:dyDescent="0.2">
      <c r="C449" s="647" t="s">
        <v>906</v>
      </c>
    </row>
    <row r="450" spans="3:3" ht="15" x14ac:dyDescent="0.2">
      <c r="C450" s="647" t="s">
        <v>914</v>
      </c>
    </row>
    <row r="451" spans="3:3" ht="15" x14ac:dyDescent="0.2">
      <c r="C451" s="647" t="s">
        <v>915</v>
      </c>
    </row>
    <row r="452" spans="3:3" ht="15" x14ac:dyDescent="0.2">
      <c r="C452" s="647" t="s">
        <v>1083</v>
      </c>
    </row>
    <row r="453" spans="3:3" ht="15" x14ac:dyDescent="0.2">
      <c r="C453" s="647" t="s">
        <v>916</v>
      </c>
    </row>
    <row r="454" spans="3:3" ht="15" x14ac:dyDescent="0.2">
      <c r="C454" s="647" t="s">
        <v>917</v>
      </c>
    </row>
    <row r="455" spans="3:3" ht="15" x14ac:dyDescent="0.2">
      <c r="C455" s="647" t="s">
        <v>849</v>
      </c>
    </row>
    <row r="457" spans="3:3" ht="15" x14ac:dyDescent="0.2">
      <c r="C457" s="647" t="s">
        <v>919</v>
      </c>
    </row>
    <row r="458" spans="3:3" ht="15" x14ac:dyDescent="0.2">
      <c r="C458" s="647" t="s">
        <v>920</v>
      </c>
    </row>
    <row r="459" spans="3:3" ht="15" x14ac:dyDescent="0.2">
      <c r="C459" s="647" t="s">
        <v>921</v>
      </c>
    </row>
    <row r="460" spans="3:3" ht="15" x14ac:dyDescent="0.2">
      <c r="C460" s="647" t="s">
        <v>922</v>
      </c>
    </row>
    <row r="461" spans="3:3" ht="15" x14ac:dyDescent="0.2">
      <c r="C461" s="647" t="s">
        <v>923</v>
      </c>
    </row>
    <row r="462" spans="3:3" ht="15" x14ac:dyDescent="0.2">
      <c r="C462" s="647" t="s">
        <v>924</v>
      </c>
    </row>
    <row r="463" spans="3:3" ht="15" x14ac:dyDescent="0.2">
      <c r="C463" s="647" t="s">
        <v>925</v>
      </c>
    </row>
    <row r="464" spans="3:3" ht="15" x14ac:dyDescent="0.2">
      <c r="C464" s="647" t="s">
        <v>926</v>
      </c>
    </row>
    <row r="465" spans="3:3" ht="15" x14ac:dyDescent="0.2">
      <c r="C465" s="647" t="s">
        <v>927</v>
      </c>
    </row>
    <row r="466" spans="3:3" ht="15" x14ac:dyDescent="0.2">
      <c r="C466" s="647" t="s">
        <v>1137</v>
      </c>
    </row>
    <row r="467" spans="3:3" ht="15" x14ac:dyDescent="0.2">
      <c r="C467" s="647" t="s">
        <v>1138</v>
      </c>
    </row>
    <row r="468" spans="3:3" ht="15" x14ac:dyDescent="0.2">
      <c r="C468" s="647" t="s">
        <v>1139</v>
      </c>
    </row>
    <row r="469" spans="3:3" ht="15" x14ac:dyDescent="0.2">
      <c r="C469" s="647" t="s">
        <v>1140</v>
      </c>
    </row>
    <row r="470" spans="3:3" ht="15" x14ac:dyDescent="0.2">
      <c r="C470" s="647" t="s">
        <v>1141</v>
      </c>
    </row>
    <row r="471" spans="3:3" ht="15" x14ac:dyDescent="0.2">
      <c r="C471" s="647" t="s">
        <v>2131</v>
      </c>
    </row>
    <row r="472" spans="3:3" ht="15" x14ac:dyDescent="0.2">
      <c r="C472" s="647" t="s">
        <v>2132</v>
      </c>
    </row>
    <row r="473" spans="3:3" ht="15" x14ac:dyDescent="0.2">
      <c r="C473" s="647" t="s">
        <v>1143</v>
      </c>
    </row>
    <row r="474" spans="3:3" ht="15" x14ac:dyDescent="0.2">
      <c r="C474" s="647" t="s">
        <v>1144</v>
      </c>
    </row>
    <row r="475" spans="3:3" ht="15" x14ac:dyDescent="0.2">
      <c r="C475" s="647" t="s">
        <v>928</v>
      </c>
    </row>
    <row r="476" spans="3:3" ht="15" x14ac:dyDescent="0.2">
      <c r="C476" s="647" t="s">
        <v>929</v>
      </c>
    </row>
    <row r="477" spans="3:3" ht="15" x14ac:dyDescent="0.2">
      <c r="C477" s="647" t="s">
        <v>930</v>
      </c>
    </row>
    <row r="478" spans="3:3" ht="15" x14ac:dyDescent="0.2">
      <c r="C478" s="647" t="s">
        <v>931</v>
      </c>
    </row>
    <row r="479" spans="3:3" ht="15" x14ac:dyDescent="0.2">
      <c r="C479" s="647" t="s">
        <v>932</v>
      </c>
    </row>
    <row r="480" spans="3:3" ht="15" x14ac:dyDescent="0.2">
      <c r="C480" s="647" t="s">
        <v>933</v>
      </c>
    </row>
    <row r="481" spans="3:3" ht="15" x14ac:dyDescent="0.2">
      <c r="C481" s="647" t="s">
        <v>934</v>
      </c>
    </row>
    <row r="482" spans="3:3" ht="15" x14ac:dyDescent="0.2">
      <c r="C482" s="647" t="s">
        <v>935</v>
      </c>
    </row>
    <row r="483" spans="3:3" ht="15" x14ac:dyDescent="0.2">
      <c r="C483" s="647" t="s">
        <v>936</v>
      </c>
    </row>
    <row r="484" spans="3:3" ht="15" x14ac:dyDescent="0.2">
      <c r="C484" s="647" t="s">
        <v>937</v>
      </c>
    </row>
    <row r="485" spans="3:3" ht="15" x14ac:dyDescent="0.2">
      <c r="C485" s="647" t="s">
        <v>938</v>
      </c>
    </row>
    <row r="486" spans="3:3" ht="15" x14ac:dyDescent="0.2">
      <c r="C486" s="647" t="s">
        <v>939</v>
      </c>
    </row>
    <row r="487" spans="3:3" ht="15" x14ac:dyDescent="0.2">
      <c r="C487" s="647" t="s">
        <v>940</v>
      </c>
    </row>
    <row r="488" spans="3:3" ht="15" x14ac:dyDescent="0.2">
      <c r="C488" s="647" t="s">
        <v>777</v>
      </c>
    </row>
    <row r="489" spans="3:3" ht="15" x14ac:dyDescent="0.2">
      <c r="C489" s="647" t="s">
        <v>941</v>
      </c>
    </row>
    <row r="490" spans="3:3" ht="15" x14ac:dyDescent="0.2">
      <c r="C490" s="647" t="s">
        <v>1145</v>
      </c>
    </row>
    <row r="491" spans="3:3" ht="15" x14ac:dyDescent="0.2">
      <c r="C491" s="647" t="s">
        <v>1146</v>
      </c>
    </row>
    <row r="492" spans="3:3" ht="15" x14ac:dyDescent="0.2">
      <c r="C492" s="647" t="s">
        <v>943</v>
      </c>
    </row>
    <row r="493" spans="3:3" ht="15" x14ac:dyDescent="0.2">
      <c r="C493" s="647" t="s">
        <v>944</v>
      </c>
    </row>
    <row r="494" spans="3:3" ht="15" x14ac:dyDescent="0.2">
      <c r="C494" s="647" t="s">
        <v>945</v>
      </c>
    </row>
    <row r="495" spans="3:3" ht="15" x14ac:dyDescent="0.2">
      <c r="C495" s="647" t="s">
        <v>946</v>
      </c>
    </row>
    <row r="496" spans="3:3" ht="15" x14ac:dyDescent="0.2">
      <c r="C496" s="647" t="s">
        <v>2133</v>
      </c>
    </row>
    <row r="498" spans="3:3" ht="15" x14ac:dyDescent="0.2">
      <c r="C498" s="647" t="s">
        <v>2095</v>
      </c>
    </row>
    <row r="499" spans="3:3" ht="15" x14ac:dyDescent="0.2">
      <c r="C499" s="647" t="s">
        <v>2134</v>
      </c>
    </row>
    <row r="501" spans="3:3" ht="15" x14ac:dyDescent="0.2">
      <c r="C501" s="647" t="s">
        <v>1021</v>
      </c>
    </row>
    <row r="502" spans="3:3" ht="15" x14ac:dyDescent="0.2">
      <c r="C502" s="647" t="s">
        <v>1022</v>
      </c>
    </row>
    <row r="503" spans="3:3" ht="15" x14ac:dyDescent="0.2">
      <c r="C503" s="647" t="s">
        <v>1023</v>
      </c>
    </row>
    <row r="505" spans="3:3" ht="15" x14ac:dyDescent="0.2">
      <c r="C505" s="647" t="s">
        <v>1024</v>
      </c>
    </row>
    <row r="506" spans="3:3" ht="15" x14ac:dyDescent="0.2">
      <c r="C506" s="647" t="s">
        <v>1025</v>
      </c>
    </row>
    <row r="507" spans="3:3" ht="15" x14ac:dyDescent="0.2">
      <c r="C507" s="647" t="s">
        <v>1026</v>
      </c>
    </row>
    <row r="508" spans="3:3" ht="15" x14ac:dyDescent="0.2">
      <c r="C508" s="647" t="s">
        <v>1027</v>
      </c>
    </row>
    <row r="510" spans="3:3" ht="15" x14ac:dyDescent="0.2">
      <c r="C510" s="647" t="s">
        <v>1028</v>
      </c>
    </row>
    <row r="511" spans="3:3" x14ac:dyDescent="0.2">
      <c r="C511" s="649" t="s">
        <v>1029</v>
      </c>
    </row>
    <row r="512" spans="3:3" ht="15" x14ac:dyDescent="0.2">
      <c r="C512" s="647"/>
    </row>
    <row r="513" spans="3:3" ht="15" x14ac:dyDescent="0.2">
      <c r="C513" s="647"/>
    </row>
    <row r="514" spans="3:3" ht="15" x14ac:dyDescent="0.2">
      <c r="C514" s="647"/>
    </row>
    <row r="515" spans="3:3" ht="15" x14ac:dyDescent="0.2">
      <c r="C515" s="647"/>
    </row>
    <row r="516" spans="3:3" ht="15" x14ac:dyDescent="0.2">
      <c r="C516" s="647"/>
    </row>
    <row r="517" spans="3:3" ht="15" x14ac:dyDescent="0.2">
      <c r="C517" s="647"/>
    </row>
    <row r="519" spans="3:3" ht="15" x14ac:dyDescent="0.2">
      <c r="C519" s="647"/>
    </row>
    <row r="520" spans="3:3" ht="15" x14ac:dyDescent="0.2">
      <c r="C520" s="647"/>
    </row>
    <row r="521" spans="3:3" ht="15" x14ac:dyDescent="0.2">
      <c r="C521" s="647"/>
    </row>
    <row r="522" spans="3:3" ht="15" x14ac:dyDescent="0.2">
      <c r="C522" s="647"/>
    </row>
    <row r="523" spans="3:3" ht="15" x14ac:dyDescent="0.2">
      <c r="C523" s="647"/>
    </row>
    <row r="525" spans="3:3" ht="15" x14ac:dyDescent="0.2">
      <c r="C525" s="647"/>
    </row>
    <row r="526" spans="3:3" ht="15" x14ac:dyDescent="0.2">
      <c r="C526" s="647"/>
    </row>
    <row r="527" spans="3:3" ht="15" x14ac:dyDescent="0.2">
      <c r="C527" s="647"/>
    </row>
    <row r="528" spans="3:3" ht="15" x14ac:dyDescent="0.2">
      <c r="C528" s="647"/>
    </row>
    <row r="529" spans="3:3" ht="15" x14ac:dyDescent="0.2">
      <c r="C529" s="647"/>
    </row>
    <row r="531" spans="3:3" ht="15" x14ac:dyDescent="0.2">
      <c r="C531" s="647"/>
    </row>
    <row r="532" spans="3:3" ht="15" x14ac:dyDescent="0.2">
      <c r="C532" s="647"/>
    </row>
    <row r="533" spans="3:3" ht="15" x14ac:dyDescent="0.2">
      <c r="C533" s="647"/>
    </row>
    <row r="534" spans="3:3" ht="15" x14ac:dyDescent="0.2">
      <c r="C534" s="647"/>
    </row>
    <row r="535" spans="3:3" ht="15" x14ac:dyDescent="0.2">
      <c r="C535" s="647"/>
    </row>
    <row r="536" spans="3:3" ht="15" x14ac:dyDescent="0.2">
      <c r="C536" s="647"/>
    </row>
    <row r="537" spans="3:3" ht="15" x14ac:dyDescent="0.2">
      <c r="C537" s="647"/>
    </row>
    <row r="539" spans="3:3" ht="15" x14ac:dyDescent="0.2">
      <c r="C539" s="647"/>
    </row>
    <row r="540" spans="3:3" ht="15" x14ac:dyDescent="0.2">
      <c r="C540" s="647"/>
    </row>
    <row r="542" spans="3:3" ht="15" x14ac:dyDescent="0.2">
      <c r="C542" s="647"/>
    </row>
    <row r="543" spans="3:3" ht="15" x14ac:dyDescent="0.2">
      <c r="C543" s="647"/>
    </row>
    <row r="544" spans="3:3" ht="15" x14ac:dyDescent="0.2">
      <c r="C544" s="647"/>
    </row>
    <row r="546" spans="3:3" ht="15" x14ac:dyDescent="0.2">
      <c r="C546" s="647"/>
    </row>
    <row r="547" spans="3:3" ht="15" x14ac:dyDescent="0.2">
      <c r="C547" s="647"/>
    </row>
    <row r="548" spans="3:3" ht="15" x14ac:dyDescent="0.2">
      <c r="C548" s="647"/>
    </row>
    <row r="549" spans="3:3" ht="15" x14ac:dyDescent="0.2">
      <c r="C549" s="647"/>
    </row>
    <row r="550" spans="3:3" ht="15" x14ac:dyDescent="0.2">
      <c r="C550" s="647"/>
    </row>
    <row r="552" spans="3:3" ht="15" x14ac:dyDescent="0.2">
      <c r="C552" s="647"/>
    </row>
    <row r="553" spans="3:3" ht="15" x14ac:dyDescent="0.2">
      <c r="C553" s="647"/>
    </row>
    <row r="554" spans="3:3" ht="15" x14ac:dyDescent="0.2">
      <c r="C554" s="647"/>
    </row>
    <row r="555" spans="3:3" ht="15" x14ac:dyDescent="0.2">
      <c r="C555" s="647"/>
    </row>
    <row r="556" spans="3:3" ht="15" x14ac:dyDescent="0.2">
      <c r="C556" s="647"/>
    </row>
    <row r="557" spans="3:3" ht="15" x14ac:dyDescent="0.2">
      <c r="C557" s="647"/>
    </row>
    <row r="558" spans="3:3" ht="15" x14ac:dyDescent="0.2">
      <c r="C558" s="647"/>
    </row>
    <row r="559" spans="3:3" ht="15" x14ac:dyDescent="0.2">
      <c r="C559" s="647"/>
    </row>
    <row r="560" spans="3:3" ht="15" x14ac:dyDescent="0.2">
      <c r="C560" s="647"/>
    </row>
    <row r="561" spans="3:3" ht="15" x14ac:dyDescent="0.2">
      <c r="C561" s="647"/>
    </row>
    <row r="562" spans="3:3" ht="15" x14ac:dyDescent="0.2">
      <c r="C562" s="647"/>
    </row>
    <row r="563" spans="3:3" ht="15" x14ac:dyDescent="0.2">
      <c r="C563" s="647"/>
    </row>
    <row r="564" spans="3:3" ht="15" x14ac:dyDescent="0.2">
      <c r="C564" s="647"/>
    </row>
    <row r="565" spans="3:3" ht="15" x14ac:dyDescent="0.2">
      <c r="C565" s="647"/>
    </row>
    <row r="566" spans="3:3" ht="15" x14ac:dyDescent="0.2">
      <c r="C566" s="647"/>
    </row>
    <row r="567" spans="3:3" ht="15" x14ac:dyDescent="0.2">
      <c r="C567" s="647"/>
    </row>
    <row r="568" spans="3:3" ht="15" x14ac:dyDescent="0.2">
      <c r="C568" s="647"/>
    </row>
    <row r="569" spans="3:3" ht="15" x14ac:dyDescent="0.2">
      <c r="C569" s="647"/>
    </row>
    <row r="570" spans="3:3" ht="15" x14ac:dyDescent="0.2">
      <c r="C570" s="647"/>
    </row>
    <row r="571" spans="3:3" ht="15" x14ac:dyDescent="0.2">
      <c r="C571" s="647"/>
    </row>
    <row r="572" spans="3:3" ht="15" x14ac:dyDescent="0.2">
      <c r="C572" s="647"/>
    </row>
    <row r="573" spans="3:3" ht="15" x14ac:dyDescent="0.2">
      <c r="C573" s="647"/>
    </row>
    <row r="574" spans="3:3" ht="15" x14ac:dyDescent="0.2">
      <c r="C574" s="647"/>
    </row>
    <row r="575" spans="3:3" ht="15" x14ac:dyDescent="0.2">
      <c r="C575" s="647"/>
    </row>
    <row r="576" spans="3:3" ht="15" x14ac:dyDescent="0.2">
      <c r="C576" s="647"/>
    </row>
    <row r="577" spans="3:3" ht="15" x14ac:dyDescent="0.2">
      <c r="C577" s="647"/>
    </row>
    <row r="578" spans="3:3" ht="15" x14ac:dyDescent="0.2">
      <c r="C578" s="647"/>
    </row>
    <row r="579" spans="3:3" ht="15" x14ac:dyDescent="0.2">
      <c r="C579" s="647"/>
    </row>
    <row r="580" spans="3:3" ht="15" x14ac:dyDescent="0.2">
      <c r="C580" s="647"/>
    </row>
    <row r="581" spans="3:3" ht="15" x14ac:dyDescent="0.2">
      <c r="C581" s="647"/>
    </row>
    <row r="582" spans="3:3" ht="15" x14ac:dyDescent="0.2">
      <c r="C582" s="647"/>
    </row>
    <row r="583" spans="3:3" ht="15" x14ac:dyDescent="0.2">
      <c r="C583" s="647"/>
    </row>
    <row r="584" spans="3:3" ht="15" x14ac:dyDescent="0.2">
      <c r="C584" s="647"/>
    </row>
    <row r="585" spans="3:3" ht="15" x14ac:dyDescent="0.2">
      <c r="C585" s="647"/>
    </row>
    <row r="586" spans="3:3" ht="15" x14ac:dyDescent="0.2">
      <c r="C586" s="647"/>
    </row>
    <row r="587" spans="3:3" ht="15" x14ac:dyDescent="0.2">
      <c r="C587" s="647"/>
    </row>
    <row r="588" spans="3:3" ht="15" x14ac:dyDescent="0.2">
      <c r="C588" s="647"/>
    </row>
    <row r="589" spans="3:3" ht="15" x14ac:dyDescent="0.2">
      <c r="C589" s="647"/>
    </row>
    <row r="590" spans="3:3" ht="15" x14ac:dyDescent="0.2">
      <c r="C590" s="647"/>
    </row>
    <row r="592" spans="3:3" ht="15" x14ac:dyDescent="0.2">
      <c r="C592" s="647"/>
    </row>
    <row r="593" spans="3:3" ht="15" x14ac:dyDescent="0.2">
      <c r="C593" s="647"/>
    </row>
    <row r="595" spans="3:3" ht="15" x14ac:dyDescent="0.2">
      <c r="C595" s="647"/>
    </row>
    <row r="596" spans="3:3" ht="15" x14ac:dyDescent="0.2">
      <c r="C596" s="647"/>
    </row>
    <row r="597" spans="3:3" ht="15" x14ac:dyDescent="0.2">
      <c r="C597" s="647"/>
    </row>
    <row r="598" spans="3:3" ht="15" x14ac:dyDescent="0.2">
      <c r="C598" s="647"/>
    </row>
    <row r="599" spans="3:3" ht="15" x14ac:dyDescent="0.2">
      <c r="C599" s="647"/>
    </row>
    <row r="600" spans="3:3" ht="15" x14ac:dyDescent="0.2">
      <c r="C600" s="647"/>
    </row>
    <row r="602" spans="3:3" ht="15" x14ac:dyDescent="0.2">
      <c r="C602" s="647"/>
    </row>
    <row r="603" spans="3:3" ht="15" x14ac:dyDescent="0.2">
      <c r="C603" s="647"/>
    </row>
    <row r="604" spans="3:3" ht="15" x14ac:dyDescent="0.2">
      <c r="C604" s="647"/>
    </row>
    <row r="605" spans="3:3" ht="15" x14ac:dyDescent="0.2">
      <c r="C605" s="647"/>
    </row>
    <row r="606" spans="3:3" ht="15" x14ac:dyDescent="0.2">
      <c r="C606" s="647"/>
    </row>
    <row r="607" spans="3:3" ht="15" x14ac:dyDescent="0.2">
      <c r="C607" s="647"/>
    </row>
    <row r="608" spans="3:3" ht="15" x14ac:dyDescent="0.2">
      <c r="C608" s="647"/>
    </row>
    <row r="609" spans="3:3" ht="15" x14ac:dyDescent="0.2">
      <c r="C609" s="647"/>
    </row>
    <row r="611" spans="3:3" ht="15" x14ac:dyDescent="0.2">
      <c r="C611" s="647"/>
    </row>
    <row r="612" spans="3:3" ht="15" x14ac:dyDescent="0.2">
      <c r="C612" s="647"/>
    </row>
    <row r="613" spans="3:3" ht="15" x14ac:dyDescent="0.2">
      <c r="C613" s="647"/>
    </row>
    <row r="615" spans="3:3" ht="15" x14ac:dyDescent="0.2">
      <c r="C615" s="647"/>
    </row>
    <row r="616" spans="3:3" ht="15" x14ac:dyDescent="0.2">
      <c r="C616" s="647"/>
    </row>
    <row r="617" spans="3:3" ht="15" x14ac:dyDescent="0.2">
      <c r="C617" s="647"/>
    </row>
    <row r="619" spans="3:3" ht="15" x14ac:dyDescent="0.2">
      <c r="C619" s="647"/>
    </row>
    <row r="620" spans="3:3" ht="15" x14ac:dyDescent="0.2">
      <c r="C620" s="647"/>
    </row>
    <row r="621" spans="3:3" ht="15" x14ac:dyDescent="0.2">
      <c r="C621" s="647"/>
    </row>
    <row r="622" spans="3:3" ht="15" x14ac:dyDescent="0.2">
      <c r="C622" s="647"/>
    </row>
    <row r="624" spans="3:3" ht="15" x14ac:dyDescent="0.2">
      <c r="C624" s="647"/>
    </row>
  </sheetData>
  <pageMargins left="0.7" right="0.7" top="0.75" bottom="0.75" header="0.3" footer="0.3"/>
  <pageSetup paperSize="9" orientation="portrait" horizontalDpi="90" verticalDpi="9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rgb="FF512D6D"/>
  </sheetPr>
  <dimension ref="A1:D792"/>
  <sheetViews>
    <sheetView workbookViewId="0"/>
  </sheetViews>
  <sheetFormatPr defaultColWidth="0" defaultRowHeight="12.75" x14ac:dyDescent="0.2"/>
  <cols>
    <col min="1" max="1" width="24.7109375" style="50" customWidth="1"/>
    <col min="2" max="2" width="9.140625" style="50" customWidth="1"/>
    <col min="3" max="3" width="120.7109375" style="168" customWidth="1"/>
    <col min="4" max="4" width="1.7109375" style="50" customWidth="1"/>
    <col min="5" max="16384" width="9.140625" style="50" hidden="1"/>
  </cols>
  <sheetData>
    <row r="1" spans="1:3" ht="15.75" thickBot="1" x14ac:dyDescent="0.25">
      <c r="A1" s="171" t="s">
        <v>1631</v>
      </c>
      <c r="C1" s="169" t="s">
        <v>490</v>
      </c>
    </row>
    <row r="2" spans="1:3" ht="16.5" thickTop="1" thickBot="1" x14ac:dyDescent="0.25">
      <c r="A2" s="172" t="str">
        <f>_xlfn.CONCAT(Results!$C$32,".sim")</f>
        <v>Estatico.sim</v>
      </c>
      <c r="C2" s="169" t="s">
        <v>491</v>
      </c>
    </row>
    <row r="3" spans="1:3" ht="13.5" thickBot="1" x14ac:dyDescent="0.25">
      <c r="C3" s="170"/>
    </row>
    <row r="4" spans="1:3" ht="15.75" thickBot="1" x14ac:dyDescent="0.25">
      <c r="A4" s="171" t="s">
        <v>1633</v>
      </c>
      <c r="C4" s="169" t="s">
        <v>2135</v>
      </c>
    </row>
    <row r="5" spans="1:3" ht="16.5" thickTop="1" thickBot="1" x14ac:dyDescent="0.25">
      <c r="A5" s="166" t="str">
        <f>CONCATENATE(Results!$C$32,".png")</f>
        <v>Estatico.png</v>
      </c>
      <c r="C5" s="169" t="s">
        <v>2136</v>
      </c>
    </row>
    <row r="6" spans="1:3" ht="15.75" thickBot="1" x14ac:dyDescent="0.25">
      <c r="C6" s="169" t="s">
        <v>492</v>
      </c>
    </row>
    <row r="7" spans="1:3" ht="15.75" thickBot="1" x14ac:dyDescent="0.25">
      <c r="A7" s="171" t="s">
        <v>1634</v>
      </c>
      <c r="C7" s="169" t="s">
        <v>493</v>
      </c>
    </row>
    <row r="8" spans="1:3" ht="16.5" thickTop="1" thickBot="1" x14ac:dyDescent="0.25">
      <c r="A8" s="166" t="str">
        <f>CONCATENATE("Figuras\", Results!$C$32,".py")</f>
        <v>Figuras\Estatico.py</v>
      </c>
      <c r="C8" s="169" t="s">
        <v>494</v>
      </c>
    </row>
    <row r="9" spans="1:3" ht="15.75" thickBot="1" x14ac:dyDescent="0.25">
      <c r="C9" s="169" t="s">
        <v>495</v>
      </c>
    </row>
    <row r="10" spans="1:3" ht="15.75" thickBot="1" x14ac:dyDescent="0.25">
      <c r="A10" s="171" t="s">
        <v>498</v>
      </c>
      <c r="C10" s="169" t="s">
        <v>496</v>
      </c>
    </row>
    <row r="11" spans="1:3" ht="16.5" thickTop="1" thickBot="1" x14ac:dyDescent="0.25">
      <c r="A11" s="166">
        <f>Results!C47</f>
        <v>24</v>
      </c>
      <c r="C11" s="169" t="s">
        <v>497</v>
      </c>
    </row>
    <row r="12" spans="1:3" ht="13.5" thickBot="1" x14ac:dyDescent="0.25">
      <c r="C12" s="170"/>
    </row>
    <row r="13" spans="1:3" ht="15.75" thickBot="1" x14ac:dyDescent="0.25">
      <c r="A13" s="171" t="s">
        <v>500</v>
      </c>
      <c r="C13" s="169" t="s">
        <v>499</v>
      </c>
    </row>
    <row r="14" spans="1:3" s="33" customFormat="1" ht="15.75" thickTop="1" x14ac:dyDescent="0.2">
      <c r="A14" s="102" t="str">
        <f>'2nd_Post_Processing'!$L$6</f>
        <v>Line</v>
      </c>
      <c r="C14" s="647" t="s">
        <v>2152</v>
      </c>
    </row>
    <row r="15" spans="1:3" s="33" customFormat="1" ht="15" x14ac:dyDescent="0.2">
      <c r="A15" s="163" t="str">
        <f>'2nd_Post_Processing'!$L$7</f>
        <v>Stiffener1</v>
      </c>
      <c r="C15" s="647" t="s">
        <v>2195</v>
      </c>
    </row>
    <row r="16" spans="1:3" s="33" customFormat="1" ht="15.75" thickBot="1" x14ac:dyDescent="0.25">
      <c r="A16" s="164" t="str">
        <f>'2nd_Post_Processing'!$L$8</f>
        <v>P7000048060</v>
      </c>
      <c r="C16" s="647" t="s">
        <v>2196</v>
      </c>
    </row>
    <row r="17" spans="1:3" ht="13.5" thickBot="1" x14ac:dyDescent="0.25">
      <c r="C17" s="649"/>
    </row>
    <row r="18" spans="1:3" ht="15.75" thickBot="1" x14ac:dyDescent="0.25">
      <c r="A18" s="171" t="s">
        <v>503</v>
      </c>
      <c r="B18" s="173"/>
      <c r="C18" s="647" t="s">
        <v>501</v>
      </c>
    </row>
    <row r="19" spans="1:3" ht="16.5" thickTop="1" thickBot="1" x14ac:dyDescent="0.25">
      <c r="A19" s="550" t="str">
        <f>IF(COUNTBLANK(Results!C26:C29)&lt;3,  "True", "False")</f>
        <v>False</v>
      </c>
      <c r="C19" s="647" t="str">
        <f>_xlfn.CONCAT("filename_static = glob.glob(fr'{workspace_dir}\",$A$2,"')[0]")</f>
        <v>filename_static = glob.glob(fr'{workspace_dir}\Estatico.sim')[0]</v>
      </c>
    </row>
    <row r="20" spans="1:3" ht="15" x14ac:dyDescent="0.2">
      <c r="C20" s="647"/>
    </row>
    <row r="21" spans="1:3" ht="15" x14ac:dyDescent="0.2">
      <c r="C21" s="647" t="s">
        <v>502</v>
      </c>
    </row>
    <row r="22" spans="1:3" ht="15" x14ac:dyDescent="0.2">
      <c r="B22" s="173"/>
      <c r="C22" s="647" t="str">
        <f>_xlfn.CONCAT("pngname = fr'{figure_dir}\",$A$5,"'")</f>
        <v>pngname = fr'{figure_dir}\Estatico.png'</v>
      </c>
    </row>
    <row r="23" spans="1:3" x14ac:dyDescent="0.2">
      <c r="C23" s="649"/>
    </row>
    <row r="24" spans="1:3" ht="15" x14ac:dyDescent="0.2">
      <c r="C24" s="169" t="s">
        <v>504</v>
      </c>
    </row>
    <row r="25" spans="1:3" x14ac:dyDescent="0.2">
      <c r="C25" s="170"/>
    </row>
    <row r="26" spans="1:3" ht="15" x14ac:dyDescent="0.2">
      <c r="C26" s="169" t="s">
        <v>505</v>
      </c>
    </row>
    <row r="27" spans="1:3" ht="15" x14ac:dyDescent="0.2">
      <c r="C27" s="169" t="s">
        <v>506</v>
      </c>
    </row>
    <row r="28" spans="1:3" ht="15" x14ac:dyDescent="0.2">
      <c r="C28" s="169" t="s">
        <v>507</v>
      </c>
    </row>
    <row r="29" spans="1:3" x14ac:dyDescent="0.2">
      <c r="C29" s="170"/>
    </row>
    <row r="30" spans="1:3" ht="15" x14ac:dyDescent="0.2">
      <c r="C30" s="169" t="s">
        <v>508</v>
      </c>
    </row>
    <row r="31" spans="1:3" ht="15" x14ac:dyDescent="0.2">
      <c r="C31" s="169" t="s">
        <v>509</v>
      </c>
    </row>
    <row r="32" spans="1:3" ht="15" x14ac:dyDescent="0.2">
      <c r="C32" s="169" t="s">
        <v>510</v>
      </c>
    </row>
    <row r="33" spans="3:3" ht="15" x14ac:dyDescent="0.2">
      <c r="C33" s="169" t="s">
        <v>511</v>
      </c>
    </row>
    <row r="34" spans="3:3" ht="15" x14ac:dyDescent="0.2">
      <c r="C34" s="169" t="s">
        <v>512</v>
      </c>
    </row>
    <row r="35" spans="3:3" x14ac:dyDescent="0.2">
      <c r="C35" s="170"/>
    </row>
    <row r="36" spans="3:3" ht="15" x14ac:dyDescent="0.2">
      <c r="C36" s="169" t="s">
        <v>513</v>
      </c>
    </row>
    <row r="37" spans="3:3" ht="15" x14ac:dyDescent="0.2">
      <c r="C37" s="169" t="s">
        <v>514</v>
      </c>
    </row>
    <row r="38" spans="3:3" x14ac:dyDescent="0.2">
      <c r="C38" s="170"/>
    </row>
    <row r="39" spans="3:3" ht="15" x14ac:dyDescent="0.2">
      <c r="C39" s="169" t="s">
        <v>515</v>
      </c>
    </row>
    <row r="40" spans="3:3" ht="15" x14ac:dyDescent="0.2">
      <c r="C40" s="169" t="s">
        <v>516</v>
      </c>
    </row>
    <row r="41" spans="3:3" x14ac:dyDescent="0.2">
      <c r="C41" s="170"/>
    </row>
    <row r="42" spans="3:3" ht="15" x14ac:dyDescent="0.2">
      <c r="C42" s="169" t="s">
        <v>517</v>
      </c>
    </row>
    <row r="43" spans="3:3" ht="15" x14ac:dyDescent="0.2">
      <c r="C43" s="169" t="s">
        <v>518</v>
      </c>
    </row>
    <row r="44" spans="3:3" x14ac:dyDescent="0.2">
      <c r="C44" s="170"/>
    </row>
    <row r="45" spans="3:3" ht="15" x14ac:dyDescent="0.2">
      <c r="C45" s="169" t="s">
        <v>519</v>
      </c>
    </row>
    <row r="46" spans="3:3" ht="15" x14ac:dyDescent="0.2">
      <c r="C46" s="169" t="s">
        <v>520</v>
      </c>
    </row>
    <row r="47" spans="3:3" x14ac:dyDescent="0.2">
      <c r="C47" s="170"/>
    </row>
    <row r="48" spans="3:3" ht="15" x14ac:dyDescent="0.2">
      <c r="C48" s="169" t="s">
        <v>521</v>
      </c>
    </row>
    <row r="49" spans="3:3" ht="15" x14ac:dyDescent="0.2">
      <c r="C49" s="169" t="s">
        <v>522</v>
      </c>
    </row>
    <row r="50" spans="3:3" x14ac:dyDescent="0.2">
      <c r="C50" s="170"/>
    </row>
    <row r="51" spans="3:3" ht="15" x14ac:dyDescent="0.2">
      <c r="C51" s="169" t="s">
        <v>523</v>
      </c>
    </row>
    <row r="52" spans="3:3" ht="15" x14ac:dyDescent="0.2">
      <c r="C52" s="169" t="s">
        <v>524</v>
      </c>
    </row>
    <row r="53" spans="3:3" x14ac:dyDescent="0.2">
      <c r="C53" s="170"/>
    </row>
    <row r="54" spans="3:3" ht="15" x14ac:dyDescent="0.2">
      <c r="C54" s="169" t="s">
        <v>525</v>
      </c>
    </row>
    <row r="55" spans="3:3" ht="15" x14ac:dyDescent="0.2">
      <c r="C55" s="169" t="s">
        <v>526</v>
      </c>
    </row>
    <row r="56" spans="3:3" x14ac:dyDescent="0.2">
      <c r="C56" s="170"/>
    </row>
    <row r="57" spans="3:3" ht="15" x14ac:dyDescent="0.2">
      <c r="C57" s="169" t="s">
        <v>527</v>
      </c>
    </row>
    <row r="58" spans="3:3" ht="15" x14ac:dyDescent="0.2">
      <c r="C58" s="169" t="s">
        <v>528</v>
      </c>
    </row>
    <row r="59" spans="3:3" x14ac:dyDescent="0.2">
      <c r="C59" s="170"/>
    </row>
    <row r="60" spans="3:3" ht="15" x14ac:dyDescent="0.2">
      <c r="C60" s="169" t="s">
        <v>529</v>
      </c>
    </row>
    <row r="61" spans="3:3" ht="15" x14ac:dyDescent="0.2">
      <c r="C61" s="169" t="s">
        <v>530</v>
      </c>
    </row>
    <row r="62" spans="3:3" x14ac:dyDescent="0.2">
      <c r="C62" s="170"/>
    </row>
    <row r="63" spans="3:3" ht="15" x14ac:dyDescent="0.2">
      <c r="C63" s="169" t="s">
        <v>531</v>
      </c>
    </row>
    <row r="64" spans="3:3" ht="15" x14ac:dyDescent="0.2">
      <c r="C64" s="169" t="s">
        <v>532</v>
      </c>
    </row>
    <row r="65" spans="3:3" x14ac:dyDescent="0.2">
      <c r="C65" s="170"/>
    </row>
    <row r="66" spans="3:3" ht="15" x14ac:dyDescent="0.2">
      <c r="C66" s="169" t="s">
        <v>533</v>
      </c>
    </row>
    <row r="67" spans="3:3" ht="15" x14ac:dyDescent="0.2">
      <c r="C67" s="169" t="s">
        <v>534</v>
      </c>
    </row>
    <row r="68" spans="3:3" x14ac:dyDescent="0.2">
      <c r="C68" s="170"/>
    </row>
    <row r="69" spans="3:3" ht="15" x14ac:dyDescent="0.2">
      <c r="C69" s="169" t="s">
        <v>535</v>
      </c>
    </row>
    <row r="70" spans="3:3" ht="15" x14ac:dyDescent="0.2">
      <c r="C70" s="169" t="s">
        <v>536</v>
      </c>
    </row>
    <row r="71" spans="3:3" x14ac:dyDescent="0.2">
      <c r="C71" s="170"/>
    </row>
    <row r="72" spans="3:3" ht="15" x14ac:dyDescent="0.2">
      <c r="C72" s="169" t="s">
        <v>537</v>
      </c>
    </row>
    <row r="73" spans="3:3" ht="15" x14ac:dyDescent="0.2">
      <c r="C73" s="169" t="s">
        <v>538</v>
      </c>
    </row>
    <row r="74" spans="3:3" x14ac:dyDescent="0.2">
      <c r="C74" s="170"/>
    </row>
    <row r="75" spans="3:3" ht="15" x14ac:dyDescent="0.2">
      <c r="C75" s="169" t="s">
        <v>539</v>
      </c>
    </row>
    <row r="76" spans="3:3" ht="15" x14ac:dyDescent="0.2">
      <c r="C76" s="169" t="s">
        <v>540</v>
      </c>
    </row>
    <row r="77" spans="3:3" x14ac:dyDescent="0.2">
      <c r="C77" s="170"/>
    </row>
    <row r="78" spans="3:3" ht="15" x14ac:dyDescent="0.2">
      <c r="C78" s="169" t="s">
        <v>541</v>
      </c>
    </row>
    <row r="79" spans="3:3" ht="15" x14ac:dyDescent="0.2">
      <c r="C79" s="169" t="s">
        <v>542</v>
      </c>
    </row>
    <row r="80" spans="3:3" x14ac:dyDescent="0.2">
      <c r="C80" s="170"/>
    </row>
    <row r="81" spans="2:3" ht="15" x14ac:dyDescent="0.2">
      <c r="C81" s="169" t="s">
        <v>543</v>
      </c>
    </row>
    <row r="82" spans="2:3" ht="15" x14ac:dyDescent="0.2">
      <c r="C82" s="169" t="s">
        <v>544</v>
      </c>
    </row>
    <row r="83" spans="2:3" x14ac:dyDescent="0.2">
      <c r="C83" s="170"/>
    </row>
    <row r="84" spans="2:3" ht="15" x14ac:dyDescent="0.2">
      <c r="C84" s="169" t="s">
        <v>545</v>
      </c>
    </row>
    <row r="85" spans="2:3" ht="15" x14ac:dyDescent="0.2">
      <c r="B85" s="173"/>
      <c r="C85" s="169" t="str">
        <f>_xlfn.CONCAT("font_size = '",$A$11,"'")</f>
        <v>font_size = '24'</v>
      </c>
    </row>
    <row r="86" spans="2:3" x14ac:dyDescent="0.2">
      <c r="C86" s="170"/>
    </row>
    <row r="87" spans="2:3" ht="15" x14ac:dyDescent="0.2">
      <c r="C87" s="169" t="s">
        <v>546</v>
      </c>
    </row>
    <row r="88" spans="2:3" ht="15" x14ac:dyDescent="0.2">
      <c r="B88" s="173"/>
      <c r="C88" s="169" t="str">
        <f>_xlfn.CONCAT("dred = ", $A$19)</f>
        <v>dred = False</v>
      </c>
    </row>
    <row r="89" spans="2:3" x14ac:dyDescent="0.2">
      <c r="C89" s="170"/>
    </row>
    <row r="90" spans="2:3" ht="15" x14ac:dyDescent="0.2">
      <c r="C90" s="169" t="s">
        <v>547</v>
      </c>
    </row>
    <row r="91" spans="2:3" ht="15" x14ac:dyDescent="0.2">
      <c r="C91" s="169" t="s">
        <v>548</v>
      </c>
    </row>
    <row r="92" spans="2:3" ht="15" x14ac:dyDescent="0.2">
      <c r="B92" s="173"/>
      <c r="C92" s="169" t="str">
        <f>_xlfn.CONCAT("profile_dist0 = float('",'MCV e Guindaste'!G22,"'.replace(',','.'))")</f>
        <v>profile_dist0 = float('0'.replace(',','.'))</v>
      </c>
    </row>
    <row r="93" spans="2:3" ht="15" x14ac:dyDescent="0.2">
      <c r="B93" s="173"/>
      <c r="C93" s="169" t="str">
        <f>_xlfn.CONCAT("profile_dist1 = float('",'MCV e Guindaste'!G23,"'.replace(',','.'))")</f>
        <v>profile_dist1 = float('5'.replace(',','.'))</v>
      </c>
    </row>
    <row r="94" spans="2:3" ht="15" x14ac:dyDescent="0.2">
      <c r="B94" s="173"/>
      <c r="C94" s="169" t="str">
        <f>_xlfn.CONCAT("profile_dist2 = float('",'MCV e Guindaste'!G24,"'.replace(',','.'))")</f>
        <v>profile_dist2 = float('10'.replace(',','.'))</v>
      </c>
    </row>
    <row r="95" spans="2:3" ht="15" x14ac:dyDescent="0.2">
      <c r="B95" s="173"/>
      <c r="C95" s="169" t="str">
        <f>_xlfn.CONCAT("profile_dist3 = float('",'MCV e Guindaste'!G25,"'.replace(',','.'))")</f>
        <v>profile_dist3 = float('15'.replace(',','.'))</v>
      </c>
    </row>
    <row r="96" spans="2:3" x14ac:dyDescent="0.2">
      <c r="C96" s="170"/>
    </row>
    <row r="97" spans="2:3" ht="15" x14ac:dyDescent="0.2">
      <c r="B97" s="173"/>
      <c r="C97" s="169" t="str">
        <f>_xlfn.CONCAT("profile_depth0 = float('",'MCV e Guindaste'!I22,"'.replace(',','.'))")</f>
        <v>profile_depth0 = float('2240'.replace(',','.'))</v>
      </c>
    </row>
    <row r="98" spans="2:3" ht="15" x14ac:dyDescent="0.2">
      <c r="B98" s="173"/>
      <c r="C98" s="169" t="str">
        <f>_xlfn.CONCAT("profile_depth1 = float('",'MCV e Guindaste'!I23,"'.replace(',','.'))")</f>
        <v>profile_depth1 = float('2240'.replace(',','.'))</v>
      </c>
    </row>
    <row r="99" spans="2:3" ht="15" x14ac:dyDescent="0.2">
      <c r="B99" s="173"/>
      <c r="C99" s="169" t="str">
        <f>_xlfn.CONCAT("profile_depth2 = float('",'MCV e Guindaste'!I24,"'.replace(',','.'))")</f>
        <v>profile_depth2 = float('2240'.replace(',','.'))</v>
      </c>
    </row>
    <row r="100" spans="2:3" ht="15" x14ac:dyDescent="0.2">
      <c r="B100" s="173"/>
      <c r="C100" s="169" t="str">
        <f>_xlfn.CONCAT("profile_depth3 = float('",'MCV e Guindaste'!I25,"'.replace(',','.'))")</f>
        <v>profile_depth3 = float('2240'.replace(',','.'))</v>
      </c>
    </row>
    <row r="101" spans="2:3" x14ac:dyDescent="0.2">
      <c r="C101" s="170"/>
    </row>
    <row r="102" spans="2:3" ht="15" x14ac:dyDescent="0.2">
      <c r="C102" s="169" t="s">
        <v>549</v>
      </c>
    </row>
    <row r="103" spans="2:3" ht="15" x14ac:dyDescent="0.2">
      <c r="C103" s="169" t="s">
        <v>550</v>
      </c>
    </row>
    <row r="104" spans="2:3" x14ac:dyDescent="0.2">
      <c r="C104" s="170"/>
    </row>
    <row r="105" spans="2:3" ht="15" x14ac:dyDescent="0.2">
      <c r="C105" s="169" t="s">
        <v>551</v>
      </c>
    </row>
    <row r="106" spans="2:3" ht="15" x14ac:dyDescent="0.2">
      <c r="C106" s="169" t="s">
        <v>552</v>
      </c>
    </row>
    <row r="107" spans="2:3" ht="15" x14ac:dyDescent="0.2">
      <c r="C107" s="169" t="s">
        <v>553</v>
      </c>
    </row>
    <row r="108" spans="2:3" ht="15" x14ac:dyDescent="0.2">
      <c r="C108" s="169" t="s">
        <v>552</v>
      </c>
    </row>
    <row r="109" spans="2:3" ht="15" x14ac:dyDescent="0.2">
      <c r="C109" s="169" t="s">
        <v>554</v>
      </c>
    </row>
    <row r="110" spans="2:3" ht="15" x14ac:dyDescent="0.2">
      <c r="C110" s="169" t="s">
        <v>555</v>
      </c>
    </row>
    <row r="111" spans="2:3" ht="15" x14ac:dyDescent="0.2">
      <c r="C111" s="169" t="s">
        <v>556</v>
      </c>
    </row>
    <row r="112" spans="2:3" ht="15" x14ac:dyDescent="0.2">
      <c r="C112" s="169" t="s">
        <v>557</v>
      </c>
    </row>
    <row r="113" spans="3:3" ht="15" x14ac:dyDescent="0.2">
      <c r="C113" s="169" t="s">
        <v>558</v>
      </c>
    </row>
    <row r="114" spans="3:3" ht="15" x14ac:dyDescent="0.2">
      <c r="C114" s="169" t="s">
        <v>559</v>
      </c>
    </row>
    <row r="115" spans="3:3" ht="15" x14ac:dyDescent="0.2">
      <c r="C115" s="169" t="s">
        <v>560</v>
      </c>
    </row>
    <row r="116" spans="3:3" ht="15" x14ac:dyDescent="0.2">
      <c r="C116" s="169" t="s">
        <v>561</v>
      </c>
    </row>
    <row r="117" spans="3:3" ht="15" x14ac:dyDescent="0.2">
      <c r="C117" s="169" t="s">
        <v>559</v>
      </c>
    </row>
    <row r="118" spans="3:3" ht="15" x14ac:dyDescent="0.2">
      <c r="C118" s="169" t="s">
        <v>562</v>
      </c>
    </row>
    <row r="119" spans="3:3" ht="15" x14ac:dyDescent="0.2">
      <c r="C119" s="169" t="s">
        <v>563</v>
      </c>
    </row>
    <row r="120" spans="3:3" ht="15" x14ac:dyDescent="0.2">
      <c r="C120" s="169" t="s">
        <v>564</v>
      </c>
    </row>
    <row r="121" spans="3:3" ht="15" x14ac:dyDescent="0.2">
      <c r="C121" s="169" t="s">
        <v>565</v>
      </c>
    </row>
    <row r="122" spans="3:3" ht="15" x14ac:dyDescent="0.2">
      <c r="C122" s="169" t="s">
        <v>566</v>
      </c>
    </row>
    <row r="123" spans="3:3" ht="15" x14ac:dyDescent="0.2">
      <c r="C123" s="169" t="s">
        <v>567</v>
      </c>
    </row>
    <row r="124" spans="3:3" ht="15" x14ac:dyDescent="0.2">
      <c r="C124" s="169" t="s">
        <v>568</v>
      </c>
    </row>
    <row r="125" spans="3:3" ht="15" x14ac:dyDescent="0.2">
      <c r="C125" s="169" t="s">
        <v>569</v>
      </c>
    </row>
    <row r="126" spans="3:3" ht="15" x14ac:dyDescent="0.2">
      <c r="C126" s="169" t="s">
        <v>570</v>
      </c>
    </row>
    <row r="127" spans="3:3" ht="15" x14ac:dyDescent="0.2">
      <c r="C127" s="169" t="s">
        <v>571</v>
      </c>
    </row>
    <row r="128" spans="3:3" x14ac:dyDescent="0.2">
      <c r="C128" s="170"/>
    </row>
    <row r="129" spans="2:3" ht="15" x14ac:dyDescent="0.2">
      <c r="C129" s="169" t="s">
        <v>572</v>
      </c>
    </row>
    <row r="130" spans="2:3" ht="15" x14ac:dyDescent="0.2">
      <c r="C130" s="169" t="s">
        <v>573</v>
      </c>
    </row>
    <row r="131" spans="2:3" x14ac:dyDescent="0.2">
      <c r="C131" s="170"/>
    </row>
    <row r="132" spans="2:3" ht="15" x14ac:dyDescent="0.2">
      <c r="C132" s="169" t="s">
        <v>574</v>
      </c>
    </row>
    <row r="133" spans="2:3" ht="15" x14ac:dyDescent="0.2">
      <c r="B133" s="173"/>
      <c r="C133" s="169" t="str">
        <f>_xlfn.CONCAT("vcm1=model['",$A$16,"']")</f>
        <v>vcm1=model['P7000048060']</v>
      </c>
    </row>
    <row r="134" spans="2:3" x14ac:dyDescent="0.2">
      <c r="C134" s="170"/>
    </row>
    <row r="135" spans="2:3" ht="15" x14ac:dyDescent="0.2">
      <c r="C135" s="169" t="s">
        <v>575</v>
      </c>
    </row>
    <row r="136" spans="2:3" ht="15" x14ac:dyDescent="0.2">
      <c r="B136" s="173"/>
      <c r="C136" s="169" t="str">
        <f>_xlfn.CONCAT("line1=model['",$A$14,"']")</f>
        <v>line1=model['Line']</v>
      </c>
    </row>
    <row r="137" spans="2:3" ht="15" x14ac:dyDescent="0.2">
      <c r="B137" s="173"/>
      <c r="C137" s="169" t="str">
        <f>_xlfn.CONCAT("att_lines=list(['",$A$15,"'])")</f>
        <v>att_lines=list(['Stiffener1'])</v>
      </c>
    </row>
    <row r="138" spans="2:3" ht="15" x14ac:dyDescent="0.2">
      <c r="C138" s="169" t="s">
        <v>576</v>
      </c>
    </row>
    <row r="139" spans="2:3" ht="15" x14ac:dyDescent="0.2">
      <c r="C139" s="169" t="s">
        <v>577</v>
      </c>
    </row>
    <row r="140" spans="2:3" ht="15" x14ac:dyDescent="0.2">
      <c r="C140" s="169" t="s">
        <v>578</v>
      </c>
    </row>
    <row r="141" spans="2:3" ht="15" x14ac:dyDescent="0.2">
      <c r="C141" s="169" t="s">
        <v>579</v>
      </c>
    </row>
    <row r="142" spans="2:3" ht="15" x14ac:dyDescent="0.2">
      <c r="C142" s="169" t="s">
        <v>580</v>
      </c>
    </row>
    <row r="143" spans="2:3" ht="15" x14ac:dyDescent="0.2">
      <c r="C143" s="169" t="s">
        <v>581</v>
      </c>
    </row>
    <row r="144" spans="2:3" ht="15" x14ac:dyDescent="0.2">
      <c r="C144" s="169" t="s">
        <v>582</v>
      </c>
    </row>
    <row r="145" spans="3:3" x14ac:dyDescent="0.2">
      <c r="C145" s="170"/>
    </row>
    <row r="146" spans="3:3" ht="15" x14ac:dyDescent="0.2">
      <c r="C146" s="169" t="s">
        <v>583</v>
      </c>
    </row>
    <row r="147" spans="3:3" ht="15" x14ac:dyDescent="0.2">
      <c r="C147" s="169" t="s">
        <v>584</v>
      </c>
    </row>
    <row r="148" spans="3:3" ht="15" x14ac:dyDescent="0.2">
      <c r="C148" s="169" t="s">
        <v>585</v>
      </c>
    </row>
    <row r="149" spans="3:3" ht="15" x14ac:dyDescent="0.2">
      <c r="C149" s="169" t="s">
        <v>586</v>
      </c>
    </row>
    <row r="150" spans="3:3" ht="15" x14ac:dyDescent="0.2">
      <c r="C150" s="169" t="s">
        <v>587</v>
      </c>
    </row>
    <row r="151" spans="3:3" ht="15" x14ac:dyDescent="0.2">
      <c r="C151" s="169" t="s">
        <v>588</v>
      </c>
    </row>
    <row r="152" spans="3:3" ht="15" x14ac:dyDescent="0.2">
      <c r="C152" s="169" t="s">
        <v>589</v>
      </c>
    </row>
    <row r="153" spans="3:3" ht="15" x14ac:dyDescent="0.2">
      <c r="C153" s="169" t="s">
        <v>590</v>
      </c>
    </row>
    <row r="154" spans="3:3" ht="15" x14ac:dyDescent="0.2">
      <c r="C154" s="169" t="s">
        <v>591</v>
      </c>
    </row>
    <row r="155" spans="3:3" ht="15" x14ac:dyDescent="0.2">
      <c r="C155" s="169" t="s">
        <v>592</v>
      </c>
    </row>
    <row r="156" spans="3:3" ht="15" x14ac:dyDescent="0.2">
      <c r="C156" s="169" t="s">
        <v>593</v>
      </c>
    </row>
    <row r="157" spans="3:3" x14ac:dyDescent="0.2">
      <c r="C157" s="170"/>
    </row>
    <row r="158" spans="3:3" ht="15" x14ac:dyDescent="0.2">
      <c r="C158" s="169" t="s">
        <v>594</v>
      </c>
    </row>
    <row r="159" spans="3:3" ht="15" x14ac:dyDescent="0.2">
      <c r="C159" s="169" t="s">
        <v>595</v>
      </c>
    </row>
    <row r="160" spans="3:3" ht="15" x14ac:dyDescent="0.2">
      <c r="C160" s="169" t="s">
        <v>596</v>
      </c>
    </row>
    <row r="161" spans="3:3" ht="15" x14ac:dyDescent="0.2">
      <c r="C161" s="169" t="s">
        <v>597</v>
      </c>
    </row>
    <row r="162" spans="3:3" ht="15" x14ac:dyDescent="0.2">
      <c r="C162" s="169" t="s">
        <v>598</v>
      </c>
    </row>
    <row r="163" spans="3:3" ht="15" x14ac:dyDescent="0.2">
      <c r="C163" s="169" t="s">
        <v>599</v>
      </c>
    </row>
    <row r="164" spans="3:3" x14ac:dyDescent="0.2">
      <c r="C164" s="170"/>
    </row>
    <row r="165" spans="3:3" ht="15" x14ac:dyDescent="0.2">
      <c r="C165" s="169" t="s">
        <v>600</v>
      </c>
    </row>
    <row r="166" spans="3:3" ht="15" x14ac:dyDescent="0.2">
      <c r="C166" s="169" t="s">
        <v>588</v>
      </c>
    </row>
    <row r="167" spans="3:3" ht="15" x14ac:dyDescent="0.2">
      <c r="C167" s="169" t="s">
        <v>601</v>
      </c>
    </row>
    <row r="168" spans="3:3" ht="15" x14ac:dyDescent="0.2">
      <c r="C168" s="169" t="s">
        <v>602</v>
      </c>
    </row>
    <row r="169" spans="3:3" ht="15" x14ac:dyDescent="0.2">
      <c r="C169" s="169" t="s">
        <v>603</v>
      </c>
    </row>
    <row r="170" spans="3:3" ht="15" x14ac:dyDescent="0.2">
      <c r="C170" s="169" t="s">
        <v>604</v>
      </c>
    </row>
    <row r="171" spans="3:3" ht="15" x14ac:dyDescent="0.2">
      <c r="C171" s="169" t="s">
        <v>605</v>
      </c>
    </row>
    <row r="172" spans="3:3" ht="15" x14ac:dyDescent="0.2">
      <c r="C172" s="169" t="s">
        <v>606</v>
      </c>
    </row>
    <row r="173" spans="3:3" x14ac:dyDescent="0.2">
      <c r="C173" s="170"/>
    </row>
    <row r="174" spans="3:3" ht="15" x14ac:dyDescent="0.2">
      <c r="C174" s="169" t="s">
        <v>607</v>
      </c>
    </row>
    <row r="175" spans="3:3" ht="15" x14ac:dyDescent="0.2">
      <c r="C175" s="169" t="s">
        <v>608</v>
      </c>
    </row>
    <row r="176" spans="3:3" x14ac:dyDescent="0.2">
      <c r="C176" s="170"/>
    </row>
    <row r="177" spans="3:3" ht="15" x14ac:dyDescent="0.2">
      <c r="C177" s="169" t="s">
        <v>609</v>
      </c>
    </row>
    <row r="178" spans="3:3" ht="15" x14ac:dyDescent="0.2">
      <c r="C178" s="169" t="s">
        <v>610</v>
      </c>
    </row>
    <row r="179" spans="3:3" ht="15" x14ac:dyDescent="0.2">
      <c r="C179" s="169" t="s">
        <v>611</v>
      </c>
    </row>
    <row r="180" spans="3:3" ht="15" x14ac:dyDescent="0.2">
      <c r="C180" s="169" t="s">
        <v>612</v>
      </c>
    </row>
    <row r="181" spans="3:3" ht="15" x14ac:dyDescent="0.2">
      <c r="C181" s="169" t="s">
        <v>613</v>
      </c>
    </row>
    <row r="182" spans="3:3" ht="15" x14ac:dyDescent="0.2">
      <c r="C182" s="169" t="s">
        <v>614</v>
      </c>
    </row>
    <row r="183" spans="3:3" ht="15" x14ac:dyDescent="0.2">
      <c r="C183" s="169" t="s">
        <v>615</v>
      </c>
    </row>
    <row r="184" spans="3:3" ht="15" x14ac:dyDescent="0.2">
      <c r="C184" s="169" t="s">
        <v>616</v>
      </c>
    </row>
    <row r="185" spans="3:3" ht="15" x14ac:dyDescent="0.2">
      <c r="C185" s="169" t="s">
        <v>617</v>
      </c>
    </row>
    <row r="186" spans="3:3" ht="15" x14ac:dyDescent="0.2">
      <c r="C186" s="169" t="s">
        <v>618</v>
      </c>
    </row>
    <row r="187" spans="3:3" ht="15" x14ac:dyDescent="0.2">
      <c r="C187" s="169" t="s">
        <v>619</v>
      </c>
    </row>
    <row r="188" spans="3:3" ht="15" x14ac:dyDescent="0.2">
      <c r="C188" s="169" t="s">
        <v>620</v>
      </c>
    </row>
    <row r="189" spans="3:3" x14ac:dyDescent="0.2">
      <c r="C189" s="170"/>
    </row>
    <row r="190" spans="3:3" ht="15" x14ac:dyDescent="0.2">
      <c r="C190" s="169" t="s">
        <v>621</v>
      </c>
    </row>
    <row r="191" spans="3:3" ht="15" x14ac:dyDescent="0.2">
      <c r="C191" s="169" t="s">
        <v>622</v>
      </c>
    </row>
    <row r="192" spans="3:3" ht="15" x14ac:dyDescent="0.2">
      <c r="C192" s="169" t="s">
        <v>623</v>
      </c>
    </row>
    <row r="193" spans="3:3" ht="15" x14ac:dyDescent="0.2">
      <c r="C193" s="169" t="s">
        <v>624</v>
      </c>
    </row>
    <row r="194" spans="3:3" ht="15" x14ac:dyDescent="0.2">
      <c r="C194" s="169" t="s">
        <v>625</v>
      </c>
    </row>
    <row r="195" spans="3:3" ht="15" x14ac:dyDescent="0.2">
      <c r="C195" s="169" t="s">
        <v>626</v>
      </c>
    </row>
    <row r="196" spans="3:3" ht="15" x14ac:dyDescent="0.2">
      <c r="C196" s="169" t="s">
        <v>627</v>
      </c>
    </row>
    <row r="197" spans="3:3" ht="15" x14ac:dyDescent="0.2">
      <c r="C197" s="169" t="s">
        <v>619</v>
      </c>
    </row>
    <row r="198" spans="3:3" ht="15" x14ac:dyDescent="0.2">
      <c r="C198" s="169" t="s">
        <v>628</v>
      </c>
    </row>
    <row r="199" spans="3:3" ht="15" x14ac:dyDescent="0.2">
      <c r="C199" s="169" t="s">
        <v>629</v>
      </c>
    </row>
    <row r="200" spans="3:3" ht="15" x14ac:dyDescent="0.2">
      <c r="C200" s="169" t="s">
        <v>630</v>
      </c>
    </row>
    <row r="201" spans="3:3" ht="15" x14ac:dyDescent="0.2">
      <c r="C201" s="169" t="s">
        <v>631</v>
      </c>
    </row>
    <row r="202" spans="3:3" x14ac:dyDescent="0.2">
      <c r="C202" s="170"/>
    </row>
    <row r="203" spans="3:3" ht="15" x14ac:dyDescent="0.2">
      <c r="C203" s="169" t="s">
        <v>632</v>
      </c>
    </row>
    <row r="204" spans="3:3" ht="15" x14ac:dyDescent="0.2">
      <c r="C204" s="169" t="s">
        <v>633</v>
      </c>
    </row>
    <row r="205" spans="3:3" ht="15" x14ac:dyDescent="0.2">
      <c r="C205" s="169" t="s">
        <v>634</v>
      </c>
    </row>
    <row r="206" spans="3:3" ht="15" x14ac:dyDescent="0.2">
      <c r="C206" s="169" t="s">
        <v>635</v>
      </c>
    </row>
    <row r="207" spans="3:3" ht="15" x14ac:dyDescent="0.2">
      <c r="C207" s="169" t="s">
        <v>636</v>
      </c>
    </row>
    <row r="208" spans="3:3" ht="15" x14ac:dyDescent="0.2">
      <c r="C208" s="169" t="s">
        <v>637</v>
      </c>
    </row>
    <row r="209" spans="3:3" ht="15" x14ac:dyDescent="0.2">
      <c r="C209" s="169" t="s">
        <v>638</v>
      </c>
    </row>
    <row r="210" spans="3:3" x14ac:dyDescent="0.2">
      <c r="C210" s="170"/>
    </row>
    <row r="211" spans="3:3" ht="15" x14ac:dyDescent="0.2">
      <c r="C211" s="169" t="s">
        <v>639</v>
      </c>
    </row>
    <row r="212" spans="3:3" ht="15" x14ac:dyDescent="0.2">
      <c r="C212" s="169" t="s">
        <v>640</v>
      </c>
    </row>
    <row r="213" spans="3:3" ht="15" x14ac:dyDescent="0.2">
      <c r="C213" s="169" t="s">
        <v>641</v>
      </c>
    </row>
    <row r="214" spans="3:3" x14ac:dyDescent="0.2">
      <c r="C214" s="170"/>
    </row>
    <row r="215" spans="3:3" ht="15" x14ac:dyDescent="0.2">
      <c r="C215" s="169" t="s">
        <v>642</v>
      </c>
    </row>
    <row r="216" spans="3:3" ht="15" x14ac:dyDescent="0.2">
      <c r="C216" s="169" t="s">
        <v>643</v>
      </c>
    </row>
    <row r="217" spans="3:3" ht="15" x14ac:dyDescent="0.2">
      <c r="C217" s="169" t="s">
        <v>644</v>
      </c>
    </row>
    <row r="218" spans="3:3" ht="15" x14ac:dyDescent="0.2">
      <c r="C218" s="169" t="s">
        <v>645</v>
      </c>
    </row>
    <row r="219" spans="3:3" ht="15" x14ac:dyDescent="0.2">
      <c r="C219" s="169" t="s">
        <v>646</v>
      </c>
    </row>
    <row r="220" spans="3:3" ht="15" x14ac:dyDescent="0.2">
      <c r="C220" s="169" t="s">
        <v>647</v>
      </c>
    </row>
    <row r="221" spans="3:3" ht="15" x14ac:dyDescent="0.2">
      <c r="C221" s="169" t="s">
        <v>648</v>
      </c>
    </row>
    <row r="222" spans="3:3" ht="15" x14ac:dyDescent="0.2">
      <c r="C222" s="169" t="s">
        <v>649</v>
      </c>
    </row>
    <row r="223" spans="3:3" ht="15" x14ac:dyDescent="0.2">
      <c r="C223" s="169" t="s">
        <v>650</v>
      </c>
    </row>
    <row r="224" spans="3:3" ht="15" x14ac:dyDescent="0.2">
      <c r="C224" s="169" t="s">
        <v>651</v>
      </c>
    </row>
    <row r="225" spans="3:3" x14ac:dyDescent="0.2">
      <c r="C225" s="170"/>
    </row>
    <row r="226" spans="3:3" ht="15" x14ac:dyDescent="0.2">
      <c r="C226" s="169" t="s">
        <v>652</v>
      </c>
    </row>
    <row r="227" spans="3:3" ht="15" x14ac:dyDescent="0.2">
      <c r="C227" s="169" t="s">
        <v>653</v>
      </c>
    </row>
    <row r="228" spans="3:3" x14ac:dyDescent="0.2">
      <c r="C228" s="170"/>
    </row>
    <row r="229" spans="3:3" ht="15" x14ac:dyDescent="0.2">
      <c r="C229" s="169" t="s">
        <v>654</v>
      </c>
    </row>
    <row r="230" spans="3:3" ht="15" x14ac:dyDescent="0.2">
      <c r="C230" s="169" t="s">
        <v>655</v>
      </c>
    </row>
    <row r="231" spans="3:3" ht="15" x14ac:dyDescent="0.2">
      <c r="C231" s="169" t="s">
        <v>656</v>
      </c>
    </row>
    <row r="232" spans="3:3" x14ac:dyDescent="0.2">
      <c r="C232" s="170"/>
    </row>
    <row r="233" spans="3:3" ht="15" x14ac:dyDescent="0.2">
      <c r="C233" s="169" t="s">
        <v>657</v>
      </c>
    </row>
    <row r="234" spans="3:3" ht="15" x14ac:dyDescent="0.2">
      <c r="C234" s="169" t="s">
        <v>658</v>
      </c>
    </row>
    <row r="235" spans="3:3" ht="15" x14ac:dyDescent="0.2">
      <c r="C235" s="169" t="s">
        <v>659</v>
      </c>
    </row>
    <row r="236" spans="3:3" ht="15" x14ac:dyDescent="0.2">
      <c r="C236" s="169" t="s">
        <v>660</v>
      </c>
    </row>
    <row r="237" spans="3:3" x14ac:dyDescent="0.2">
      <c r="C237" s="170"/>
    </row>
    <row r="238" spans="3:3" ht="15" x14ac:dyDescent="0.2">
      <c r="C238" s="169" t="s">
        <v>661</v>
      </c>
    </row>
    <row r="239" spans="3:3" ht="15" x14ac:dyDescent="0.2">
      <c r="C239" s="169" t="s">
        <v>662</v>
      </c>
    </row>
    <row r="240" spans="3:3" ht="15" x14ac:dyDescent="0.2">
      <c r="C240" s="169" t="s">
        <v>663</v>
      </c>
    </row>
    <row r="241" spans="3:3" ht="15" x14ac:dyDescent="0.2">
      <c r="C241" s="169" t="s">
        <v>664</v>
      </c>
    </row>
    <row r="242" spans="3:3" ht="15" x14ac:dyDescent="0.2">
      <c r="C242" s="169" t="s">
        <v>623</v>
      </c>
    </row>
    <row r="243" spans="3:3" ht="15" x14ac:dyDescent="0.2">
      <c r="C243" s="169" t="s">
        <v>624</v>
      </c>
    </row>
    <row r="244" spans="3:3" ht="15" x14ac:dyDescent="0.2">
      <c r="C244" s="169" t="s">
        <v>665</v>
      </c>
    </row>
    <row r="245" spans="3:3" ht="15" x14ac:dyDescent="0.2">
      <c r="C245" s="169" t="s">
        <v>666</v>
      </c>
    </row>
    <row r="246" spans="3:3" ht="15" x14ac:dyDescent="0.2">
      <c r="C246" s="169" t="s">
        <v>667</v>
      </c>
    </row>
    <row r="247" spans="3:3" x14ac:dyDescent="0.2">
      <c r="C247" s="170"/>
    </row>
    <row r="248" spans="3:3" ht="15" x14ac:dyDescent="0.2">
      <c r="C248" s="169" t="s">
        <v>668</v>
      </c>
    </row>
    <row r="249" spans="3:3" ht="15" x14ac:dyDescent="0.2">
      <c r="C249" s="169" t="s">
        <v>669</v>
      </c>
    </row>
    <row r="250" spans="3:3" ht="15" x14ac:dyDescent="0.2">
      <c r="C250" s="169" t="s">
        <v>670</v>
      </c>
    </row>
    <row r="251" spans="3:3" ht="15" x14ac:dyDescent="0.2">
      <c r="C251" s="169" t="s">
        <v>671</v>
      </c>
    </row>
    <row r="252" spans="3:3" ht="15" x14ac:dyDescent="0.2">
      <c r="C252" s="169" t="s">
        <v>672</v>
      </c>
    </row>
    <row r="253" spans="3:3" x14ac:dyDescent="0.2">
      <c r="C253" s="170"/>
    </row>
    <row r="254" spans="3:3" ht="15" x14ac:dyDescent="0.2">
      <c r="C254" s="169" t="s">
        <v>673</v>
      </c>
    </row>
    <row r="255" spans="3:3" ht="15" x14ac:dyDescent="0.2">
      <c r="C255" s="169" t="s">
        <v>674</v>
      </c>
    </row>
    <row r="256" spans="3:3" ht="15" x14ac:dyDescent="0.2">
      <c r="C256" s="169" t="s">
        <v>675</v>
      </c>
    </row>
    <row r="257" spans="3:3" ht="15" x14ac:dyDescent="0.2">
      <c r="C257" s="169" t="s">
        <v>676</v>
      </c>
    </row>
    <row r="258" spans="3:3" ht="15" x14ac:dyDescent="0.2">
      <c r="C258" s="169" t="s">
        <v>677</v>
      </c>
    </row>
    <row r="259" spans="3:3" ht="15" x14ac:dyDescent="0.2">
      <c r="C259" s="169" t="s">
        <v>678</v>
      </c>
    </row>
    <row r="260" spans="3:3" ht="15" x14ac:dyDescent="0.2">
      <c r="C260" s="169" t="s">
        <v>679</v>
      </c>
    </row>
    <row r="261" spans="3:3" ht="15" x14ac:dyDescent="0.2">
      <c r="C261" s="169" t="s">
        <v>680</v>
      </c>
    </row>
    <row r="262" spans="3:3" ht="15" x14ac:dyDescent="0.2">
      <c r="C262" s="169" t="s">
        <v>681</v>
      </c>
    </row>
    <row r="263" spans="3:3" ht="15" x14ac:dyDescent="0.2">
      <c r="C263" s="169" t="s">
        <v>682</v>
      </c>
    </row>
    <row r="264" spans="3:3" ht="15" x14ac:dyDescent="0.2">
      <c r="C264" s="169" t="s">
        <v>683</v>
      </c>
    </row>
    <row r="265" spans="3:3" ht="15" x14ac:dyDescent="0.2">
      <c r="C265" s="169" t="s">
        <v>684</v>
      </c>
    </row>
    <row r="266" spans="3:3" ht="15" x14ac:dyDescent="0.2">
      <c r="C266" s="169" t="s">
        <v>685</v>
      </c>
    </row>
    <row r="267" spans="3:3" ht="15" x14ac:dyDescent="0.2">
      <c r="C267" s="169" t="s">
        <v>686</v>
      </c>
    </row>
    <row r="268" spans="3:3" ht="15" x14ac:dyDescent="0.2">
      <c r="C268" s="169" t="s">
        <v>687</v>
      </c>
    </row>
    <row r="269" spans="3:3" ht="15" x14ac:dyDescent="0.2">
      <c r="C269" s="169" t="s">
        <v>688</v>
      </c>
    </row>
    <row r="270" spans="3:3" ht="15" x14ac:dyDescent="0.2">
      <c r="C270" s="169" t="s">
        <v>689</v>
      </c>
    </row>
    <row r="271" spans="3:3" ht="15" x14ac:dyDescent="0.2">
      <c r="C271" s="169" t="s">
        <v>690</v>
      </c>
    </row>
    <row r="272" spans="3:3" ht="15" x14ac:dyDescent="0.2">
      <c r="C272" s="169" t="s">
        <v>691</v>
      </c>
    </row>
    <row r="273" spans="3:3" ht="15" x14ac:dyDescent="0.2">
      <c r="C273" s="169" t="s">
        <v>692</v>
      </c>
    </row>
    <row r="274" spans="3:3" ht="15" x14ac:dyDescent="0.2">
      <c r="C274" s="169" t="s">
        <v>693</v>
      </c>
    </row>
    <row r="275" spans="3:3" ht="15" x14ac:dyDescent="0.2">
      <c r="C275" s="169" t="s">
        <v>694</v>
      </c>
    </row>
    <row r="276" spans="3:3" ht="15" x14ac:dyDescent="0.2">
      <c r="C276" s="169" t="s">
        <v>695</v>
      </c>
    </row>
    <row r="277" spans="3:3" ht="15" x14ac:dyDescent="0.2">
      <c r="C277" s="169" t="s">
        <v>568</v>
      </c>
    </row>
    <row r="278" spans="3:3" ht="15" x14ac:dyDescent="0.2">
      <c r="C278" s="169" t="s">
        <v>696</v>
      </c>
    </row>
    <row r="279" spans="3:3" ht="15" x14ac:dyDescent="0.2">
      <c r="C279" s="169" t="s">
        <v>697</v>
      </c>
    </row>
    <row r="280" spans="3:3" ht="15" x14ac:dyDescent="0.2">
      <c r="C280" s="169" t="s">
        <v>698</v>
      </c>
    </row>
    <row r="281" spans="3:3" ht="15" x14ac:dyDescent="0.2">
      <c r="C281" s="169" t="s">
        <v>699</v>
      </c>
    </row>
    <row r="282" spans="3:3" ht="15" x14ac:dyDescent="0.2">
      <c r="C282" s="169" t="s">
        <v>685</v>
      </c>
    </row>
    <row r="283" spans="3:3" ht="15" x14ac:dyDescent="0.2">
      <c r="C283" s="169" t="s">
        <v>686</v>
      </c>
    </row>
    <row r="284" spans="3:3" ht="15" x14ac:dyDescent="0.2">
      <c r="C284" s="169" t="s">
        <v>687</v>
      </c>
    </row>
    <row r="285" spans="3:3" ht="15" x14ac:dyDescent="0.2">
      <c r="C285" s="169" t="s">
        <v>700</v>
      </c>
    </row>
    <row r="286" spans="3:3" ht="15" x14ac:dyDescent="0.2">
      <c r="C286" s="169" t="s">
        <v>701</v>
      </c>
    </row>
    <row r="287" spans="3:3" ht="15" x14ac:dyDescent="0.2">
      <c r="C287" s="169" t="s">
        <v>702</v>
      </c>
    </row>
    <row r="288" spans="3:3" ht="15" x14ac:dyDescent="0.2">
      <c r="C288" s="169" t="s">
        <v>703</v>
      </c>
    </row>
    <row r="289" spans="3:3" ht="15" x14ac:dyDescent="0.2">
      <c r="C289" s="169" t="s">
        <v>704</v>
      </c>
    </row>
    <row r="290" spans="3:3" ht="15" x14ac:dyDescent="0.2">
      <c r="C290" s="169" t="s">
        <v>705</v>
      </c>
    </row>
    <row r="291" spans="3:3" ht="15" x14ac:dyDescent="0.2">
      <c r="C291" s="169" t="s">
        <v>706</v>
      </c>
    </row>
    <row r="292" spans="3:3" ht="15" x14ac:dyDescent="0.2">
      <c r="C292" s="169" t="s">
        <v>568</v>
      </c>
    </row>
    <row r="293" spans="3:3" ht="15" x14ac:dyDescent="0.2">
      <c r="C293" s="169" t="s">
        <v>707</v>
      </c>
    </row>
    <row r="294" spans="3:3" ht="15" x14ac:dyDescent="0.2">
      <c r="C294" s="169" t="s">
        <v>708</v>
      </c>
    </row>
    <row r="295" spans="3:3" ht="15" x14ac:dyDescent="0.2">
      <c r="C295" s="169" t="s">
        <v>709</v>
      </c>
    </row>
    <row r="296" spans="3:3" ht="15" x14ac:dyDescent="0.2">
      <c r="C296" s="169" t="s">
        <v>685</v>
      </c>
    </row>
    <row r="297" spans="3:3" ht="15" x14ac:dyDescent="0.2">
      <c r="C297" s="169" t="s">
        <v>686</v>
      </c>
    </row>
    <row r="298" spans="3:3" ht="15" x14ac:dyDescent="0.2">
      <c r="C298" s="169" t="s">
        <v>687</v>
      </c>
    </row>
    <row r="299" spans="3:3" ht="15" x14ac:dyDescent="0.2">
      <c r="C299" s="169" t="s">
        <v>710</v>
      </c>
    </row>
    <row r="300" spans="3:3" ht="15" x14ac:dyDescent="0.2">
      <c r="C300" s="169" t="s">
        <v>711</v>
      </c>
    </row>
    <row r="301" spans="3:3" ht="15" x14ac:dyDescent="0.2">
      <c r="C301" s="169" t="s">
        <v>568</v>
      </c>
    </row>
    <row r="302" spans="3:3" ht="15" x14ac:dyDescent="0.2">
      <c r="C302" s="169" t="s">
        <v>712</v>
      </c>
    </row>
    <row r="303" spans="3:3" ht="15" x14ac:dyDescent="0.2">
      <c r="C303" s="169" t="s">
        <v>713</v>
      </c>
    </row>
    <row r="304" spans="3:3" ht="15" x14ac:dyDescent="0.2">
      <c r="C304" s="169" t="s">
        <v>685</v>
      </c>
    </row>
    <row r="305" spans="3:3" ht="15" x14ac:dyDescent="0.2">
      <c r="C305" s="169" t="s">
        <v>686</v>
      </c>
    </row>
    <row r="306" spans="3:3" ht="15" x14ac:dyDescent="0.2">
      <c r="C306" s="169" t="s">
        <v>687</v>
      </c>
    </row>
    <row r="307" spans="3:3" ht="15" x14ac:dyDescent="0.2">
      <c r="C307" s="169" t="s">
        <v>701</v>
      </c>
    </row>
    <row r="308" spans="3:3" ht="15" x14ac:dyDescent="0.2">
      <c r="C308" s="169" t="s">
        <v>702</v>
      </c>
    </row>
    <row r="309" spans="3:3" ht="15" x14ac:dyDescent="0.2">
      <c r="C309" s="169" t="s">
        <v>703</v>
      </c>
    </row>
    <row r="310" spans="3:3" ht="15" x14ac:dyDescent="0.2">
      <c r="C310" s="169" t="s">
        <v>704</v>
      </c>
    </row>
    <row r="311" spans="3:3" ht="15" x14ac:dyDescent="0.2">
      <c r="C311" s="169" t="s">
        <v>705</v>
      </c>
    </row>
    <row r="312" spans="3:3" ht="15" x14ac:dyDescent="0.2">
      <c r="C312" s="169" t="s">
        <v>714</v>
      </c>
    </row>
    <row r="313" spans="3:3" ht="15" x14ac:dyDescent="0.2">
      <c r="C313" s="169" t="s">
        <v>715</v>
      </c>
    </row>
    <row r="314" spans="3:3" ht="15" x14ac:dyDescent="0.2">
      <c r="C314" s="169" t="s">
        <v>716</v>
      </c>
    </row>
    <row r="315" spans="3:3" ht="15" x14ac:dyDescent="0.2">
      <c r="C315" s="169" t="s">
        <v>717</v>
      </c>
    </row>
    <row r="316" spans="3:3" ht="15" x14ac:dyDescent="0.2">
      <c r="C316" s="169" t="s">
        <v>718</v>
      </c>
    </row>
    <row r="317" spans="3:3" ht="15" x14ac:dyDescent="0.2">
      <c r="C317" s="169" t="s">
        <v>719</v>
      </c>
    </row>
    <row r="318" spans="3:3" ht="15" x14ac:dyDescent="0.2">
      <c r="C318" s="169" t="s">
        <v>720</v>
      </c>
    </row>
    <row r="319" spans="3:3" ht="15" x14ac:dyDescent="0.2">
      <c r="C319" s="169" t="s">
        <v>721</v>
      </c>
    </row>
    <row r="320" spans="3:3" ht="15" x14ac:dyDescent="0.2">
      <c r="C320" s="169" t="s">
        <v>722</v>
      </c>
    </row>
    <row r="321" spans="3:3" ht="15" x14ac:dyDescent="0.2">
      <c r="C321" s="169" t="s">
        <v>723</v>
      </c>
    </row>
    <row r="322" spans="3:3" ht="15" x14ac:dyDescent="0.2">
      <c r="C322" s="169" t="s">
        <v>724</v>
      </c>
    </row>
    <row r="323" spans="3:3" ht="15" x14ac:dyDescent="0.2">
      <c r="C323" s="169" t="s">
        <v>725</v>
      </c>
    </row>
    <row r="324" spans="3:3" ht="15" x14ac:dyDescent="0.2">
      <c r="C324" s="169" t="s">
        <v>726</v>
      </c>
    </row>
    <row r="325" spans="3:3" ht="15" x14ac:dyDescent="0.2">
      <c r="C325" s="169" t="s">
        <v>727</v>
      </c>
    </row>
    <row r="326" spans="3:3" ht="15" x14ac:dyDescent="0.2">
      <c r="C326" s="169" t="s">
        <v>728</v>
      </c>
    </row>
    <row r="327" spans="3:3" ht="15" x14ac:dyDescent="0.2">
      <c r="C327" s="169" t="s">
        <v>729</v>
      </c>
    </row>
    <row r="328" spans="3:3" ht="15" x14ac:dyDescent="0.2">
      <c r="C328" s="169" t="s">
        <v>730</v>
      </c>
    </row>
    <row r="329" spans="3:3" ht="15" x14ac:dyDescent="0.2">
      <c r="C329" s="169" t="s">
        <v>731</v>
      </c>
    </row>
    <row r="330" spans="3:3" ht="15" x14ac:dyDescent="0.2">
      <c r="C330" s="169" t="s">
        <v>723</v>
      </c>
    </row>
    <row r="331" spans="3:3" ht="15" x14ac:dyDescent="0.2">
      <c r="C331" s="169" t="s">
        <v>732</v>
      </c>
    </row>
    <row r="332" spans="3:3" ht="15" x14ac:dyDescent="0.2">
      <c r="C332" s="169" t="s">
        <v>733</v>
      </c>
    </row>
    <row r="333" spans="3:3" ht="15" x14ac:dyDescent="0.2">
      <c r="C333" s="169" t="s">
        <v>734</v>
      </c>
    </row>
    <row r="334" spans="3:3" ht="15" x14ac:dyDescent="0.2">
      <c r="C334" s="169" t="s">
        <v>735</v>
      </c>
    </row>
    <row r="335" spans="3:3" ht="15" x14ac:dyDescent="0.2">
      <c r="C335" s="169" t="s">
        <v>568</v>
      </c>
    </row>
    <row r="336" spans="3:3" ht="15" x14ac:dyDescent="0.2">
      <c r="C336" s="169" t="s">
        <v>736</v>
      </c>
    </row>
    <row r="337" spans="3:3" ht="15" x14ac:dyDescent="0.2">
      <c r="C337" s="169" t="s">
        <v>737</v>
      </c>
    </row>
    <row r="338" spans="3:3" ht="15" x14ac:dyDescent="0.2">
      <c r="C338" s="169" t="s">
        <v>738</v>
      </c>
    </row>
    <row r="339" spans="3:3" ht="15" x14ac:dyDescent="0.2">
      <c r="C339" s="169" t="s">
        <v>723</v>
      </c>
    </row>
    <row r="340" spans="3:3" ht="15" x14ac:dyDescent="0.2">
      <c r="C340" s="169" t="s">
        <v>739</v>
      </c>
    </row>
    <row r="341" spans="3:3" ht="15" x14ac:dyDescent="0.2">
      <c r="C341" s="169" t="s">
        <v>740</v>
      </c>
    </row>
    <row r="342" spans="3:3" ht="15" x14ac:dyDescent="0.2">
      <c r="C342" s="169" t="s">
        <v>741</v>
      </c>
    </row>
    <row r="343" spans="3:3" ht="15" x14ac:dyDescent="0.2">
      <c r="C343" s="169" t="s">
        <v>742</v>
      </c>
    </row>
    <row r="344" spans="3:3" ht="15" x14ac:dyDescent="0.2">
      <c r="C344" s="169" t="s">
        <v>743</v>
      </c>
    </row>
    <row r="345" spans="3:3" ht="15" x14ac:dyDescent="0.2">
      <c r="C345" s="169" t="s">
        <v>744</v>
      </c>
    </row>
    <row r="346" spans="3:3" ht="15" x14ac:dyDescent="0.2">
      <c r="C346" s="169" t="s">
        <v>745</v>
      </c>
    </row>
    <row r="347" spans="3:3" ht="15" x14ac:dyDescent="0.2">
      <c r="C347" s="169" t="s">
        <v>746</v>
      </c>
    </row>
    <row r="348" spans="3:3" ht="15" x14ac:dyDescent="0.2">
      <c r="C348" s="169" t="s">
        <v>747</v>
      </c>
    </row>
    <row r="349" spans="3:3" x14ac:dyDescent="0.2">
      <c r="C349" s="170"/>
    </row>
    <row r="350" spans="3:3" ht="15" x14ac:dyDescent="0.2">
      <c r="C350" s="169" t="s">
        <v>748</v>
      </c>
    </row>
    <row r="351" spans="3:3" ht="15" x14ac:dyDescent="0.2">
      <c r="C351" s="169" t="s">
        <v>749</v>
      </c>
    </row>
    <row r="352" spans="3:3" ht="15" x14ac:dyDescent="0.2">
      <c r="C352" s="169" t="s">
        <v>750</v>
      </c>
    </row>
    <row r="353" spans="3:3" ht="15" x14ac:dyDescent="0.2">
      <c r="C353" s="169" t="s">
        <v>751</v>
      </c>
    </row>
    <row r="354" spans="3:3" ht="15" x14ac:dyDescent="0.2">
      <c r="C354" s="169" t="s">
        <v>752</v>
      </c>
    </row>
    <row r="355" spans="3:3" ht="15" x14ac:dyDescent="0.2">
      <c r="C355" s="169" t="s">
        <v>753</v>
      </c>
    </row>
    <row r="356" spans="3:3" ht="15" x14ac:dyDescent="0.2">
      <c r="C356" s="169" t="s">
        <v>754</v>
      </c>
    </row>
    <row r="357" spans="3:3" ht="15" x14ac:dyDescent="0.2">
      <c r="C357" s="169" t="s">
        <v>755</v>
      </c>
    </row>
    <row r="358" spans="3:3" ht="15" x14ac:dyDescent="0.2">
      <c r="C358" s="169" t="s">
        <v>623</v>
      </c>
    </row>
    <row r="359" spans="3:3" ht="15" x14ac:dyDescent="0.2">
      <c r="C359" s="169" t="s">
        <v>624</v>
      </c>
    </row>
    <row r="360" spans="3:3" ht="15" x14ac:dyDescent="0.2">
      <c r="C360" s="169" t="s">
        <v>756</v>
      </c>
    </row>
    <row r="361" spans="3:3" ht="15" x14ac:dyDescent="0.2">
      <c r="C361" s="169" t="s">
        <v>757</v>
      </c>
    </row>
    <row r="362" spans="3:3" ht="15" x14ac:dyDescent="0.2">
      <c r="C362" s="169" t="s">
        <v>758</v>
      </c>
    </row>
    <row r="363" spans="3:3" ht="15" x14ac:dyDescent="0.2">
      <c r="C363" s="169" t="s">
        <v>759</v>
      </c>
    </row>
    <row r="364" spans="3:3" ht="15" x14ac:dyDescent="0.2">
      <c r="C364" s="169" t="s">
        <v>760</v>
      </c>
    </row>
    <row r="365" spans="3:3" ht="15" x14ac:dyDescent="0.2">
      <c r="C365" s="169" t="s">
        <v>761</v>
      </c>
    </row>
    <row r="366" spans="3:3" ht="15" x14ac:dyDescent="0.2">
      <c r="C366" s="169" t="s">
        <v>762</v>
      </c>
    </row>
    <row r="367" spans="3:3" ht="15" x14ac:dyDescent="0.2">
      <c r="C367" s="169" t="s">
        <v>763</v>
      </c>
    </row>
    <row r="368" spans="3:3" ht="15" x14ac:dyDescent="0.2">
      <c r="C368" s="169" t="s">
        <v>764</v>
      </c>
    </row>
    <row r="369" spans="3:3" ht="15" x14ac:dyDescent="0.2">
      <c r="C369" s="169" t="s">
        <v>765</v>
      </c>
    </row>
    <row r="370" spans="3:3" ht="15" x14ac:dyDescent="0.2">
      <c r="C370" s="169" t="s">
        <v>766</v>
      </c>
    </row>
    <row r="371" spans="3:3" ht="15" x14ac:dyDescent="0.2">
      <c r="C371" s="169" t="s">
        <v>767</v>
      </c>
    </row>
    <row r="372" spans="3:3" ht="15" x14ac:dyDescent="0.2">
      <c r="C372" s="169" t="s">
        <v>597</v>
      </c>
    </row>
    <row r="373" spans="3:3" ht="15" x14ac:dyDescent="0.2">
      <c r="C373" s="169" t="s">
        <v>768</v>
      </c>
    </row>
    <row r="374" spans="3:3" ht="15" x14ac:dyDescent="0.2">
      <c r="C374" s="169" t="s">
        <v>769</v>
      </c>
    </row>
    <row r="375" spans="3:3" ht="15" x14ac:dyDescent="0.2">
      <c r="C375" s="169" t="s">
        <v>770</v>
      </c>
    </row>
    <row r="376" spans="3:3" ht="15" x14ac:dyDescent="0.2">
      <c r="C376" s="169" t="s">
        <v>771</v>
      </c>
    </row>
    <row r="377" spans="3:3" ht="15" x14ac:dyDescent="0.2">
      <c r="C377" s="169" t="s">
        <v>772</v>
      </c>
    </row>
    <row r="378" spans="3:3" ht="15" x14ac:dyDescent="0.2">
      <c r="C378" s="169" t="s">
        <v>773</v>
      </c>
    </row>
    <row r="379" spans="3:3" ht="15" x14ac:dyDescent="0.2">
      <c r="C379" s="169" t="s">
        <v>774</v>
      </c>
    </row>
    <row r="380" spans="3:3" ht="15" x14ac:dyDescent="0.2">
      <c r="C380" s="169" t="s">
        <v>775</v>
      </c>
    </row>
    <row r="381" spans="3:3" ht="15" x14ac:dyDescent="0.2">
      <c r="C381" s="169" t="s">
        <v>776</v>
      </c>
    </row>
    <row r="382" spans="3:3" ht="15" x14ac:dyDescent="0.2">
      <c r="C382" s="169" t="s">
        <v>777</v>
      </c>
    </row>
    <row r="383" spans="3:3" ht="15" x14ac:dyDescent="0.2">
      <c r="C383" s="169" t="s">
        <v>778</v>
      </c>
    </row>
    <row r="384" spans="3:3" ht="15" x14ac:dyDescent="0.2">
      <c r="C384" s="169" t="s">
        <v>779</v>
      </c>
    </row>
    <row r="385" spans="3:3" ht="15" x14ac:dyDescent="0.2">
      <c r="C385" s="169" t="s">
        <v>780</v>
      </c>
    </row>
    <row r="386" spans="3:3" ht="15" x14ac:dyDescent="0.2">
      <c r="C386" s="169" t="s">
        <v>774</v>
      </c>
    </row>
    <row r="387" spans="3:3" ht="15" x14ac:dyDescent="0.2">
      <c r="C387" s="169" t="s">
        <v>775</v>
      </c>
    </row>
    <row r="388" spans="3:3" ht="15" x14ac:dyDescent="0.2">
      <c r="C388" s="169" t="s">
        <v>776</v>
      </c>
    </row>
    <row r="389" spans="3:3" ht="15" x14ac:dyDescent="0.2">
      <c r="C389" s="169" t="s">
        <v>777</v>
      </c>
    </row>
    <row r="390" spans="3:3" ht="15" x14ac:dyDescent="0.2">
      <c r="C390" s="169" t="s">
        <v>778</v>
      </c>
    </row>
    <row r="391" spans="3:3" ht="15" x14ac:dyDescent="0.2">
      <c r="C391" s="169" t="s">
        <v>781</v>
      </c>
    </row>
    <row r="392" spans="3:3" ht="15" x14ac:dyDescent="0.2">
      <c r="C392" s="169" t="s">
        <v>782</v>
      </c>
    </row>
    <row r="393" spans="3:3" x14ac:dyDescent="0.2">
      <c r="C393" s="170"/>
    </row>
    <row r="394" spans="3:3" ht="15" x14ac:dyDescent="0.2">
      <c r="C394" s="169" t="s">
        <v>783</v>
      </c>
    </row>
    <row r="395" spans="3:3" ht="15" x14ac:dyDescent="0.2">
      <c r="C395" s="169" t="s">
        <v>784</v>
      </c>
    </row>
    <row r="396" spans="3:3" ht="15" x14ac:dyDescent="0.2">
      <c r="C396" s="169" t="s">
        <v>785</v>
      </c>
    </row>
    <row r="397" spans="3:3" x14ac:dyDescent="0.2">
      <c r="C397" s="170"/>
    </row>
    <row r="398" spans="3:3" ht="15" x14ac:dyDescent="0.2">
      <c r="C398" s="169" t="s">
        <v>786</v>
      </c>
    </row>
    <row r="399" spans="3:3" ht="15" x14ac:dyDescent="0.2">
      <c r="C399" s="169" t="s">
        <v>787</v>
      </c>
    </row>
    <row r="400" spans="3:3" ht="15" x14ac:dyDescent="0.2">
      <c r="C400" s="169" t="s">
        <v>788</v>
      </c>
    </row>
    <row r="401" spans="3:3" ht="15" x14ac:dyDescent="0.2">
      <c r="C401" s="169" t="s">
        <v>789</v>
      </c>
    </row>
    <row r="402" spans="3:3" ht="15" x14ac:dyDescent="0.2">
      <c r="C402" s="169" t="s">
        <v>790</v>
      </c>
    </row>
    <row r="403" spans="3:3" ht="15" x14ac:dyDescent="0.2">
      <c r="C403" s="169" t="s">
        <v>791</v>
      </c>
    </row>
    <row r="404" spans="3:3" ht="15" x14ac:dyDescent="0.2">
      <c r="C404" s="169" t="s">
        <v>792</v>
      </c>
    </row>
    <row r="405" spans="3:3" x14ac:dyDescent="0.2">
      <c r="C405" s="170"/>
    </row>
    <row r="406" spans="3:3" ht="15" x14ac:dyDescent="0.2">
      <c r="C406" s="169" t="s">
        <v>793</v>
      </c>
    </row>
    <row r="407" spans="3:3" ht="15" x14ac:dyDescent="0.2">
      <c r="C407" s="169" t="s">
        <v>794</v>
      </c>
    </row>
    <row r="408" spans="3:3" ht="15" x14ac:dyDescent="0.2">
      <c r="C408" s="169" t="s">
        <v>795</v>
      </c>
    </row>
    <row r="409" spans="3:3" ht="15" x14ac:dyDescent="0.2">
      <c r="C409" s="169" t="s">
        <v>796</v>
      </c>
    </row>
    <row r="410" spans="3:3" ht="15" x14ac:dyDescent="0.2">
      <c r="C410" s="169" t="s">
        <v>797</v>
      </c>
    </row>
    <row r="411" spans="3:3" ht="15" x14ac:dyDescent="0.2">
      <c r="C411" s="169" t="s">
        <v>798</v>
      </c>
    </row>
    <row r="412" spans="3:3" ht="15" x14ac:dyDescent="0.2">
      <c r="C412" s="169" t="s">
        <v>799</v>
      </c>
    </row>
    <row r="413" spans="3:3" ht="15" x14ac:dyDescent="0.2">
      <c r="C413" s="169" t="s">
        <v>795</v>
      </c>
    </row>
    <row r="414" spans="3:3" ht="15" x14ac:dyDescent="0.2">
      <c r="C414" s="169" t="s">
        <v>796</v>
      </c>
    </row>
    <row r="415" spans="3:3" ht="15" x14ac:dyDescent="0.2">
      <c r="C415" s="169" t="s">
        <v>797</v>
      </c>
    </row>
    <row r="416" spans="3:3" ht="15" x14ac:dyDescent="0.2">
      <c r="C416" s="169" t="s">
        <v>800</v>
      </c>
    </row>
    <row r="417" spans="3:3" ht="15" x14ac:dyDescent="0.2">
      <c r="C417" s="169" t="s">
        <v>787</v>
      </c>
    </row>
    <row r="418" spans="3:3" ht="15" x14ac:dyDescent="0.2">
      <c r="C418" s="169" t="s">
        <v>801</v>
      </c>
    </row>
    <row r="419" spans="3:3" ht="15" x14ac:dyDescent="0.2">
      <c r="C419" s="169" t="s">
        <v>802</v>
      </c>
    </row>
    <row r="420" spans="3:3" ht="15" x14ac:dyDescent="0.2">
      <c r="C420" s="169" t="s">
        <v>790</v>
      </c>
    </row>
    <row r="421" spans="3:3" ht="15" x14ac:dyDescent="0.2">
      <c r="C421" s="169" t="s">
        <v>803</v>
      </c>
    </row>
    <row r="422" spans="3:3" ht="15" x14ac:dyDescent="0.2">
      <c r="C422" s="169" t="s">
        <v>804</v>
      </c>
    </row>
    <row r="423" spans="3:3" ht="15" x14ac:dyDescent="0.2">
      <c r="C423" s="169"/>
    </row>
    <row r="424" spans="3:3" ht="15" x14ac:dyDescent="0.2">
      <c r="C424" s="169" t="s">
        <v>805</v>
      </c>
    </row>
    <row r="425" spans="3:3" ht="15" x14ac:dyDescent="0.2">
      <c r="C425" s="169" t="s">
        <v>806</v>
      </c>
    </row>
    <row r="426" spans="3:3" ht="15" x14ac:dyDescent="0.2">
      <c r="C426" s="169" t="s">
        <v>807</v>
      </c>
    </row>
    <row r="427" spans="3:3" ht="15" x14ac:dyDescent="0.2">
      <c r="C427" s="169" t="s">
        <v>808</v>
      </c>
    </row>
    <row r="428" spans="3:3" ht="15" x14ac:dyDescent="0.2">
      <c r="C428" s="169" t="s">
        <v>809</v>
      </c>
    </row>
    <row r="429" spans="3:3" x14ac:dyDescent="0.2">
      <c r="C429" s="170"/>
    </row>
    <row r="430" spans="3:3" ht="15" x14ac:dyDescent="0.2">
      <c r="C430" s="169" t="s">
        <v>810</v>
      </c>
    </row>
    <row r="431" spans="3:3" ht="15" x14ac:dyDescent="0.2">
      <c r="C431" s="169" t="s">
        <v>811</v>
      </c>
    </row>
    <row r="432" spans="3:3" ht="15" x14ac:dyDescent="0.2">
      <c r="C432" s="169" t="s">
        <v>613</v>
      </c>
    </row>
    <row r="433" spans="3:3" ht="15" x14ac:dyDescent="0.2">
      <c r="C433" s="169" t="s">
        <v>812</v>
      </c>
    </row>
    <row r="434" spans="3:3" ht="15" x14ac:dyDescent="0.2">
      <c r="C434" s="169" t="s">
        <v>813</v>
      </c>
    </row>
    <row r="435" spans="3:3" ht="15" x14ac:dyDescent="0.2">
      <c r="C435" s="169" t="s">
        <v>814</v>
      </c>
    </row>
    <row r="436" spans="3:3" ht="15" x14ac:dyDescent="0.2">
      <c r="C436" s="169" t="s">
        <v>815</v>
      </c>
    </row>
    <row r="437" spans="3:3" ht="15" x14ac:dyDescent="0.2">
      <c r="C437" s="169" t="s">
        <v>816</v>
      </c>
    </row>
    <row r="438" spans="3:3" ht="15" x14ac:dyDescent="0.2">
      <c r="C438" s="169" t="s">
        <v>817</v>
      </c>
    </row>
    <row r="439" spans="3:3" ht="15" x14ac:dyDescent="0.2">
      <c r="C439" s="169" t="s">
        <v>818</v>
      </c>
    </row>
    <row r="440" spans="3:3" ht="15" x14ac:dyDescent="0.2">
      <c r="C440" s="169" t="s">
        <v>819</v>
      </c>
    </row>
    <row r="441" spans="3:3" ht="15" x14ac:dyDescent="0.2">
      <c r="C441" s="169" t="s">
        <v>820</v>
      </c>
    </row>
    <row r="442" spans="3:3" ht="15" x14ac:dyDescent="0.2">
      <c r="C442" s="169" t="s">
        <v>821</v>
      </c>
    </row>
    <row r="443" spans="3:3" ht="15" x14ac:dyDescent="0.2">
      <c r="C443" s="169" t="s">
        <v>815</v>
      </c>
    </row>
    <row r="444" spans="3:3" ht="15" x14ac:dyDescent="0.2">
      <c r="C444" s="169" t="s">
        <v>816</v>
      </c>
    </row>
    <row r="445" spans="3:3" ht="15" x14ac:dyDescent="0.2">
      <c r="C445" s="169" t="s">
        <v>817</v>
      </c>
    </row>
    <row r="446" spans="3:3" ht="15" x14ac:dyDescent="0.2">
      <c r="C446" s="169" t="s">
        <v>818</v>
      </c>
    </row>
    <row r="447" spans="3:3" ht="15" x14ac:dyDescent="0.2">
      <c r="C447" s="169" t="s">
        <v>819</v>
      </c>
    </row>
    <row r="448" spans="3:3" ht="15" x14ac:dyDescent="0.2">
      <c r="C448" s="169" t="s">
        <v>822</v>
      </c>
    </row>
    <row r="449" spans="3:3" ht="15" x14ac:dyDescent="0.2">
      <c r="C449" s="169" t="s">
        <v>823</v>
      </c>
    </row>
    <row r="450" spans="3:3" ht="15" x14ac:dyDescent="0.2">
      <c r="C450" s="169" t="s">
        <v>824</v>
      </c>
    </row>
    <row r="451" spans="3:3" x14ac:dyDescent="0.2">
      <c r="C451" s="170"/>
    </row>
    <row r="452" spans="3:3" ht="15" x14ac:dyDescent="0.2">
      <c r="C452" s="169" t="s">
        <v>825</v>
      </c>
    </row>
    <row r="453" spans="3:3" ht="15" x14ac:dyDescent="0.2">
      <c r="C453" s="169" t="s">
        <v>826</v>
      </c>
    </row>
    <row r="454" spans="3:3" ht="15" x14ac:dyDescent="0.2">
      <c r="C454" s="169" t="s">
        <v>827</v>
      </c>
    </row>
    <row r="455" spans="3:3" x14ac:dyDescent="0.2">
      <c r="C455" s="170"/>
    </row>
    <row r="456" spans="3:3" ht="15" x14ac:dyDescent="0.2">
      <c r="C456" s="169" t="s">
        <v>828</v>
      </c>
    </row>
    <row r="457" spans="3:3" ht="15" x14ac:dyDescent="0.2">
      <c r="C457" s="169" t="s">
        <v>829</v>
      </c>
    </row>
    <row r="458" spans="3:3" ht="15" x14ac:dyDescent="0.2">
      <c r="C458" s="169" t="s">
        <v>830</v>
      </c>
    </row>
    <row r="459" spans="3:3" x14ac:dyDescent="0.2">
      <c r="C459" s="170"/>
    </row>
    <row r="460" spans="3:3" ht="15" x14ac:dyDescent="0.2">
      <c r="C460" s="169" t="s">
        <v>831</v>
      </c>
    </row>
    <row r="461" spans="3:3" ht="15" x14ac:dyDescent="0.2">
      <c r="C461" s="169" t="s">
        <v>832</v>
      </c>
    </row>
    <row r="462" spans="3:3" x14ac:dyDescent="0.2">
      <c r="C462" s="170"/>
    </row>
    <row r="463" spans="3:3" ht="15" x14ac:dyDescent="0.2">
      <c r="C463" s="169" t="s">
        <v>833</v>
      </c>
    </row>
    <row r="464" spans="3:3" ht="15" x14ac:dyDescent="0.2">
      <c r="C464" s="169" t="s">
        <v>834</v>
      </c>
    </row>
    <row r="465" spans="3:3" ht="15" x14ac:dyDescent="0.2">
      <c r="C465" s="169" t="s">
        <v>835</v>
      </c>
    </row>
    <row r="466" spans="3:3" ht="15" x14ac:dyDescent="0.2">
      <c r="C466" s="169" t="s">
        <v>836</v>
      </c>
    </row>
    <row r="467" spans="3:3" ht="15" x14ac:dyDescent="0.2">
      <c r="C467" s="169" t="s">
        <v>837</v>
      </c>
    </row>
    <row r="468" spans="3:3" ht="15" x14ac:dyDescent="0.2">
      <c r="C468" s="169" t="s">
        <v>838</v>
      </c>
    </row>
    <row r="469" spans="3:3" ht="15" x14ac:dyDescent="0.2">
      <c r="C469" s="169" t="s">
        <v>839</v>
      </c>
    </row>
    <row r="470" spans="3:3" ht="15" x14ac:dyDescent="0.2">
      <c r="C470" s="169" t="s">
        <v>840</v>
      </c>
    </row>
    <row r="471" spans="3:3" ht="15" x14ac:dyDescent="0.2">
      <c r="C471" s="169" t="s">
        <v>841</v>
      </c>
    </row>
    <row r="472" spans="3:3" ht="15" x14ac:dyDescent="0.2">
      <c r="C472" s="169" t="s">
        <v>842</v>
      </c>
    </row>
    <row r="473" spans="3:3" ht="15" x14ac:dyDescent="0.2">
      <c r="C473" s="169" t="s">
        <v>843</v>
      </c>
    </row>
    <row r="474" spans="3:3" ht="15" x14ac:dyDescent="0.2">
      <c r="C474" s="169" t="s">
        <v>844</v>
      </c>
    </row>
    <row r="475" spans="3:3" ht="15" x14ac:dyDescent="0.2">
      <c r="C475" s="169"/>
    </row>
    <row r="476" spans="3:3" ht="15" x14ac:dyDescent="0.2">
      <c r="C476" s="169" t="s">
        <v>845</v>
      </c>
    </row>
    <row r="477" spans="3:3" x14ac:dyDescent="0.2">
      <c r="C477" s="170"/>
    </row>
    <row r="478" spans="3:3" ht="15" x14ac:dyDescent="0.2">
      <c r="C478" s="169" t="s">
        <v>846</v>
      </c>
    </row>
    <row r="479" spans="3:3" ht="15" x14ac:dyDescent="0.2">
      <c r="C479" s="169" t="s">
        <v>847</v>
      </c>
    </row>
    <row r="480" spans="3:3" ht="15" x14ac:dyDescent="0.2">
      <c r="C480" s="169" t="s">
        <v>848</v>
      </c>
    </row>
    <row r="481" spans="3:3" ht="15" x14ac:dyDescent="0.2">
      <c r="C481" s="169" t="s">
        <v>849</v>
      </c>
    </row>
    <row r="482" spans="3:3" ht="15" x14ac:dyDescent="0.2">
      <c r="C482" s="169" t="s">
        <v>850</v>
      </c>
    </row>
    <row r="483" spans="3:3" x14ac:dyDescent="0.2">
      <c r="C483" s="170"/>
    </row>
    <row r="484" spans="3:3" ht="15" x14ac:dyDescent="0.2">
      <c r="C484" s="169" t="s">
        <v>851</v>
      </c>
    </row>
    <row r="485" spans="3:3" ht="15" x14ac:dyDescent="0.2">
      <c r="C485" s="169" t="s">
        <v>852</v>
      </c>
    </row>
    <row r="486" spans="3:3" ht="15" x14ac:dyDescent="0.2">
      <c r="C486" s="169" t="s">
        <v>853</v>
      </c>
    </row>
    <row r="487" spans="3:3" ht="15" x14ac:dyDescent="0.2">
      <c r="C487" s="169" t="s">
        <v>854</v>
      </c>
    </row>
    <row r="488" spans="3:3" ht="15" x14ac:dyDescent="0.2">
      <c r="C488" s="169" t="s">
        <v>855</v>
      </c>
    </row>
    <row r="489" spans="3:3" ht="15" x14ac:dyDescent="0.2">
      <c r="C489" s="169" t="s">
        <v>856</v>
      </c>
    </row>
    <row r="490" spans="3:3" ht="15" x14ac:dyDescent="0.2">
      <c r="C490" s="169" t="s">
        <v>857</v>
      </c>
    </row>
    <row r="491" spans="3:3" ht="15" x14ac:dyDescent="0.2">
      <c r="C491" s="169" t="s">
        <v>858</v>
      </c>
    </row>
    <row r="492" spans="3:3" ht="15" x14ac:dyDescent="0.2">
      <c r="C492" s="169" t="s">
        <v>859</v>
      </c>
    </row>
    <row r="493" spans="3:3" ht="15" x14ac:dyDescent="0.2">
      <c r="C493" s="169" t="s">
        <v>860</v>
      </c>
    </row>
    <row r="494" spans="3:3" ht="15" x14ac:dyDescent="0.2">
      <c r="C494" s="169" t="s">
        <v>861</v>
      </c>
    </row>
    <row r="495" spans="3:3" ht="15" x14ac:dyDescent="0.2">
      <c r="C495" s="169" t="s">
        <v>862</v>
      </c>
    </row>
    <row r="496" spans="3:3" ht="15" x14ac:dyDescent="0.2">
      <c r="C496" s="169" t="s">
        <v>863</v>
      </c>
    </row>
    <row r="497" spans="3:3" x14ac:dyDescent="0.2">
      <c r="C497" s="170"/>
    </row>
    <row r="498" spans="3:3" ht="15" x14ac:dyDescent="0.2">
      <c r="C498" s="169" t="s">
        <v>864</v>
      </c>
    </row>
    <row r="499" spans="3:3" x14ac:dyDescent="0.2">
      <c r="C499" s="170"/>
    </row>
    <row r="500" spans="3:3" ht="15" x14ac:dyDescent="0.2">
      <c r="C500" s="169" t="s">
        <v>865</v>
      </c>
    </row>
    <row r="501" spans="3:3" ht="15" x14ac:dyDescent="0.2">
      <c r="C501" s="169" t="s">
        <v>866</v>
      </c>
    </row>
    <row r="502" spans="3:3" ht="15" x14ac:dyDescent="0.2">
      <c r="C502" s="169" t="s">
        <v>867</v>
      </c>
    </row>
    <row r="503" spans="3:3" ht="15" x14ac:dyDescent="0.2">
      <c r="C503" s="169" t="s">
        <v>868</v>
      </c>
    </row>
    <row r="504" spans="3:3" ht="15" x14ac:dyDescent="0.2">
      <c r="C504" s="169" t="s">
        <v>869</v>
      </c>
    </row>
    <row r="505" spans="3:3" ht="15" x14ac:dyDescent="0.2">
      <c r="C505" s="169" t="s">
        <v>870</v>
      </c>
    </row>
    <row r="506" spans="3:3" ht="15" x14ac:dyDescent="0.2">
      <c r="C506" s="169" t="s">
        <v>849</v>
      </c>
    </row>
    <row r="507" spans="3:3" x14ac:dyDescent="0.2">
      <c r="C507" s="170"/>
    </row>
    <row r="508" spans="3:3" ht="15" x14ac:dyDescent="0.2">
      <c r="C508" s="169" t="s">
        <v>871</v>
      </c>
    </row>
    <row r="509" spans="3:3" ht="15" x14ac:dyDescent="0.2">
      <c r="C509" s="169" t="s">
        <v>872</v>
      </c>
    </row>
    <row r="510" spans="3:3" x14ac:dyDescent="0.2">
      <c r="C510" s="170"/>
    </row>
    <row r="511" spans="3:3" ht="15" x14ac:dyDescent="0.2">
      <c r="C511" s="169" t="s">
        <v>873</v>
      </c>
    </row>
    <row r="512" spans="3:3" ht="15" x14ac:dyDescent="0.2">
      <c r="C512" s="169" t="s">
        <v>874</v>
      </c>
    </row>
    <row r="513" spans="3:3" ht="15" x14ac:dyDescent="0.2">
      <c r="C513" s="169" t="s">
        <v>875</v>
      </c>
    </row>
    <row r="514" spans="3:3" ht="15" x14ac:dyDescent="0.2">
      <c r="C514" s="169" t="s">
        <v>876</v>
      </c>
    </row>
    <row r="515" spans="3:3" ht="15" x14ac:dyDescent="0.2">
      <c r="C515" s="169" t="s">
        <v>877</v>
      </c>
    </row>
    <row r="516" spans="3:3" ht="15" x14ac:dyDescent="0.2">
      <c r="C516" s="169" t="s">
        <v>878</v>
      </c>
    </row>
    <row r="517" spans="3:3" x14ac:dyDescent="0.2">
      <c r="C517" s="170"/>
    </row>
    <row r="518" spans="3:3" ht="15" x14ac:dyDescent="0.2">
      <c r="C518" s="169" t="s">
        <v>873</v>
      </c>
    </row>
    <row r="519" spans="3:3" ht="15" x14ac:dyDescent="0.2">
      <c r="C519" s="169" t="s">
        <v>879</v>
      </c>
    </row>
    <row r="520" spans="3:3" ht="15" x14ac:dyDescent="0.2">
      <c r="C520" s="169" t="s">
        <v>880</v>
      </c>
    </row>
    <row r="521" spans="3:3" ht="15" x14ac:dyDescent="0.2">
      <c r="C521" s="169" t="s">
        <v>881</v>
      </c>
    </row>
    <row r="522" spans="3:3" ht="15" x14ac:dyDescent="0.2">
      <c r="C522" s="169" t="s">
        <v>882</v>
      </c>
    </row>
    <row r="523" spans="3:3" x14ac:dyDescent="0.2">
      <c r="C523" s="170"/>
    </row>
    <row r="524" spans="3:3" ht="15" x14ac:dyDescent="0.2">
      <c r="C524" s="169" t="s">
        <v>883</v>
      </c>
    </row>
    <row r="525" spans="3:3" ht="15" x14ac:dyDescent="0.2">
      <c r="C525" s="169" t="s">
        <v>884</v>
      </c>
    </row>
    <row r="526" spans="3:3" ht="15" x14ac:dyDescent="0.2">
      <c r="C526" s="169" t="s">
        <v>885</v>
      </c>
    </row>
    <row r="527" spans="3:3" ht="15" x14ac:dyDescent="0.2">
      <c r="C527" s="169" t="s">
        <v>886</v>
      </c>
    </row>
    <row r="528" spans="3:3" ht="15" x14ac:dyDescent="0.2">
      <c r="C528" s="169" t="s">
        <v>887</v>
      </c>
    </row>
    <row r="529" spans="3:3" x14ac:dyDescent="0.2">
      <c r="C529" s="170"/>
    </row>
    <row r="530" spans="3:3" ht="15" x14ac:dyDescent="0.2">
      <c r="C530" s="169" t="s">
        <v>888</v>
      </c>
    </row>
    <row r="531" spans="3:3" ht="15" x14ac:dyDescent="0.2">
      <c r="C531" s="169" t="s">
        <v>889</v>
      </c>
    </row>
    <row r="532" spans="3:3" ht="15" x14ac:dyDescent="0.2">
      <c r="C532" s="169" t="s">
        <v>623</v>
      </c>
    </row>
    <row r="533" spans="3:3" ht="15" x14ac:dyDescent="0.2">
      <c r="C533" s="169" t="s">
        <v>624</v>
      </c>
    </row>
    <row r="534" spans="3:3" ht="15" x14ac:dyDescent="0.2">
      <c r="C534" s="169" t="s">
        <v>890</v>
      </c>
    </row>
    <row r="535" spans="3:3" ht="15" x14ac:dyDescent="0.2">
      <c r="C535" s="169" t="s">
        <v>891</v>
      </c>
    </row>
    <row r="536" spans="3:3" ht="15" x14ac:dyDescent="0.2">
      <c r="C536" s="169" t="s">
        <v>892</v>
      </c>
    </row>
    <row r="537" spans="3:3" x14ac:dyDescent="0.2">
      <c r="C537" s="170"/>
    </row>
    <row r="538" spans="3:3" ht="15" x14ac:dyDescent="0.2">
      <c r="C538" s="169" t="s">
        <v>893</v>
      </c>
    </row>
    <row r="539" spans="3:3" ht="15" x14ac:dyDescent="0.2">
      <c r="C539" s="169" t="s">
        <v>624</v>
      </c>
    </row>
    <row r="540" spans="3:3" x14ac:dyDescent="0.2">
      <c r="C540" s="170"/>
    </row>
    <row r="541" spans="3:3" ht="15" x14ac:dyDescent="0.2">
      <c r="C541" s="169" t="s">
        <v>894</v>
      </c>
    </row>
    <row r="542" spans="3:3" ht="15" x14ac:dyDescent="0.2">
      <c r="C542" s="169" t="s">
        <v>895</v>
      </c>
    </row>
    <row r="543" spans="3:3" ht="15" x14ac:dyDescent="0.2">
      <c r="C543" s="169" t="s">
        <v>896</v>
      </c>
    </row>
    <row r="544" spans="3:3" x14ac:dyDescent="0.2">
      <c r="C544" s="170"/>
    </row>
    <row r="545" spans="3:3" ht="15" x14ac:dyDescent="0.2">
      <c r="C545" s="169" t="s">
        <v>897</v>
      </c>
    </row>
    <row r="546" spans="3:3" ht="15" x14ac:dyDescent="0.2">
      <c r="C546" s="169" t="s">
        <v>898</v>
      </c>
    </row>
    <row r="547" spans="3:3" ht="15" x14ac:dyDescent="0.2">
      <c r="C547" s="169" t="s">
        <v>899</v>
      </c>
    </row>
    <row r="548" spans="3:3" ht="15" x14ac:dyDescent="0.2">
      <c r="C548" s="169" t="s">
        <v>900</v>
      </c>
    </row>
    <row r="549" spans="3:3" ht="15" x14ac:dyDescent="0.2">
      <c r="C549" s="169" t="s">
        <v>901</v>
      </c>
    </row>
    <row r="550" spans="3:3" x14ac:dyDescent="0.2">
      <c r="C550" s="170"/>
    </row>
    <row r="551" spans="3:3" ht="15" x14ac:dyDescent="0.2">
      <c r="C551" s="169" t="s">
        <v>902</v>
      </c>
    </row>
    <row r="552" spans="3:3" ht="15" x14ac:dyDescent="0.2">
      <c r="C552" s="169" t="s">
        <v>903</v>
      </c>
    </row>
    <row r="553" spans="3:3" ht="15" x14ac:dyDescent="0.2">
      <c r="C553" s="169" t="s">
        <v>904</v>
      </c>
    </row>
    <row r="554" spans="3:3" ht="15" x14ac:dyDescent="0.2">
      <c r="C554" s="169" t="s">
        <v>905</v>
      </c>
    </row>
    <row r="555" spans="3:3" ht="15" x14ac:dyDescent="0.2">
      <c r="C555" s="169" t="s">
        <v>906</v>
      </c>
    </row>
    <row r="556" spans="3:3" ht="15" x14ac:dyDescent="0.2">
      <c r="C556" s="169" t="s">
        <v>907</v>
      </c>
    </row>
    <row r="557" spans="3:3" ht="15" x14ac:dyDescent="0.2">
      <c r="C557" s="169" t="s">
        <v>908</v>
      </c>
    </row>
    <row r="558" spans="3:3" ht="15" x14ac:dyDescent="0.2">
      <c r="C558" s="169" t="s">
        <v>909</v>
      </c>
    </row>
    <row r="559" spans="3:3" ht="15" x14ac:dyDescent="0.2">
      <c r="C559" s="169" t="s">
        <v>849</v>
      </c>
    </row>
    <row r="560" spans="3:3" x14ac:dyDescent="0.2">
      <c r="C560" s="170"/>
    </row>
    <row r="561" spans="3:3" ht="15" x14ac:dyDescent="0.2">
      <c r="C561" s="169" t="s">
        <v>910</v>
      </c>
    </row>
    <row r="562" spans="3:3" ht="15" x14ac:dyDescent="0.2">
      <c r="C562" s="169" t="s">
        <v>911</v>
      </c>
    </row>
    <row r="563" spans="3:3" x14ac:dyDescent="0.2">
      <c r="C563" s="170"/>
    </row>
    <row r="564" spans="3:3" ht="15" x14ac:dyDescent="0.2">
      <c r="C564" s="169" t="s">
        <v>903</v>
      </c>
    </row>
    <row r="565" spans="3:3" ht="15" x14ac:dyDescent="0.2">
      <c r="C565" s="169" t="s">
        <v>912</v>
      </c>
    </row>
    <row r="566" spans="3:3" ht="15" x14ac:dyDescent="0.2">
      <c r="C566" s="169" t="s">
        <v>913</v>
      </c>
    </row>
    <row r="567" spans="3:3" ht="15" x14ac:dyDescent="0.2">
      <c r="C567" s="169" t="s">
        <v>906</v>
      </c>
    </row>
    <row r="568" spans="3:3" ht="15" x14ac:dyDescent="0.2">
      <c r="C568" s="169" t="s">
        <v>914</v>
      </c>
    </row>
    <row r="569" spans="3:3" ht="15" x14ac:dyDescent="0.2">
      <c r="C569" s="169" t="s">
        <v>915</v>
      </c>
    </row>
    <row r="570" spans="3:3" ht="15" x14ac:dyDescent="0.2">
      <c r="C570" s="169" t="s">
        <v>916</v>
      </c>
    </row>
    <row r="571" spans="3:3" ht="15" x14ac:dyDescent="0.2">
      <c r="C571" s="169" t="s">
        <v>917</v>
      </c>
    </row>
    <row r="572" spans="3:3" ht="15" x14ac:dyDescent="0.2">
      <c r="C572" s="169" t="s">
        <v>918</v>
      </c>
    </row>
    <row r="573" spans="3:3" x14ac:dyDescent="0.2">
      <c r="C573" s="170"/>
    </row>
    <row r="574" spans="3:3" ht="15" x14ac:dyDescent="0.2">
      <c r="C574" s="169" t="s">
        <v>919</v>
      </c>
    </row>
    <row r="575" spans="3:3" ht="15" x14ac:dyDescent="0.2">
      <c r="C575" s="169" t="s">
        <v>920</v>
      </c>
    </row>
    <row r="576" spans="3:3" ht="15" x14ac:dyDescent="0.2">
      <c r="C576" s="169" t="s">
        <v>921</v>
      </c>
    </row>
    <row r="577" spans="3:3" ht="15" x14ac:dyDescent="0.2">
      <c r="C577" s="169" t="s">
        <v>922</v>
      </c>
    </row>
    <row r="578" spans="3:3" ht="15" x14ac:dyDescent="0.2">
      <c r="C578" s="169" t="s">
        <v>923</v>
      </c>
    </row>
    <row r="579" spans="3:3" ht="15" x14ac:dyDescent="0.2">
      <c r="C579" s="169" t="s">
        <v>924</v>
      </c>
    </row>
    <row r="580" spans="3:3" ht="15" x14ac:dyDescent="0.2">
      <c r="C580" s="169" t="s">
        <v>925</v>
      </c>
    </row>
    <row r="581" spans="3:3" ht="15" x14ac:dyDescent="0.2">
      <c r="C581" s="169" t="s">
        <v>926</v>
      </c>
    </row>
    <row r="582" spans="3:3" ht="15" x14ac:dyDescent="0.2">
      <c r="C582" s="169" t="s">
        <v>927</v>
      </c>
    </row>
    <row r="583" spans="3:3" ht="15" x14ac:dyDescent="0.2">
      <c r="C583" s="169" t="s">
        <v>928</v>
      </c>
    </row>
    <row r="584" spans="3:3" ht="15" x14ac:dyDescent="0.2">
      <c r="C584" s="169" t="s">
        <v>929</v>
      </c>
    </row>
    <row r="585" spans="3:3" ht="15" x14ac:dyDescent="0.2">
      <c r="C585" s="169" t="s">
        <v>930</v>
      </c>
    </row>
    <row r="586" spans="3:3" ht="15" x14ac:dyDescent="0.2">
      <c r="C586" s="169" t="s">
        <v>931</v>
      </c>
    </row>
    <row r="587" spans="3:3" ht="15" x14ac:dyDescent="0.2">
      <c r="C587" s="169" t="s">
        <v>932</v>
      </c>
    </row>
    <row r="588" spans="3:3" ht="15" x14ac:dyDescent="0.2">
      <c r="C588" s="169" t="s">
        <v>933</v>
      </c>
    </row>
    <row r="589" spans="3:3" ht="15" x14ac:dyDescent="0.2">
      <c r="C589" s="169" t="s">
        <v>934</v>
      </c>
    </row>
    <row r="590" spans="3:3" ht="15" x14ac:dyDescent="0.2">
      <c r="C590" s="169" t="s">
        <v>935</v>
      </c>
    </row>
    <row r="591" spans="3:3" ht="15" x14ac:dyDescent="0.2">
      <c r="C591" s="169" t="s">
        <v>936</v>
      </c>
    </row>
    <row r="592" spans="3:3" ht="15" x14ac:dyDescent="0.2">
      <c r="C592" s="169" t="s">
        <v>937</v>
      </c>
    </row>
    <row r="593" spans="3:3" ht="15" x14ac:dyDescent="0.2">
      <c r="C593" s="169" t="s">
        <v>938</v>
      </c>
    </row>
    <row r="594" spans="3:3" ht="15" x14ac:dyDescent="0.2">
      <c r="C594" s="169" t="s">
        <v>939</v>
      </c>
    </row>
    <row r="595" spans="3:3" ht="15" x14ac:dyDescent="0.2">
      <c r="C595" s="169" t="s">
        <v>940</v>
      </c>
    </row>
    <row r="596" spans="3:3" ht="15" x14ac:dyDescent="0.2">
      <c r="C596" s="169" t="s">
        <v>777</v>
      </c>
    </row>
    <row r="597" spans="3:3" ht="15" x14ac:dyDescent="0.2">
      <c r="C597" s="169" t="s">
        <v>941</v>
      </c>
    </row>
    <row r="598" spans="3:3" ht="15" x14ac:dyDescent="0.2">
      <c r="C598" s="169" t="s">
        <v>942</v>
      </c>
    </row>
    <row r="599" spans="3:3" ht="15" x14ac:dyDescent="0.2">
      <c r="C599" s="169" t="s">
        <v>943</v>
      </c>
    </row>
    <row r="600" spans="3:3" ht="15" x14ac:dyDescent="0.2">
      <c r="C600" s="169" t="s">
        <v>944</v>
      </c>
    </row>
    <row r="601" spans="3:3" ht="15" x14ac:dyDescent="0.2">
      <c r="C601" s="169" t="s">
        <v>945</v>
      </c>
    </row>
    <row r="602" spans="3:3" ht="15" x14ac:dyDescent="0.2">
      <c r="C602" s="169" t="s">
        <v>946</v>
      </c>
    </row>
    <row r="603" spans="3:3" ht="15" x14ac:dyDescent="0.2">
      <c r="C603" s="169" t="s">
        <v>947</v>
      </c>
    </row>
    <row r="604" spans="3:3" x14ac:dyDescent="0.2">
      <c r="C604" s="170"/>
    </row>
    <row r="605" spans="3:3" ht="15" x14ac:dyDescent="0.2">
      <c r="C605" s="169" t="s">
        <v>948</v>
      </c>
    </row>
    <row r="606" spans="3:3" ht="15" x14ac:dyDescent="0.2">
      <c r="C606" s="169" t="s">
        <v>949</v>
      </c>
    </row>
    <row r="607" spans="3:3" x14ac:dyDescent="0.2">
      <c r="C607" s="170"/>
    </row>
    <row r="608" spans="3:3" ht="15" x14ac:dyDescent="0.2">
      <c r="C608" s="169" t="s">
        <v>950</v>
      </c>
    </row>
    <row r="609" spans="3:3" ht="15" x14ac:dyDescent="0.2">
      <c r="C609" s="169" t="s">
        <v>951</v>
      </c>
    </row>
    <row r="610" spans="3:3" x14ac:dyDescent="0.2">
      <c r="C610" s="170"/>
    </row>
    <row r="611" spans="3:3" ht="15" x14ac:dyDescent="0.2">
      <c r="C611" s="169" t="s">
        <v>952</v>
      </c>
    </row>
    <row r="612" spans="3:3" ht="15" x14ac:dyDescent="0.2">
      <c r="C612" s="169" t="s">
        <v>903</v>
      </c>
    </row>
    <row r="613" spans="3:3" ht="15" x14ac:dyDescent="0.2">
      <c r="C613" s="169" t="s">
        <v>904</v>
      </c>
    </row>
    <row r="614" spans="3:3" ht="15" x14ac:dyDescent="0.2">
      <c r="C614" s="169" t="s">
        <v>953</v>
      </c>
    </row>
    <row r="615" spans="3:3" ht="15" x14ac:dyDescent="0.2">
      <c r="C615" s="169" t="s">
        <v>906</v>
      </c>
    </row>
    <row r="616" spans="3:3" ht="15" x14ac:dyDescent="0.2">
      <c r="C616" s="169" t="s">
        <v>954</v>
      </c>
    </row>
    <row r="617" spans="3:3" ht="15" x14ac:dyDescent="0.2">
      <c r="C617" s="169" t="s">
        <v>908</v>
      </c>
    </row>
    <row r="618" spans="3:3" ht="15" x14ac:dyDescent="0.2">
      <c r="C618" s="169" t="s">
        <v>909</v>
      </c>
    </row>
    <row r="619" spans="3:3" ht="15" x14ac:dyDescent="0.2">
      <c r="C619" s="169" t="s">
        <v>849</v>
      </c>
    </row>
    <row r="620" spans="3:3" x14ac:dyDescent="0.2">
      <c r="C620" s="170"/>
    </row>
    <row r="621" spans="3:3" ht="15" x14ac:dyDescent="0.2">
      <c r="C621" s="169" t="s">
        <v>955</v>
      </c>
    </row>
    <row r="622" spans="3:3" ht="15" x14ac:dyDescent="0.2">
      <c r="C622" s="169" t="s">
        <v>956</v>
      </c>
    </row>
    <row r="623" spans="3:3" x14ac:dyDescent="0.2">
      <c r="C623" s="170"/>
    </row>
    <row r="624" spans="3:3" ht="15" x14ac:dyDescent="0.2">
      <c r="C624" s="169" t="s">
        <v>903</v>
      </c>
    </row>
    <row r="625" spans="3:3" ht="15" x14ac:dyDescent="0.2">
      <c r="C625" s="169" t="s">
        <v>957</v>
      </c>
    </row>
    <row r="626" spans="3:3" ht="15" x14ac:dyDescent="0.2">
      <c r="C626" s="169" t="s">
        <v>958</v>
      </c>
    </row>
    <row r="627" spans="3:3" ht="15" x14ac:dyDescent="0.2">
      <c r="C627" s="169" t="s">
        <v>906</v>
      </c>
    </row>
    <row r="628" spans="3:3" ht="15" x14ac:dyDescent="0.2">
      <c r="C628" s="169" t="s">
        <v>914</v>
      </c>
    </row>
    <row r="629" spans="3:3" ht="15" x14ac:dyDescent="0.2">
      <c r="C629" s="169" t="s">
        <v>915</v>
      </c>
    </row>
    <row r="630" spans="3:3" ht="15" x14ac:dyDescent="0.2">
      <c r="C630" s="169" t="s">
        <v>959</v>
      </c>
    </row>
    <row r="631" spans="3:3" ht="15" x14ac:dyDescent="0.2">
      <c r="C631" s="169" t="s">
        <v>917</v>
      </c>
    </row>
    <row r="632" spans="3:3" ht="15" x14ac:dyDescent="0.2">
      <c r="C632" s="169" t="s">
        <v>849</v>
      </c>
    </row>
    <row r="633" spans="3:3" x14ac:dyDescent="0.2">
      <c r="C633" s="170"/>
    </row>
    <row r="634" spans="3:3" ht="15" x14ac:dyDescent="0.2">
      <c r="C634" s="169" t="s">
        <v>960</v>
      </c>
    </row>
    <row r="635" spans="3:3" ht="15" x14ac:dyDescent="0.2">
      <c r="C635" s="169" t="s">
        <v>903</v>
      </c>
    </row>
    <row r="636" spans="3:3" ht="15" x14ac:dyDescent="0.2">
      <c r="C636" s="169" t="s">
        <v>904</v>
      </c>
    </row>
    <row r="637" spans="3:3" ht="15" x14ac:dyDescent="0.2">
      <c r="C637" s="169" t="s">
        <v>961</v>
      </c>
    </row>
    <row r="638" spans="3:3" ht="15" x14ac:dyDescent="0.2">
      <c r="C638" s="169" t="s">
        <v>906</v>
      </c>
    </row>
    <row r="639" spans="3:3" ht="15" x14ac:dyDescent="0.2">
      <c r="C639" s="169" t="s">
        <v>962</v>
      </c>
    </row>
    <row r="640" spans="3:3" ht="15" x14ac:dyDescent="0.2">
      <c r="C640" s="169" t="s">
        <v>908</v>
      </c>
    </row>
    <row r="641" spans="3:3" ht="15" x14ac:dyDescent="0.2">
      <c r="C641" s="169" t="s">
        <v>909</v>
      </c>
    </row>
    <row r="642" spans="3:3" ht="15" x14ac:dyDescent="0.2">
      <c r="C642" s="169" t="s">
        <v>849</v>
      </c>
    </row>
    <row r="643" spans="3:3" x14ac:dyDescent="0.2">
      <c r="C643" s="170"/>
    </row>
    <row r="644" spans="3:3" ht="15" x14ac:dyDescent="0.2">
      <c r="C644" s="169" t="s">
        <v>963</v>
      </c>
    </row>
    <row r="645" spans="3:3" ht="15" x14ac:dyDescent="0.2">
      <c r="C645" s="169" t="s">
        <v>964</v>
      </c>
    </row>
    <row r="646" spans="3:3" x14ac:dyDescent="0.2">
      <c r="C646" s="170"/>
    </row>
    <row r="647" spans="3:3" ht="15" x14ac:dyDescent="0.2">
      <c r="C647" s="169" t="s">
        <v>903</v>
      </c>
    </row>
    <row r="648" spans="3:3" ht="15" x14ac:dyDescent="0.2">
      <c r="C648" s="169" t="s">
        <v>965</v>
      </c>
    </row>
    <row r="649" spans="3:3" ht="15" x14ac:dyDescent="0.2">
      <c r="C649" s="169" t="s">
        <v>966</v>
      </c>
    </row>
    <row r="650" spans="3:3" ht="15" x14ac:dyDescent="0.2">
      <c r="C650" s="169" t="s">
        <v>906</v>
      </c>
    </row>
    <row r="651" spans="3:3" ht="15" x14ac:dyDescent="0.2">
      <c r="C651" s="169" t="s">
        <v>914</v>
      </c>
    </row>
    <row r="652" spans="3:3" ht="15" x14ac:dyDescent="0.2">
      <c r="C652" s="169" t="s">
        <v>915</v>
      </c>
    </row>
    <row r="653" spans="3:3" ht="15" x14ac:dyDescent="0.2">
      <c r="C653" s="169" t="s">
        <v>916</v>
      </c>
    </row>
    <row r="654" spans="3:3" ht="15" x14ac:dyDescent="0.2">
      <c r="C654" s="169" t="s">
        <v>917</v>
      </c>
    </row>
    <row r="655" spans="3:3" ht="15" x14ac:dyDescent="0.2">
      <c r="C655" s="169" t="s">
        <v>849</v>
      </c>
    </row>
    <row r="656" spans="3:3" x14ac:dyDescent="0.2">
      <c r="C656" s="170"/>
    </row>
    <row r="657" spans="3:3" ht="15" x14ac:dyDescent="0.2">
      <c r="C657" s="169" t="s">
        <v>967</v>
      </c>
    </row>
    <row r="658" spans="3:3" ht="15" x14ac:dyDescent="0.2">
      <c r="C658" s="169" t="s">
        <v>903</v>
      </c>
    </row>
    <row r="659" spans="3:3" ht="15" x14ac:dyDescent="0.2">
      <c r="C659" s="169" t="s">
        <v>904</v>
      </c>
    </row>
    <row r="660" spans="3:3" ht="15" x14ac:dyDescent="0.2">
      <c r="C660" s="169" t="s">
        <v>968</v>
      </c>
    </row>
    <row r="661" spans="3:3" ht="15" x14ac:dyDescent="0.2">
      <c r="C661" s="169" t="s">
        <v>906</v>
      </c>
    </row>
    <row r="662" spans="3:3" ht="15" x14ac:dyDescent="0.2">
      <c r="C662" s="169" t="s">
        <v>969</v>
      </c>
    </row>
    <row r="663" spans="3:3" ht="15" x14ac:dyDescent="0.2">
      <c r="C663" s="169" t="s">
        <v>908</v>
      </c>
    </row>
    <row r="664" spans="3:3" ht="15" x14ac:dyDescent="0.2">
      <c r="C664" s="169" t="s">
        <v>909</v>
      </c>
    </row>
    <row r="665" spans="3:3" ht="15" x14ac:dyDescent="0.2">
      <c r="C665" s="169" t="s">
        <v>849</v>
      </c>
    </row>
    <row r="666" spans="3:3" x14ac:dyDescent="0.2">
      <c r="C666" s="170"/>
    </row>
    <row r="667" spans="3:3" ht="15" x14ac:dyDescent="0.2">
      <c r="C667" s="169" t="s">
        <v>970</v>
      </c>
    </row>
    <row r="668" spans="3:3" ht="15" x14ac:dyDescent="0.2">
      <c r="C668" s="169" t="s">
        <v>971</v>
      </c>
    </row>
    <row r="669" spans="3:3" x14ac:dyDescent="0.2">
      <c r="C669" s="170"/>
    </row>
    <row r="670" spans="3:3" ht="15" x14ac:dyDescent="0.2">
      <c r="C670" s="169" t="s">
        <v>903</v>
      </c>
    </row>
    <row r="671" spans="3:3" ht="15" x14ac:dyDescent="0.2">
      <c r="C671" s="169" t="s">
        <v>972</v>
      </c>
    </row>
    <row r="672" spans="3:3" ht="15" x14ac:dyDescent="0.2">
      <c r="C672" s="169" t="s">
        <v>973</v>
      </c>
    </row>
    <row r="673" spans="3:3" ht="15" x14ac:dyDescent="0.2">
      <c r="C673" s="169" t="s">
        <v>906</v>
      </c>
    </row>
    <row r="674" spans="3:3" ht="15" x14ac:dyDescent="0.2">
      <c r="C674" s="169" t="s">
        <v>914</v>
      </c>
    </row>
    <row r="675" spans="3:3" ht="15" x14ac:dyDescent="0.2">
      <c r="C675" s="169" t="s">
        <v>915</v>
      </c>
    </row>
    <row r="676" spans="3:3" ht="15" x14ac:dyDescent="0.2">
      <c r="C676" s="169" t="s">
        <v>916</v>
      </c>
    </row>
    <row r="677" spans="3:3" ht="15" x14ac:dyDescent="0.2">
      <c r="C677" s="169" t="s">
        <v>974</v>
      </c>
    </row>
    <row r="678" spans="3:3" ht="15" x14ac:dyDescent="0.2">
      <c r="C678" s="169" t="s">
        <v>975</v>
      </c>
    </row>
    <row r="679" spans="3:3" x14ac:dyDescent="0.2">
      <c r="C679" s="170"/>
    </row>
    <row r="680" spans="3:3" ht="15" x14ac:dyDescent="0.2">
      <c r="C680" s="169" t="s">
        <v>976</v>
      </c>
    </row>
    <row r="681" spans="3:3" ht="15" x14ac:dyDescent="0.2">
      <c r="C681" s="169" t="s">
        <v>977</v>
      </c>
    </row>
    <row r="682" spans="3:3" ht="15" x14ac:dyDescent="0.2">
      <c r="C682" s="169" t="s">
        <v>978</v>
      </c>
    </row>
    <row r="683" spans="3:3" x14ac:dyDescent="0.2">
      <c r="C683" s="170"/>
    </row>
    <row r="684" spans="3:3" ht="15" x14ac:dyDescent="0.2">
      <c r="C684" s="169" t="s">
        <v>903</v>
      </c>
    </row>
    <row r="685" spans="3:3" ht="15" x14ac:dyDescent="0.2">
      <c r="C685" s="169" t="s">
        <v>979</v>
      </c>
    </row>
    <row r="686" spans="3:3" ht="15" x14ac:dyDescent="0.2">
      <c r="C686" s="169" t="s">
        <v>980</v>
      </c>
    </row>
    <row r="687" spans="3:3" ht="15" x14ac:dyDescent="0.2">
      <c r="C687" s="169" t="s">
        <v>906</v>
      </c>
    </row>
    <row r="688" spans="3:3" ht="15" x14ac:dyDescent="0.2">
      <c r="C688" s="169" t="s">
        <v>914</v>
      </c>
    </row>
    <row r="689" spans="3:3" ht="15" x14ac:dyDescent="0.2">
      <c r="C689" s="169" t="s">
        <v>981</v>
      </c>
    </row>
    <row r="690" spans="3:3" ht="15" x14ac:dyDescent="0.2">
      <c r="C690" s="169" t="s">
        <v>917</v>
      </c>
    </row>
    <row r="691" spans="3:3" ht="15" x14ac:dyDescent="0.2">
      <c r="C691" s="169" t="s">
        <v>849</v>
      </c>
    </row>
    <row r="692" spans="3:3" x14ac:dyDescent="0.2">
      <c r="C692" s="170"/>
    </row>
    <row r="693" spans="3:3" ht="15" x14ac:dyDescent="0.2">
      <c r="C693" s="169" t="s">
        <v>982</v>
      </c>
    </row>
    <row r="694" spans="3:3" ht="15" x14ac:dyDescent="0.2">
      <c r="C694" s="169" t="s">
        <v>983</v>
      </c>
    </row>
    <row r="695" spans="3:3" ht="15" x14ac:dyDescent="0.2">
      <c r="C695" s="169" t="s">
        <v>984</v>
      </c>
    </row>
    <row r="696" spans="3:3" x14ac:dyDescent="0.2">
      <c r="C696" s="170"/>
    </row>
    <row r="697" spans="3:3" ht="15" x14ac:dyDescent="0.2">
      <c r="C697" s="169" t="s">
        <v>985</v>
      </c>
    </row>
    <row r="698" spans="3:3" ht="15" x14ac:dyDescent="0.2">
      <c r="C698" s="169" t="s">
        <v>986</v>
      </c>
    </row>
    <row r="699" spans="3:3" ht="15" x14ac:dyDescent="0.2">
      <c r="C699" s="169" t="s">
        <v>987</v>
      </c>
    </row>
    <row r="700" spans="3:3" ht="15" x14ac:dyDescent="0.2">
      <c r="C700" s="169" t="s">
        <v>988</v>
      </c>
    </row>
    <row r="701" spans="3:3" ht="15" x14ac:dyDescent="0.2">
      <c r="C701" s="169" t="s">
        <v>989</v>
      </c>
    </row>
    <row r="702" spans="3:3" ht="15" x14ac:dyDescent="0.2">
      <c r="C702" s="169" t="s">
        <v>990</v>
      </c>
    </row>
    <row r="703" spans="3:3" ht="15" x14ac:dyDescent="0.2">
      <c r="C703" s="169" t="s">
        <v>991</v>
      </c>
    </row>
    <row r="704" spans="3:3" ht="15" x14ac:dyDescent="0.2">
      <c r="C704" s="169" t="s">
        <v>992</v>
      </c>
    </row>
    <row r="705" spans="3:3" ht="15" x14ac:dyDescent="0.2">
      <c r="C705" s="169" t="s">
        <v>993</v>
      </c>
    </row>
    <row r="706" spans="3:3" x14ac:dyDescent="0.2">
      <c r="C706" s="170"/>
    </row>
    <row r="707" spans="3:3" ht="15" x14ac:dyDescent="0.2">
      <c r="C707" s="169" t="s">
        <v>994</v>
      </c>
    </row>
    <row r="708" spans="3:3" ht="15" x14ac:dyDescent="0.2">
      <c r="C708" s="169" t="s">
        <v>995</v>
      </c>
    </row>
    <row r="709" spans="3:3" x14ac:dyDescent="0.2">
      <c r="C709" s="170"/>
    </row>
    <row r="710" spans="3:3" ht="15" x14ac:dyDescent="0.2">
      <c r="C710" s="169" t="s">
        <v>986</v>
      </c>
    </row>
    <row r="711" spans="3:3" ht="15" x14ac:dyDescent="0.2">
      <c r="C711" s="169" t="s">
        <v>996</v>
      </c>
    </row>
    <row r="712" spans="3:3" ht="15" x14ac:dyDescent="0.2">
      <c r="C712" s="169" t="s">
        <v>997</v>
      </c>
    </row>
    <row r="713" spans="3:3" ht="15" x14ac:dyDescent="0.2">
      <c r="C713" s="169" t="s">
        <v>989</v>
      </c>
    </row>
    <row r="714" spans="3:3" ht="15" x14ac:dyDescent="0.2">
      <c r="C714" s="169" t="s">
        <v>998</v>
      </c>
    </row>
    <row r="715" spans="3:3" ht="15" x14ac:dyDescent="0.2">
      <c r="C715" s="169" t="s">
        <v>999</v>
      </c>
    </row>
    <row r="716" spans="3:3" ht="15" x14ac:dyDescent="0.2">
      <c r="C716" s="169" t="s">
        <v>1000</v>
      </c>
    </row>
    <row r="717" spans="3:3" ht="15" x14ac:dyDescent="0.2">
      <c r="C717" s="169" t="s">
        <v>1001</v>
      </c>
    </row>
    <row r="718" spans="3:3" ht="15" x14ac:dyDescent="0.2">
      <c r="C718" s="169" t="s">
        <v>1002</v>
      </c>
    </row>
    <row r="719" spans="3:3" x14ac:dyDescent="0.2">
      <c r="C719" s="170"/>
    </row>
    <row r="720" spans="3:3" ht="15" x14ac:dyDescent="0.2">
      <c r="C720" s="169" t="s">
        <v>1003</v>
      </c>
    </row>
    <row r="721" spans="3:3" ht="15" x14ac:dyDescent="0.2">
      <c r="C721" s="169" t="s">
        <v>986</v>
      </c>
    </row>
    <row r="722" spans="3:3" ht="15" x14ac:dyDescent="0.2">
      <c r="C722" s="169" t="s">
        <v>987</v>
      </c>
    </row>
    <row r="723" spans="3:3" ht="15" x14ac:dyDescent="0.2">
      <c r="C723" s="169" t="s">
        <v>1004</v>
      </c>
    </row>
    <row r="724" spans="3:3" ht="15" x14ac:dyDescent="0.2">
      <c r="C724" s="169" t="s">
        <v>989</v>
      </c>
    </row>
    <row r="725" spans="3:3" ht="15" x14ac:dyDescent="0.2">
      <c r="C725" s="169" t="s">
        <v>1005</v>
      </c>
    </row>
    <row r="726" spans="3:3" ht="15" x14ac:dyDescent="0.2">
      <c r="C726" s="169" t="s">
        <v>991</v>
      </c>
    </row>
    <row r="727" spans="3:3" ht="15" x14ac:dyDescent="0.2">
      <c r="C727" s="169" t="s">
        <v>1006</v>
      </c>
    </row>
    <row r="728" spans="3:3" ht="15" x14ac:dyDescent="0.2">
      <c r="C728" s="169" t="s">
        <v>993</v>
      </c>
    </row>
    <row r="729" spans="3:3" x14ac:dyDescent="0.2">
      <c r="C729" s="170"/>
    </row>
    <row r="730" spans="3:3" ht="15" x14ac:dyDescent="0.2">
      <c r="C730" s="169" t="s">
        <v>986</v>
      </c>
    </row>
    <row r="731" spans="3:3" ht="15" x14ac:dyDescent="0.2">
      <c r="C731" s="169" t="s">
        <v>987</v>
      </c>
    </row>
    <row r="732" spans="3:3" ht="15" x14ac:dyDescent="0.2">
      <c r="C732" s="169" t="s">
        <v>1007</v>
      </c>
    </row>
    <row r="733" spans="3:3" ht="15" x14ac:dyDescent="0.2">
      <c r="C733" s="169" t="s">
        <v>989</v>
      </c>
    </row>
    <row r="734" spans="3:3" ht="15" x14ac:dyDescent="0.2">
      <c r="C734" s="169" t="s">
        <v>1008</v>
      </c>
    </row>
    <row r="735" spans="3:3" ht="15" x14ac:dyDescent="0.2">
      <c r="C735" s="169" t="s">
        <v>991</v>
      </c>
    </row>
    <row r="736" spans="3:3" ht="15" x14ac:dyDescent="0.2">
      <c r="C736" s="169" t="s">
        <v>1006</v>
      </c>
    </row>
    <row r="737" spans="3:3" ht="15" x14ac:dyDescent="0.2">
      <c r="C737" s="169" t="s">
        <v>993</v>
      </c>
    </row>
    <row r="738" spans="3:3" x14ac:dyDescent="0.2">
      <c r="C738" s="170"/>
    </row>
    <row r="739" spans="3:3" ht="15" x14ac:dyDescent="0.2">
      <c r="C739" s="169" t="s">
        <v>1009</v>
      </c>
    </row>
    <row r="740" spans="3:3" x14ac:dyDescent="0.2">
      <c r="C740" s="170"/>
    </row>
    <row r="741" spans="3:3" ht="15" x14ac:dyDescent="0.2">
      <c r="C741" s="169" t="s">
        <v>986</v>
      </c>
    </row>
    <row r="742" spans="3:3" ht="15" x14ac:dyDescent="0.2">
      <c r="C742" s="169" t="s">
        <v>1010</v>
      </c>
    </row>
    <row r="743" spans="3:3" ht="15" x14ac:dyDescent="0.2">
      <c r="C743" s="169" t="s">
        <v>1011</v>
      </c>
    </row>
    <row r="744" spans="3:3" ht="15" x14ac:dyDescent="0.2">
      <c r="C744" s="169" t="s">
        <v>989</v>
      </c>
    </row>
    <row r="745" spans="3:3" ht="15" x14ac:dyDescent="0.2">
      <c r="C745" s="169" t="s">
        <v>998</v>
      </c>
    </row>
    <row r="746" spans="3:3" ht="15" x14ac:dyDescent="0.2">
      <c r="C746" s="169" t="s">
        <v>999</v>
      </c>
    </row>
    <row r="747" spans="3:3" ht="15" x14ac:dyDescent="0.2">
      <c r="C747" s="169" t="s">
        <v>1000</v>
      </c>
    </row>
    <row r="748" spans="3:3" ht="15" x14ac:dyDescent="0.2">
      <c r="C748" s="169" t="s">
        <v>1001</v>
      </c>
    </row>
    <row r="749" spans="3:3" ht="15" x14ac:dyDescent="0.2">
      <c r="C749" s="169" t="s">
        <v>1002</v>
      </c>
    </row>
    <row r="750" spans="3:3" x14ac:dyDescent="0.2">
      <c r="C750" s="170"/>
    </row>
    <row r="751" spans="3:3" ht="15" x14ac:dyDescent="0.2">
      <c r="C751" s="169" t="s">
        <v>1012</v>
      </c>
    </row>
    <row r="752" spans="3:3" ht="15" x14ac:dyDescent="0.2">
      <c r="C752" s="169" t="s">
        <v>986</v>
      </c>
    </row>
    <row r="753" spans="3:3" ht="15" x14ac:dyDescent="0.2">
      <c r="C753" s="169" t="s">
        <v>987</v>
      </c>
    </row>
    <row r="754" spans="3:3" ht="15" x14ac:dyDescent="0.2">
      <c r="C754" s="169" t="s">
        <v>1013</v>
      </c>
    </row>
    <row r="755" spans="3:3" ht="15" x14ac:dyDescent="0.2">
      <c r="C755" s="169" t="s">
        <v>989</v>
      </c>
    </row>
    <row r="756" spans="3:3" ht="15" x14ac:dyDescent="0.2">
      <c r="C756" s="169" t="s">
        <v>1014</v>
      </c>
    </row>
    <row r="757" spans="3:3" ht="15" x14ac:dyDescent="0.2">
      <c r="C757" s="169" t="s">
        <v>991</v>
      </c>
    </row>
    <row r="758" spans="3:3" ht="15" x14ac:dyDescent="0.2">
      <c r="C758" s="169" t="s">
        <v>992</v>
      </c>
    </row>
    <row r="759" spans="3:3" ht="15" x14ac:dyDescent="0.2">
      <c r="C759" s="169" t="s">
        <v>993</v>
      </c>
    </row>
    <row r="760" spans="3:3" x14ac:dyDescent="0.2">
      <c r="C760" s="170"/>
    </row>
    <row r="761" spans="3:3" ht="15" x14ac:dyDescent="0.2">
      <c r="C761" s="169" t="s">
        <v>1015</v>
      </c>
    </row>
    <row r="762" spans="3:3" ht="15" x14ac:dyDescent="0.2">
      <c r="C762" s="169" t="s">
        <v>1016</v>
      </c>
    </row>
    <row r="763" spans="3:3" x14ac:dyDescent="0.2">
      <c r="C763" s="170"/>
    </row>
    <row r="764" spans="3:3" ht="15" x14ac:dyDescent="0.2">
      <c r="C764" s="169" t="s">
        <v>986</v>
      </c>
    </row>
    <row r="765" spans="3:3" ht="15" x14ac:dyDescent="0.2">
      <c r="C765" s="169" t="s">
        <v>1017</v>
      </c>
    </row>
    <row r="766" spans="3:3" ht="15" x14ac:dyDescent="0.2">
      <c r="C766" s="169" t="s">
        <v>1018</v>
      </c>
    </row>
    <row r="767" spans="3:3" ht="15" x14ac:dyDescent="0.2">
      <c r="C767" s="169" t="s">
        <v>989</v>
      </c>
    </row>
    <row r="768" spans="3:3" ht="15" x14ac:dyDescent="0.2">
      <c r="C768" s="169" t="s">
        <v>998</v>
      </c>
    </row>
    <row r="769" spans="3:3" ht="15" x14ac:dyDescent="0.2">
      <c r="C769" s="169" t="s">
        <v>999</v>
      </c>
    </row>
    <row r="770" spans="3:3" ht="15" x14ac:dyDescent="0.2">
      <c r="C770" s="169" t="s">
        <v>1000</v>
      </c>
    </row>
    <row r="771" spans="3:3" ht="15" x14ac:dyDescent="0.2">
      <c r="C771" s="169" t="s">
        <v>1001</v>
      </c>
    </row>
    <row r="772" spans="3:3" ht="15" x14ac:dyDescent="0.2">
      <c r="C772" s="169" t="s">
        <v>1002</v>
      </c>
    </row>
    <row r="773" spans="3:3" x14ac:dyDescent="0.2">
      <c r="C773" s="170"/>
    </row>
    <row r="774" spans="3:3" ht="15" x14ac:dyDescent="0.2">
      <c r="C774" s="169" t="s">
        <v>845</v>
      </c>
    </row>
    <row r="775" spans="3:3" ht="15" x14ac:dyDescent="0.2">
      <c r="C775" s="169" t="s">
        <v>1019</v>
      </c>
    </row>
    <row r="776" spans="3:3" ht="15" x14ac:dyDescent="0.2">
      <c r="C776" s="169" t="s">
        <v>1020</v>
      </c>
    </row>
    <row r="777" spans="3:3" x14ac:dyDescent="0.2">
      <c r="C777" s="170"/>
    </row>
    <row r="778" spans="3:3" ht="15" x14ac:dyDescent="0.2">
      <c r="C778" s="169" t="s">
        <v>1021</v>
      </c>
    </row>
    <row r="779" spans="3:3" ht="15" x14ac:dyDescent="0.2">
      <c r="C779" s="169" t="s">
        <v>1022</v>
      </c>
    </row>
    <row r="780" spans="3:3" ht="15" x14ac:dyDescent="0.2">
      <c r="C780" s="169" t="s">
        <v>1023</v>
      </c>
    </row>
    <row r="781" spans="3:3" x14ac:dyDescent="0.2">
      <c r="C781" s="170"/>
    </row>
    <row r="782" spans="3:3" ht="15" x14ac:dyDescent="0.2">
      <c r="C782" s="169" t="s">
        <v>1024</v>
      </c>
    </row>
    <row r="783" spans="3:3" ht="15" x14ac:dyDescent="0.2">
      <c r="C783" s="169" t="s">
        <v>1025</v>
      </c>
    </row>
    <row r="784" spans="3:3" ht="15" x14ac:dyDescent="0.2">
      <c r="C784" s="169" t="s">
        <v>1026</v>
      </c>
    </row>
    <row r="785" spans="3:3" ht="15" x14ac:dyDescent="0.2">
      <c r="C785" s="169" t="s">
        <v>1027</v>
      </c>
    </row>
    <row r="786" spans="3:3" x14ac:dyDescent="0.2">
      <c r="C786" s="170"/>
    </row>
    <row r="787" spans="3:3" ht="15" x14ac:dyDescent="0.2">
      <c r="C787" s="169" t="s">
        <v>1028</v>
      </c>
    </row>
    <row r="788" spans="3:3" ht="15" x14ac:dyDescent="0.2">
      <c r="C788" s="169" t="s">
        <v>1029</v>
      </c>
    </row>
    <row r="789" spans="3:3" ht="15" x14ac:dyDescent="0.2">
      <c r="C789" s="169"/>
    </row>
    <row r="790" spans="3:3" ht="15" x14ac:dyDescent="0.2">
      <c r="C790" s="169"/>
    </row>
    <row r="791" spans="3:3" x14ac:dyDescent="0.2">
      <c r="C791" s="170"/>
    </row>
    <row r="792" spans="3:3" ht="15" x14ac:dyDescent="0.2">
      <c r="C792" s="169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rgb="FF512D6D"/>
  </sheetPr>
  <dimension ref="A1:D615"/>
  <sheetViews>
    <sheetView workbookViewId="0"/>
  </sheetViews>
  <sheetFormatPr defaultColWidth="0" defaultRowHeight="12.75" x14ac:dyDescent="0.2"/>
  <cols>
    <col min="1" max="1" width="24.7109375" style="50" customWidth="1"/>
    <col min="2" max="2" width="9.140625" style="50" customWidth="1"/>
    <col min="3" max="3" width="120.7109375" style="170" customWidth="1"/>
    <col min="4" max="4" width="1.7109375" style="50" customWidth="1"/>
    <col min="5" max="16384" width="9.140625" style="50" hidden="1"/>
  </cols>
  <sheetData>
    <row r="1" spans="1:3" ht="15.75" thickBot="1" x14ac:dyDescent="0.25">
      <c r="A1" s="171" t="s">
        <v>1631</v>
      </c>
      <c r="C1" s="169" t="s">
        <v>490</v>
      </c>
    </row>
    <row r="2" spans="1:3" ht="16.5" thickTop="1" thickBot="1" x14ac:dyDescent="0.25">
      <c r="A2" s="172" t="str">
        <f>_xlfn.CONCAT(Results!C32,".sim")</f>
        <v>Estatico.sim</v>
      </c>
      <c r="C2" s="169" t="s">
        <v>491</v>
      </c>
    </row>
    <row r="3" spans="1:3" ht="13.5" thickBot="1" x14ac:dyDescent="0.25"/>
    <row r="4" spans="1:3" ht="15.75" thickBot="1" x14ac:dyDescent="0.25">
      <c r="A4" s="171" t="s">
        <v>1633</v>
      </c>
      <c r="C4" s="169" t="s">
        <v>2135</v>
      </c>
    </row>
    <row r="5" spans="1:3" ht="16.5" thickTop="1" thickBot="1" x14ac:dyDescent="0.25">
      <c r="A5" s="166" t="str">
        <f>CONCATENATE(Results!C32,"_Zoom.png")</f>
        <v>Estatico_Zoom.png</v>
      </c>
      <c r="C5" s="169" t="s">
        <v>2136</v>
      </c>
    </row>
    <row r="6" spans="1:3" ht="15.75" thickBot="1" x14ac:dyDescent="0.25">
      <c r="C6" s="169" t="s">
        <v>492</v>
      </c>
    </row>
    <row r="7" spans="1:3" ht="15.75" thickBot="1" x14ac:dyDescent="0.25">
      <c r="A7" s="171" t="s">
        <v>1634</v>
      </c>
      <c r="C7" s="169" t="s">
        <v>493</v>
      </c>
    </row>
    <row r="8" spans="1:3" ht="16.5" thickTop="1" thickBot="1" x14ac:dyDescent="0.25">
      <c r="A8" s="166" t="str">
        <f>CONCATENATE("Figuras\", Results!C32,"_Zoom.py")</f>
        <v>Figuras\Estatico_Zoom.py</v>
      </c>
      <c r="C8" s="169" t="s">
        <v>494</v>
      </c>
    </row>
    <row r="9" spans="1:3" ht="15.75" thickBot="1" x14ac:dyDescent="0.25">
      <c r="C9" s="169" t="s">
        <v>495</v>
      </c>
    </row>
    <row r="10" spans="1:3" ht="15.75" thickBot="1" x14ac:dyDescent="0.25">
      <c r="A10" s="171" t="s">
        <v>498</v>
      </c>
      <c r="C10" s="169" t="s">
        <v>496</v>
      </c>
    </row>
    <row r="11" spans="1:3" ht="16.5" thickTop="1" thickBot="1" x14ac:dyDescent="0.25">
      <c r="A11" s="166">
        <f>Results!C48</f>
        <v>24</v>
      </c>
      <c r="C11" s="169" t="s">
        <v>497</v>
      </c>
    </row>
    <row r="12" spans="1:3" ht="13.5" thickBot="1" x14ac:dyDescent="0.25"/>
    <row r="13" spans="1:3" ht="15.75" thickBot="1" x14ac:dyDescent="0.25">
      <c r="A13" s="171" t="s">
        <v>500</v>
      </c>
      <c r="C13" s="169" t="s">
        <v>499</v>
      </c>
    </row>
    <row r="14" spans="1:3" s="33" customFormat="1" ht="15.75" thickTop="1" x14ac:dyDescent="0.2">
      <c r="A14" s="102" t="str">
        <f>'2nd_Post_Processing'!$L$6</f>
        <v>Line</v>
      </c>
      <c r="C14" s="647" t="s">
        <v>2152</v>
      </c>
    </row>
    <row r="15" spans="1:3" s="33" customFormat="1" ht="15" x14ac:dyDescent="0.2">
      <c r="A15" s="163" t="str">
        <f>'2nd_Post_Processing'!$L$7</f>
        <v>Stiffener1</v>
      </c>
      <c r="C15" s="647" t="s">
        <v>2195</v>
      </c>
    </row>
    <row r="16" spans="1:3" s="33" customFormat="1" ht="15.75" thickBot="1" x14ac:dyDescent="0.25">
      <c r="A16" s="164" t="str">
        <f>'2nd_Post_Processing'!$L$8</f>
        <v>P7000048060</v>
      </c>
      <c r="C16" s="647" t="s">
        <v>2196</v>
      </c>
    </row>
    <row r="17" spans="2:3" x14ac:dyDescent="0.2">
      <c r="B17" s="33"/>
      <c r="C17" s="649"/>
    </row>
    <row r="18" spans="2:3" ht="15" x14ac:dyDescent="0.2">
      <c r="B18" s="33"/>
      <c r="C18" s="647" t="s">
        <v>501</v>
      </c>
    </row>
    <row r="19" spans="2:3" ht="15" x14ac:dyDescent="0.2">
      <c r="B19" s="650"/>
      <c r="C19" s="647" t="str">
        <f>_xlfn.CONCAT("filename_static = glob.glob(fr'{workspace_dir}\",$A$2,"')[0]")</f>
        <v>filename_static = glob.glob(fr'{workspace_dir}\Estatico.sim')[0]</v>
      </c>
    </row>
    <row r="21" spans="2:3" ht="15" x14ac:dyDescent="0.2">
      <c r="C21" s="169" t="s">
        <v>502</v>
      </c>
    </row>
    <row r="22" spans="2:3" ht="15" x14ac:dyDescent="0.2">
      <c r="B22" s="173"/>
      <c r="C22" s="647" t="str">
        <f>_xlfn.CONCAT("pngname = fr'{figure_dir}\",$A$5,"'")</f>
        <v>pngname = fr'{figure_dir}\Estatico_Zoom.png'</v>
      </c>
    </row>
    <row r="24" spans="2:3" ht="15" x14ac:dyDescent="0.2">
      <c r="C24" s="169" t="s">
        <v>504</v>
      </c>
    </row>
    <row r="26" spans="2:3" ht="15" x14ac:dyDescent="0.2">
      <c r="C26" s="169" t="s">
        <v>505</v>
      </c>
    </row>
    <row r="27" spans="2:3" ht="15" x14ac:dyDescent="0.2">
      <c r="C27" s="169" t="s">
        <v>506</v>
      </c>
    </row>
    <row r="28" spans="2:3" ht="15" x14ac:dyDescent="0.2">
      <c r="C28" s="169" t="s">
        <v>507</v>
      </c>
    </row>
    <row r="30" spans="2:3" ht="15" x14ac:dyDescent="0.2">
      <c r="C30" s="169" t="s">
        <v>508</v>
      </c>
    </row>
    <row r="31" spans="2:3" ht="15" x14ac:dyDescent="0.2">
      <c r="C31" s="169" t="s">
        <v>509</v>
      </c>
    </row>
    <row r="32" spans="2:3" ht="15" x14ac:dyDescent="0.2">
      <c r="C32" s="169" t="s">
        <v>510</v>
      </c>
    </row>
    <row r="33" spans="3:3" ht="15" x14ac:dyDescent="0.2">
      <c r="C33" s="169" t="s">
        <v>511</v>
      </c>
    </row>
    <row r="34" spans="3:3" ht="15" x14ac:dyDescent="0.2">
      <c r="C34" s="169" t="s">
        <v>512</v>
      </c>
    </row>
    <row r="36" spans="3:3" ht="15" x14ac:dyDescent="0.2">
      <c r="C36" s="169" t="s">
        <v>1030</v>
      </c>
    </row>
    <row r="37" spans="3:3" ht="15" x14ac:dyDescent="0.2">
      <c r="C37" s="169" t="s">
        <v>1031</v>
      </c>
    </row>
    <row r="39" spans="3:3" ht="15" x14ac:dyDescent="0.2">
      <c r="C39" s="169" t="s">
        <v>1032</v>
      </c>
    </row>
    <row r="40" spans="3:3" ht="15" x14ac:dyDescent="0.2">
      <c r="C40" s="169" t="s">
        <v>514</v>
      </c>
    </row>
    <row r="42" spans="3:3" ht="15" x14ac:dyDescent="0.2">
      <c r="C42" s="169" t="s">
        <v>1033</v>
      </c>
    </row>
    <row r="43" spans="3:3" ht="15" x14ac:dyDescent="0.2">
      <c r="C43" s="169" t="s">
        <v>1034</v>
      </c>
    </row>
    <row r="45" spans="3:3" ht="15" x14ac:dyDescent="0.2">
      <c r="C45" s="169" t="s">
        <v>1035</v>
      </c>
    </row>
    <row r="46" spans="3:3" ht="15" x14ac:dyDescent="0.2">
      <c r="C46" s="169" t="s">
        <v>518</v>
      </c>
    </row>
    <row r="48" spans="3:3" ht="15" x14ac:dyDescent="0.2">
      <c r="C48" s="169" t="s">
        <v>529</v>
      </c>
    </row>
    <row r="49" spans="2:3" ht="15" x14ac:dyDescent="0.2">
      <c r="C49" s="169" t="s">
        <v>522</v>
      </c>
    </row>
    <row r="51" spans="2:3" ht="15" x14ac:dyDescent="0.2">
      <c r="C51" s="169" t="s">
        <v>531</v>
      </c>
    </row>
    <row r="52" spans="2:3" ht="15" x14ac:dyDescent="0.2">
      <c r="C52" s="169" t="s">
        <v>524</v>
      </c>
    </row>
    <row r="54" spans="2:3" ht="15" x14ac:dyDescent="0.2">
      <c r="C54" s="169" t="s">
        <v>545</v>
      </c>
    </row>
    <row r="55" spans="2:3" ht="15" x14ac:dyDescent="0.2">
      <c r="B55" s="173"/>
      <c r="C55" s="169" t="str">
        <f>_xlfn.CONCAT("font_size ='",$A$11,"'")</f>
        <v>font_size ='24'</v>
      </c>
    </row>
    <row r="57" spans="2:3" ht="15" x14ac:dyDescent="0.2">
      <c r="C57" s="169" t="s">
        <v>547</v>
      </c>
    </row>
    <row r="59" spans="2:3" ht="15" x14ac:dyDescent="0.2">
      <c r="C59" s="169" t="s">
        <v>551</v>
      </c>
    </row>
    <row r="60" spans="2:3" ht="15" x14ac:dyDescent="0.2">
      <c r="C60" s="169" t="s">
        <v>552</v>
      </c>
    </row>
    <row r="61" spans="2:3" ht="15" x14ac:dyDescent="0.2">
      <c r="C61" s="169" t="s">
        <v>553</v>
      </c>
    </row>
    <row r="62" spans="2:3" ht="15" x14ac:dyDescent="0.2">
      <c r="C62" s="169" t="s">
        <v>552</v>
      </c>
    </row>
    <row r="63" spans="2:3" ht="15" x14ac:dyDescent="0.2">
      <c r="C63" s="169" t="s">
        <v>554</v>
      </c>
    </row>
    <row r="64" spans="2:3" ht="15" x14ac:dyDescent="0.2">
      <c r="C64" s="169" t="s">
        <v>555</v>
      </c>
    </row>
    <row r="65" spans="3:3" ht="15" x14ac:dyDescent="0.2">
      <c r="C65" s="169" t="s">
        <v>556</v>
      </c>
    </row>
    <row r="66" spans="3:3" ht="15" x14ac:dyDescent="0.2">
      <c r="C66" s="169" t="s">
        <v>557</v>
      </c>
    </row>
    <row r="67" spans="3:3" ht="15" x14ac:dyDescent="0.2">
      <c r="C67" s="169" t="s">
        <v>558</v>
      </c>
    </row>
    <row r="68" spans="3:3" ht="15" x14ac:dyDescent="0.2">
      <c r="C68" s="169" t="s">
        <v>559</v>
      </c>
    </row>
    <row r="69" spans="3:3" ht="15" x14ac:dyDescent="0.2">
      <c r="C69" s="169" t="s">
        <v>560</v>
      </c>
    </row>
    <row r="70" spans="3:3" ht="15" x14ac:dyDescent="0.2">
      <c r="C70" s="169" t="s">
        <v>561</v>
      </c>
    </row>
    <row r="71" spans="3:3" ht="15" x14ac:dyDescent="0.2">
      <c r="C71" s="169" t="s">
        <v>559</v>
      </c>
    </row>
    <row r="72" spans="3:3" ht="15" x14ac:dyDescent="0.2">
      <c r="C72" s="169" t="s">
        <v>562</v>
      </c>
    </row>
    <row r="73" spans="3:3" ht="15" x14ac:dyDescent="0.2">
      <c r="C73" s="169" t="s">
        <v>563</v>
      </c>
    </row>
    <row r="74" spans="3:3" ht="15" x14ac:dyDescent="0.2">
      <c r="C74" s="169" t="s">
        <v>564</v>
      </c>
    </row>
    <row r="75" spans="3:3" ht="15" x14ac:dyDescent="0.2">
      <c r="C75" s="169" t="s">
        <v>565</v>
      </c>
    </row>
    <row r="76" spans="3:3" ht="15" x14ac:dyDescent="0.2">
      <c r="C76" s="169" t="s">
        <v>566</v>
      </c>
    </row>
    <row r="77" spans="3:3" ht="15" x14ac:dyDescent="0.2">
      <c r="C77" s="169" t="s">
        <v>567</v>
      </c>
    </row>
    <row r="78" spans="3:3" ht="15" x14ac:dyDescent="0.2">
      <c r="C78" s="169" t="s">
        <v>568</v>
      </c>
    </row>
    <row r="79" spans="3:3" ht="15" x14ac:dyDescent="0.2">
      <c r="C79" s="169" t="s">
        <v>569</v>
      </c>
    </row>
    <row r="80" spans="3:3" ht="15" x14ac:dyDescent="0.2">
      <c r="C80" s="169" t="s">
        <v>570</v>
      </c>
    </row>
    <row r="81" spans="2:3" ht="15" x14ac:dyDescent="0.2">
      <c r="C81" s="169" t="s">
        <v>571</v>
      </c>
    </row>
    <row r="83" spans="2:3" ht="15" x14ac:dyDescent="0.2">
      <c r="C83" s="169" t="s">
        <v>572</v>
      </c>
    </row>
    <row r="84" spans="2:3" ht="15" x14ac:dyDescent="0.2">
      <c r="C84" s="169" t="s">
        <v>573</v>
      </c>
    </row>
    <row r="86" spans="2:3" ht="15" x14ac:dyDescent="0.2">
      <c r="C86" s="169" t="s">
        <v>574</v>
      </c>
    </row>
    <row r="87" spans="2:3" ht="15" x14ac:dyDescent="0.2">
      <c r="B87" s="173"/>
      <c r="C87" s="169" t="str">
        <f>_xlfn.CONCAT("vcm1=model['",$A$16,"']")</f>
        <v>vcm1=model['P7000048060']</v>
      </c>
    </row>
    <row r="89" spans="2:3" ht="15" x14ac:dyDescent="0.2">
      <c r="C89" s="169" t="s">
        <v>575</v>
      </c>
    </row>
    <row r="90" spans="2:3" ht="15" x14ac:dyDescent="0.2">
      <c r="B90" s="173"/>
      <c r="C90" s="169" t="str">
        <f>_xlfn.CONCAT("line1=model['",$A$14,"']")</f>
        <v>line1=model['Line']</v>
      </c>
    </row>
    <row r="91" spans="2:3" ht="15" x14ac:dyDescent="0.2">
      <c r="B91" s="173"/>
      <c r="C91" s="169" t="str">
        <f>_xlfn.CONCAT("att_lines=list(['",$A$15,"'])")</f>
        <v>att_lines=list(['Stiffener1'])</v>
      </c>
    </row>
    <row r="93" spans="2:3" ht="15" x14ac:dyDescent="0.2">
      <c r="C93" s="169" t="s">
        <v>576</v>
      </c>
    </row>
    <row r="94" spans="2:3" ht="15" x14ac:dyDescent="0.2">
      <c r="C94" s="169" t="s">
        <v>577</v>
      </c>
    </row>
    <row r="95" spans="2:3" ht="15" x14ac:dyDescent="0.2">
      <c r="C95" s="169" t="s">
        <v>578</v>
      </c>
    </row>
    <row r="96" spans="2:3" ht="15" x14ac:dyDescent="0.2">
      <c r="C96" s="169" t="s">
        <v>579</v>
      </c>
    </row>
    <row r="97" spans="3:3" ht="15" x14ac:dyDescent="0.2">
      <c r="C97" s="169" t="s">
        <v>580</v>
      </c>
    </row>
    <row r="98" spans="3:3" ht="15" x14ac:dyDescent="0.2">
      <c r="C98" s="169" t="s">
        <v>581</v>
      </c>
    </row>
    <row r="99" spans="3:3" ht="15" x14ac:dyDescent="0.2">
      <c r="C99" s="169" t="s">
        <v>582</v>
      </c>
    </row>
    <row r="101" spans="3:3" ht="15" x14ac:dyDescent="0.2">
      <c r="C101" s="169" t="s">
        <v>583</v>
      </c>
    </row>
    <row r="102" spans="3:3" ht="15" x14ac:dyDescent="0.2">
      <c r="C102" s="169" t="s">
        <v>584</v>
      </c>
    </row>
    <row r="103" spans="3:3" ht="15" x14ac:dyDescent="0.2">
      <c r="C103" s="169" t="s">
        <v>585</v>
      </c>
    </row>
    <row r="104" spans="3:3" ht="15" x14ac:dyDescent="0.2">
      <c r="C104" s="169" t="s">
        <v>586</v>
      </c>
    </row>
    <row r="105" spans="3:3" ht="15" x14ac:dyDescent="0.2">
      <c r="C105" s="169" t="s">
        <v>587</v>
      </c>
    </row>
    <row r="106" spans="3:3" ht="15" x14ac:dyDescent="0.2">
      <c r="C106" s="169" t="s">
        <v>588</v>
      </c>
    </row>
    <row r="107" spans="3:3" ht="15" x14ac:dyDescent="0.2">
      <c r="C107" s="169" t="s">
        <v>589</v>
      </c>
    </row>
    <row r="108" spans="3:3" ht="15" x14ac:dyDescent="0.2">
      <c r="C108" s="169" t="s">
        <v>590</v>
      </c>
    </row>
    <row r="109" spans="3:3" ht="15" x14ac:dyDescent="0.2">
      <c r="C109" s="169" t="s">
        <v>591</v>
      </c>
    </row>
    <row r="110" spans="3:3" ht="15" x14ac:dyDescent="0.2">
      <c r="C110" s="169" t="s">
        <v>592</v>
      </c>
    </row>
    <row r="111" spans="3:3" ht="15" x14ac:dyDescent="0.2">
      <c r="C111" s="169" t="s">
        <v>593</v>
      </c>
    </row>
    <row r="113" spans="3:3" ht="15" x14ac:dyDescent="0.2">
      <c r="C113" s="169" t="s">
        <v>594</v>
      </c>
    </row>
    <row r="114" spans="3:3" ht="15" x14ac:dyDescent="0.2">
      <c r="C114" s="169" t="s">
        <v>595</v>
      </c>
    </row>
    <row r="115" spans="3:3" ht="15" x14ac:dyDescent="0.2">
      <c r="C115" s="169" t="s">
        <v>596</v>
      </c>
    </row>
    <row r="116" spans="3:3" ht="15" x14ac:dyDescent="0.2">
      <c r="C116" s="169" t="s">
        <v>597</v>
      </c>
    </row>
    <row r="117" spans="3:3" ht="15" x14ac:dyDescent="0.2">
      <c r="C117" s="169" t="s">
        <v>598</v>
      </c>
    </row>
    <row r="118" spans="3:3" ht="15" x14ac:dyDescent="0.2">
      <c r="C118" s="169" t="s">
        <v>599</v>
      </c>
    </row>
    <row r="119" spans="3:3" ht="15" x14ac:dyDescent="0.2">
      <c r="C119" s="169" t="s">
        <v>800</v>
      </c>
    </row>
    <row r="120" spans="3:3" ht="15" x14ac:dyDescent="0.2">
      <c r="C120" s="169" t="s">
        <v>600</v>
      </c>
    </row>
    <row r="121" spans="3:3" ht="15" x14ac:dyDescent="0.2">
      <c r="C121" s="169" t="s">
        <v>588</v>
      </c>
    </row>
    <row r="122" spans="3:3" ht="15" x14ac:dyDescent="0.2">
      <c r="C122" s="169" t="s">
        <v>601</v>
      </c>
    </row>
    <row r="123" spans="3:3" ht="15" x14ac:dyDescent="0.2">
      <c r="C123" s="169" t="s">
        <v>602</v>
      </c>
    </row>
    <row r="124" spans="3:3" ht="15" x14ac:dyDescent="0.2">
      <c r="C124" s="169" t="s">
        <v>603</v>
      </c>
    </row>
    <row r="125" spans="3:3" ht="15" x14ac:dyDescent="0.2">
      <c r="C125" s="169" t="s">
        <v>604</v>
      </c>
    </row>
    <row r="126" spans="3:3" ht="15" x14ac:dyDescent="0.2">
      <c r="C126" s="169" t="s">
        <v>605</v>
      </c>
    </row>
    <row r="127" spans="3:3" ht="15" x14ac:dyDescent="0.2">
      <c r="C127" s="169" t="s">
        <v>606</v>
      </c>
    </row>
    <row r="129" spans="3:3" ht="15" x14ac:dyDescent="0.2">
      <c r="C129" s="169" t="s">
        <v>607</v>
      </c>
    </row>
    <row r="130" spans="3:3" ht="15" x14ac:dyDescent="0.2">
      <c r="C130" s="169" t="s">
        <v>608</v>
      </c>
    </row>
    <row r="132" spans="3:3" ht="15" x14ac:dyDescent="0.2">
      <c r="C132" s="169" t="s">
        <v>609</v>
      </c>
    </row>
    <row r="133" spans="3:3" ht="15" x14ac:dyDescent="0.2">
      <c r="C133" s="169" t="s">
        <v>610</v>
      </c>
    </row>
    <row r="134" spans="3:3" ht="15" x14ac:dyDescent="0.2">
      <c r="C134" s="169" t="s">
        <v>611</v>
      </c>
    </row>
    <row r="135" spans="3:3" ht="15" x14ac:dyDescent="0.2">
      <c r="C135" s="169" t="s">
        <v>612</v>
      </c>
    </row>
    <row r="136" spans="3:3" ht="15" x14ac:dyDescent="0.2">
      <c r="C136" s="169" t="s">
        <v>613</v>
      </c>
    </row>
    <row r="137" spans="3:3" ht="15" x14ac:dyDescent="0.2">
      <c r="C137" s="169" t="s">
        <v>614</v>
      </c>
    </row>
    <row r="138" spans="3:3" ht="15" x14ac:dyDescent="0.2">
      <c r="C138" s="169" t="s">
        <v>615</v>
      </c>
    </row>
    <row r="139" spans="3:3" ht="15" x14ac:dyDescent="0.2">
      <c r="C139" s="169" t="s">
        <v>616</v>
      </c>
    </row>
    <row r="140" spans="3:3" ht="15" x14ac:dyDescent="0.2">
      <c r="C140" s="169" t="s">
        <v>617</v>
      </c>
    </row>
    <row r="141" spans="3:3" ht="15" x14ac:dyDescent="0.2">
      <c r="C141" s="169" t="s">
        <v>618</v>
      </c>
    </row>
    <row r="142" spans="3:3" ht="15" x14ac:dyDescent="0.2">
      <c r="C142" s="169" t="s">
        <v>619</v>
      </c>
    </row>
    <row r="143" spans="3:3" ht="15" x14ac:dyDescent="0.2">
      <c r="C143" s="169" t="s">
        <v>620</v>
      </c>
    </row>
    <row r="145" spans="3:3" ht="15" x14ac:dyDescent="0.2">
      <c r="C145" s="169" t="s">
        <v>621</v>
      </c>
    </row>
    <row r="146" spans="3:3" ht="15" x14ac:dyDescent="0.2">
      <c r="C146" s="169" t="s">
        <v>622</v>
      </c>
    </row>
    <row r="147" spans="3:3" ht="15" x14ac:dyDescent="0.2">
      <c r="C147" s="169" t="s">
        <v>623</v>
      </c>
    </row>
    <row r="148" spans="3:3" ht="15" x14ac:dyDescent="0.2">
      <c r="C148" s="169" t="s">
        <v>624</v>
      </c>
    </row>
    <row r="149" spans="3:3" ht="15" x14ac:dyDescent="0.2">
      <c r="C149" s="169" t="s">
        <v>625</v>
      </c>
    </row>
    <row r="150" spans="3:3" ht="15" x14ac:dyDescent="0.2">
      <c r="C150" s="169" t="s">
        <v>626</v>
      </c>
    </row>
    <row r="151" spans="3:3" ht="15" x14ac:dyDescent="0.2">
      <c r="C151" s="169" t="s">
        <v>627</v>
      </c>
    </row>
    <row r="152" spans="3:3" ht="15" x14ac:dyDescent="0.2">
      <c r="C152" s="169" t="s">
        <v>619</v>
      </c>
    </row>
    <row r="153" spans="3:3" ht="15" x14ac:dyDescent="0.2">
      <c r="C153" s="169" t="s">
        <v>628</v>
      </c>
    </row>
    <row r="155" spans="3:3" ht="15" x14ac:dyDescent="0.2">
      <c r="C155" s="169" t="s">
        <v>629</v>
      </c>
    </row>
    <row r="156" spans="3:3" ht="15" x14ac:dyDescent="0.2">
      <c r="C156" s="169" t="s">
        <v>630</v>
      </c>
    </row>
    <row r="157" spans="3:3" ht="15" x14ac:dyDescent="0.2">
      <c r="C157" s="169" t="s">
        <v>631</v>
      </c>
    </row>
    <row r="159" spans="3:3" ht="15" x14ac:dyDescent="0.2">
      <c r="C159" s="169" t="s">
        <v>632</v>
      </c>
    </row>
    <row r="160" spans="3:3" ht="15" x14ac:dyDescent="0.2">
      <c r="C160" s="169" t="s">
        <v>633</v>
      </c>
    </row>
    <row r="161" spans="3:3" ht="15" x14ac:dyDescent="0.2">
      <c r="C161" s="169" t="s">
        <v>634</v>
      </c>
    </row>
    <row r="162" spans="3:3" ht="15" x14ac:dyDescent="0.2">
      <c r="C162" s="169" t="s">
        <v>635</v>
      </c>
    </row>
    <row r="163" spans="3:3" ht="15" x14ac:dyDescent="0.2">
      <c r="C163" s="169" t="s">
        <v>636</v>
      </c>
    </row>
    <row r="164" spans="3:3" ht="15" x14ac:dyDescent="0.2">
      <c r="C164" s="169" t="s">
        <v>637</v>
      </c>
    </row>
    <row r="165" spans="3:3" ht="15" x14ac:dyDescent="0.2">
      <c r="C165" s="169" t="s">
        <v>638</v>
      </c>
    </row>
    <row r="167" spans="3:3" ht="15" x14ac:dyDescent="0.2">
      <c r="C167" s="169" t="s">
        <v>639</v>
      </c>
    </row>
    <row r="168" spans="3:3" ht="15" x14ac:dyDescent="0.2">
      <c r="C168" s="169" t="s">
        <v>640</v>
      </c>
    </row>
    <row r="169" spans="3:3" ht="15" x14ac:dyDescent="0.2">
      <c r="C169" s="169" t="s">
        <v>641</v>
      </c>
    </row>
    <row r="171" spans="3:3" ht="15" x14ac:dyDescent="0.2">
      <c r="C171" s="169" t="s">
        <v>642</v>
      </c>
    </row>
    <row r="172" spans="3:3" ht="15" x14ac:dyDescent="0.2">
      <c r="C172" s="169" t="s">
        <v>643</v>
      </c>
    </row>
    <row r="173" spans="3:3" ht="15" x14ac:dyDescent="0.2">
      <c r="C173" s="169" t="s">
        <v>644</v>
      </c>
    </row>
    <row r="174" spans="3:3" ht="15" x14ac:dyDescent="0.2">
      <c r="C174" s="169" t="s">
        <v>645</v>
      </c>
    </row>
    <row r="175" spans="3:3" ht="15" x14ac:dyDescent="0.2">
      <c r="C175" s="169" t="s">
        <v>646</v>
      </c>
    </row>
    <row r="176" spans="3:3" ht="15" x14ac:dyDescent="0.2">
      <c r="C176" s="169" t="s">
        <v>647</v>
      </c>
    </row>
    <row r="177" spans="3:3" ht="15" x14ac:dyDescent="0.2">
      <c r="C177" s="169" t="s">
        <v>648</v>
      </c>
    </row>
    <row r="178" spans="3:3" ht="15" x14ac:dyDescent="0.2">
      <c r="C178" s="169" t="s">
        <v>649</v>
      </c>
    </row>
    <row r="179" spans="3:3" ht="15" x14ac:dyDescent="0.2">
      <c r="C179" s="169" t="s">
        <v>650</v>
      </c>
    </row>
    <row r="180" spans="3:3" ht="15" x14ac:dyDescent="0.2">
      <c r="C180" s="169" t="s">
        <v>651</v>
      </c>
    </row>
    <row r="182" spans="3:3" ht="15" x14ac:dyDescent="0.2">
      <c r="C182" s="169" t="s">
        <v>652</v>
      </c>
    </row>
    <row r="183" spans="3:3" ht="15" x14ac:dyDescent="0.2">
      <c r="C183" s="169" t="s">
        <v>653</v>
      </c>
    </row>
    <row r="185" spans="3:3" ht="15" x14ac:dyDescent="0.2">
      <c r="C185" s="169" t="s">
        <v>654</v>
      </c>
    </row>
    <row r="186" spans="3:3" ht="15" x14ac:dyDescent="0.2">
      <c r="C186" s="169" t="s">
        <v>655</v>
      </c>
    </row>
    <row r="187" spans="3:3" ht="15" x14ac:dyDescent="0.2">
      <c r="C187" s="169" t="s">
        <v>656</v>
      </c>
    </row>
    <row r="189" spans="3:3" ht="15" x14ac:dyDescent="0.2">
      <c r="C189" s="169" t="s">
        <v>657</v>
      </c>
    </row>
    <row r="190" spans="3:3" ht="15" x14ac:dyDescent="0.2">
      <c r="C190" s="169" t="s">
        <v>658</v>
      </c>
    </row>
    <row r="191" spans="3:3" ht="15" x14ac:dyDescent="0.2">
      <c r="C191" s="169" t="s">
        <v>659</v>
      </c>
    </row>
    <row r="192" spans="3:3" ht="15" x14ac:dyDescent="0.2">
      <c r="C192" s="169" t="s">
        <v>660</v>
      </c>
    </row>
    <row r="194" spans="3:3" ht="15" x14ac:dyDescent="0.2">
      <c r="C194" s="169" t="s">
        <v>661</v>
      </c>
    </row>
    <row r="195" spans="3:3" ht="15" x14ac:dyDescent="0.2">
      <c r="C195" s="169" t="s">
        <v>662</v>
      </c>
    </row>
    <row r="196" spans="3:3" ht="15" x14ac:dyDescent="0.2">
      <c r="C196" s="169" t="s">
        <v>663</v>
      </c>
    </row>
    <row r="197" spans="3:3" ht="15" x14ac:dyDescent="0.2">
      <c r="C197" s="169" t="s">
        <v>664</v>
      </c>
    </row>
    <row r="198" spans="3:3" ht="15" x14ac:dyDescent="0.2">
      <c r="C198" s="169" t="s">
        <v>623</v>
      </c>
    </row>
    <row r="199" spans="3:3" ht="15" x14ac:dyDescent="0.2">
      <c r="C199" s="169" t="s">
        <v>624</v>
      </c>
    </row>
    <row r="200" spans="3:3" ht="15" x14ac:dyDescent="0.2">
      <c r="C200" s="169" t="s">
        <v>665</v>
      </c>
    </row>
    <row r="201" spans="3:3" ht="15" x14ac:dyDescent="0.2">
      <c r="C201" s="169" t="s">
        <v>666</v>
      </c>
    </row>
    <row r="202" spans="3:3" ht="15" x14ac:dyDescent="0.2">
      <c r="C202" s="169" t="s">
        <v>667</v>
      </c>
    </row>
    <row r="203" spans="3:3" ht="15" x14ac:dyDescent="0.2">
      <c r="C203" s="169" t="s">
        <v>673</v>
      </c>
    </row>
    <row r="204" spans="3:3" ht="15" x14ac:dyDescent="0.2">
      <c r="C204" s="169" t="s">
        <v>674</v>
      </c>
    </row>
    <row r="205" spans="3:3" ht="15" x14ac:dyDescent="0.2">
      <c r="C205" s="169" t="s">
        <v>675</v>
      </c>
    </row>
    <row r="206" spans="3:3" ht="15" x14ac:dyDescent="0.2">
      <c r="C206" s="169" t="s">
        <v>676</v>
      </c>
    </row>
    <row r="207" spans="3:3" ht="15" x14ac:dyDescent="0.2">
      <c r="C207" s="169" t="s">
        <v>677</v>
      </c>
    </row>
    <row r="208" spans="3:3" ht="15" x14ac:dyDescent="0.2">
      <c r="C208" s="169" t="s">
        <v>678</v>
      </c>
    </row>
    <row r="209" spans="3:3" ht="15" x14ac:dyDescent="0.2">
      <c r="C209" s="169" t="s">
        <v>679</v>
      </c>
    </row>
    <row r="210" spans="3:3" ht="15" x14ac:dyDescent="0.2">
      <c r="C210" s="169" t="s">
        <v>680</v>
      </c>
    </row>
    <row r="211" spans="3:3" ht="15" x14ac:dyDescent="0.2">
      <c r="C211" s="169" t="s">
        <v>681</v>
      </c>
    </row>
    <row r="212" spans="3:3" ht="15" x14ac:dyDescent="0.2">
      <c r="C212" s="169" t="s">
        <v>682</v>
      </c>
    </row>
    <row r="213" spans="3:3" ht="15" x14ac:dyDescent="0.2">
      <c r="C213" s="169" t="s">
        <v>683</v>
      </c>
    </row>
    <row r="214" spans="3:3" ht="15" x14ac:dyDescent="0.2">
      <c r="C214" s="169" t="s">
        <v>684</v>
      </c>
    </row>
    <row r="215" spans="3:3" ht="15" x14ac:dyDescent="0.2">
      <c r="C215" s="169" t="s">
        <v>685</v>
      </c>
    </row>
    <row r="216" spans="3:3" ht="15" x14ac:dyDescent="0.2">
      <c r="C216" s="169" t="s">
        <v>686</v>
      </c>
    </row>
    <row r="217" spans="3:3" ht="15" x14ac:dyDescent="0.2">
      <c r="C217" s="169" t="s">
        <v>687</v>
      </c>
    </row>
    <row r="218" spans="3:3" ht="15" x14ac:dyDescent="0.2">
      <c r="C218" s="169" t="s">
        <v>688</v>
      </c>
    </row>
    <row r="219" spans="3:3" ht="15" x14ac:dyDescent="0.2">
      <c r="C219" s="169" t="s">
        <v>689</v>
      </c>
    </row>
    <row r="220" spans="3:3" ht="15" x14ac:dyDescent="0.2">
      <c r="C220" s="169" t="s">
        <v>690</v>
      </c>
    </row>
    <row r="221" spans="3:3" ht="15" x14ac:dyDescent="0.2">
      <c r="C221" s="169" t="s">
        <v>691</v>
      </c>
    </row>
    <row r="222" spans="3:3" ht="15" x14ac:dyDescent="0.2">
      <c r="C222" s="169" t="s">
        <v>692</v>
      </c>
    </row>
    <row r="223" spans="3:3" ht="15" x14ac:dyDescent="0.2">
      <c r="C223" s="169" t="s">
        <v>693</v>
      </c>
    </row>
    <row r="224" spans="3:3" ht="15" x14ac:dyDescent="0.2">
      <c r="C224" s="169" t="s">
        <v>694</v>
      </c>
    </row>
    <row r="225" spans="3:3" ht="15" x14ac:dyDescent="0.2">
      <c r="C225" s="169" t="s">
        <v>695</v>
      </c>
    </row>
    <row r="226" spans="3:3" ht="15" x14ac:dyDescent="0.2">
      <c r="C226" s="169" t="s">
        <v>568</v>
      </c>
    </row>
    <row r="227" spans="3:3" ht="15" x14ac:dyDescent="0.2">
      <c r="C227" s="169" t="s">
        <v>696</v>
      </c>
    </row>
    <row r="228" spans="3:3" ht="15" x14ac:dyDescent="0.2">
      <c r="C228" s="169" t="s">
        <v>697</v>
      </c>
    </row>
    <row r="229" spans="3:3" ht="15" x14ac:dyDescent="0.2">
      <c r="C229" s="169" t="s">
        <v>698</v>
      </c>
    </row>
    <row r="230" spans="3:3" ht="15" x14ac:dyDescent="0.2">
      <c r="C230" s="169" t="s">
        <v>699</v>
      </c>
    </row>
    <row r="231" spans="3:3" ht="15" x14ac:dyDescent="0.2">
      <c r="C231" s="169" t="s">
        <v>685</v>
      </c>
    </row>
    <row r="232" spans="3:3" ht="15" x14ac:dyDescent="0.2">
      <c r="C232" s="169" t="s">
        <v>686</v>
      </c>
    </row>
    <row r="233" spans="3:3" ht="15" x14ac:dyDescent="0.2">
      <c r="C233" s="169" t="s">
        <v>687</v>
      </c>
    </row>
    <row r="234" spans="3:3" ht="15" x14ac:dyDescent="0.2">
      <c r="C234" s="169" t="s">
        <v>700</v>
      </c>
    </row>
    <row r="235" spans="3:3" ht="15" x14ac:dyDescent="0.2">
      <c r="C235" s="169" t="s">
        <v>701</v>
      </c>
    </row>
    <row r="236" spans="3:3" ht="15" x14ac:dyDescent="0.2">
      <c r="C236" s="169" t="s">
        <v>702</v>
      </c>
    </row>
    <row r="237" spans="3:3" ht="15" x14ac:dyDescent="0.2">
      <c r="C237" s="169" t="s">
        <v>703</v>
      </c>
    </row>
    <row r="238" spans="3:3" ht="15" x14ac:dyDescent="0.2">
      <c r="C238" s="169" t="s">
        <v>704</v>
      </c>
    </row>
    <row r="239" spans="3:3" ht="15" x14ac:dyDescent="0.2">
      <c r="C239" s="169" t="s">
        <v>705</v>
      </c>
    </row>
    <row r="240" spans="3:3" ht="15" x14ac:dyDescent="0.2">
      <c r="C240" s="169" t="s">
        <v>706</v>
      </c>
    </row>
    <row r="241" spans="3:3" ht="15" x14ac:dyDescent="0.2">
      <c r="C241" s="169" t="s">
        <v>568</v>
      </c>
    </row>
    <row r="242" spans="3:3" ht="15" x14ac:dyDescent="0.2">
      <c r="C242" s="169" t="s">
        <v>707</v>
      </c>
    </row>
    <row r="243" spans="3:3" ht="15" x14ac:dyDescent="0.2">
      <c r="C243" s="169" t="s">
        <v>708</v>
      </c>
    </row>
    <row r="244" spans="3:3" ht="15" x14ac:dyDescent="0.2">
      <c r="C244" s="169" t="s">
        <v>709</v>
      </c>
    </row>
    <row r="245" spans="3:3" ht="15" x14ac:dyDescent="0.2">
      <c r="C245" s="169" t="s">
        <v>685</v>
      </c>
    </row>
    <row r="246" spans="3:3" ht="15" x14ac:dyDescent="0.2">
      <c r="C246" s="169" t="s">
        <v>686</v>
      </c>
    </row>
    <row r="247" spans="3:3" ht="15" x14ac:dyDescent="0.2">
      <c r="C247" s="169" t="s">
        <v>687</v>
      </c>
    </row>
    <row r="248" spans="3:3" ht="15" x14ac:dyDescent="0.2">
      <c r="C248" s="169" t="s">
        <v>710</v>
      </c>
    </row>
    <row r="249" spans="3:3" ht="15" x14ac:dyDescent="0.2">
      <c r="C249" s="169" t="s">
        <v>711</v>
      </c>
    </row>
    <row r="250" spans="3:3" ht="15" x14ac:dyDescent="0.2">
      <c r="C250" s="169" t="s">
        <v>568</v>
      </c>
    </row>
    <row r="251" spans="3:3" ht="15" x14ac:dyDescent="0.2">
      <c r="C251" s="169" t="s">
        <v>712</v>
      </c>
    </row>
    <row r="252" spans="3:3" ht="15" x14ac:dyDescent="0.2">
      <c r="C252" s="169" t="s">
        <v>713</v>
      </c>
    </row>
    <row r="253" spans="3:3" ht="15" x14ac:dyDescent="0.2">
      <c r="C253" s="169" t="s">
        <v>685</v>
      </c>
    </row>
    <row r="254" spans="3:3" ht="15" x14ac:dyDescent="0.2">
      <c r="C254" s="169" t="s">
        <v>686</v>
      </c>
    </row>
    <row r="255" spans="3:3" ht="15" x14ac:dyDescent="0.2">
      <c r="C255" s="169" t="s">
        <v>687</v>
      </c>
    </row>
    <row r="256" spans="3:3" ht="15" x14ac:dyDescent="0.2">
      <c r="C256" s="169" t="s">
        <v>701</v>
      </c>
    </row>
    <row r="257" spans="3:3" ht="15" x14ac:dyDescent="0.2">
      <c r="C257" s="169" t="s">
        <v>702</v>
      </c>
    </row>
    <row r="258" spans="3:3" ht="15" x14ac:dyDescent="0.2">
      <c r="C258" s="169" t="s">
        <v>703</v>
      </c>
    </row>
    <row r="259" spans="3:3" ht="15" x14ac:dyDescent="0.2">
      <c r="C259" s="169" t="s">
        <v>704</v>
      </c>
    </row>
    <row r="260" spans="3:3" ht="15" x14ac:dyDescent="0.2">
      <c r="C260" s="169" t="s">
        <v>705</v>
      </c>
    </row>
    <row r="261" spans="3:3" ht="15" x14ac:dyDescent="0.2">
      <c r="C261" s="169" t="s">
        <v>714</v>
      </c>
    </row>
    <row r="262" spans="3:3" ht="15" x14ac:dyDescent="0.2">
      <c r="C262" s="169" t="s">
        <v>715</v>
      </c>
    </row>
    <row r="263" spans="3:3" ht="15" x14ac:dyDescent="0.2">
      <c r="C263" s="169" t="s">
        <v>716</v>
      </c>
    </row>
    <row r="264" spans="3:3" ht="15" x14ac:dyDescent="0.2">
      <c r="C264" s="169" t="s">
        <v>717</v>
      </c>
    </row>
    <row r="265" spans="3:3" ht="15" x14ac:dyDescent="0.2">
      <c r="C265" s="169" t="s">
        <v>1036</v>
      </c>
    </row>
    <row r="266" spans="3:3" ht="15" x14ac:dyDescent="0.2">
      <c r="C266" s="169" t="s">
        <v>719</v>
      </c>
    </row>
    <row r="267" spans="3:3" ht="15" x14ac:dyDescent="0.2">
      <c r="C267" s="169" t="s">
        <v>720</v>
      </c>
    </row>
    <row r="268" spans="3:3" ht="15" x14ac:dyDescent="0.2">
      <c r="C268" s="169" t="s">
        <v>721</v>
      </c>
    </row>
    <row r="269" spans="3:3" ht="15" x14ac:dyDescent="0.2">
      <c r="C269" s="169" t="s">
        <v>722</v>
      </c>
    </row>
    <row r="270" spans="3:3" ht="15" x14ac:dyDescent="0.2">
      <c r="C270" s="169" t="s">
        <v>723</v>
      </c>
    </row>
    <row r="271" spans="3:3" ht="15" x14ac:dyDescent="0.2">
      <c r="C271" s="169" t="s">
        <v>724</v>
      </c>
    </row>
    <row r="272" spans="3:3" ht="15" x14ac:dyDescent="0.2">
      <c r="C272" s="169" t="s">
        <v>725</v>
      </c>
    </row>
    <row r="273" spans="3:3" ht="15" x14ac:dyDescent="0.2">
      <c r="C273" s="169" t="s">
        <v>726</v>
      </c>
    </row>
    <row r="274" spans="3:3" ht="15" x14ac:dyDescent="0.2">
      <c r="C274" s="169" t="s">
        <v>727</v>
      </c>
    </row>
    <row r="275" spans="3:3" ht="15" x14ac:dyDescent="0.2">
      <c r="C275" s="169" t="s">
        <v>728</v>
      </c>
    </row>
    <row r="276" spans="3:3" ht="15" x14ac:dyDescent="0.2">
      <c r="C276" s="169" t="s">
        <v>729</v>
      </c>
    </row>
    <row r="277" spans="3:3" ht="15" x14ac:dyDescent="0.2">
      <c r="C277" s="169" t="s">
        <v>730</v>
      </c>
    </row>
    <row r="278" spans="3:3" ht="15" x14ac:dyDescent="0.2">
      <c r="C278" s="169" t="s">
        <v>731</v>
      </c>
    </row>
    <row r="279" spans="3:3" ht="15" x14ac:dyDescent="0.2">
      <c r="C279" s="169" t="s">
        <v>723</v>
      </c>
    </row>
    <row r="280" spans="3:3" ht="15" x14ac:dyDescent="0.2">
      <c r="C280" s="169" t="s">
        <v>732</v>
      </c>
    </row>
    <row r="281" spans="3:3" ht="15" x14ac:dyDescent="0.2">
      <c r="C281" s="169" t="s">
        <v>733</v>
      </c>
    </row>
    <row r="282" spans="3:3" ht="15" x14ac:dyDescent="0.2">
      <c r="C282" s="169" t="s">
        <v>734</v>
      </c>
    </row>
    <row r="283" spans="3:3" ht="15" x14ac:dyDescent="0.2">
      <c r="C283" s="169" t="s">
        <v>735</v>
      </c>
    </row>
    <row r="284" spans="3:3" ht="15" x14ac:dyDescent="0.2">
      <c r="C284" s="169" t="s">
        <v>568</v>
      </c>
    </row>
    <row r="285" spans="3:3" ht="15" x14ac:dyDescent="0.2">
      <c r="C285" s="169" t="s">
        <v>736</v>
      </c>
    </row>
    <row r="286" spans="3:3" ht="15" x14ac:dyDescent="0.2">
      <c r="C286" s="169" t="s">
        <v>737</v>
      </c>
    </row>
    <row r="287" spans="3:3" ht="15" x14ac:dyDescent="0.2">
      <c r="C287" s="169" t="s">
        <v>738</v>
      </c>
    </row>
    <row r="288" spans="3:3" ht="15" x14ac:dyDescent="0.2">
      <c r="C288" s="169" t="s">
        <v>723</v>
      </c>
    </row>
    <row r="289" spans="3:3" ht="15" x14ac:dyDescent="0.2">
      <c r="C289" s="169" t="s">
        <v>739</v>
      </c>
    </row>
    <row r="290" spans="3:3" ht="15" x14ac:dyDescent="0.2">
      <c r="C290" s="169" t="s">
        <v>740</v>
      </c>
    </row>
    <row r="291" spans="3:3" ht="15" x14ac:dyDescent="0.2">
      <c r="C291" s="169" t="s">
        <v>741</v>
      </c>
    </row>
    <row r="292" spans="3:3" ht="15" x14ac:dyDescent="0.2">
      <c r="C292" s="169" t="s">
        <v>742</v>
      </c>
    </row>
    <row r="293" spans="3:3" ht="15" x14ac:dyDescent="0.2">
      <c r="C293" s="169" t="s">
        <v>743</v>
      </c>
    </row>
    <row r="294" spans="3:3" ht="15" x14ac:dyDescent="0.2">
      <c r="C294" s="169" t="s">
        <v>744</v>
      </c>
    </row>
    <row r="295" spans="3:3" ht="15" x14ac:dyDescent="0.2">
      <c r="C295" s="169" t="s">
        <v>745</v>
      </c>
    </row>
    <row r="296" spans="3:3" ht="15" x14ac:dyDescent="0.2">
      <c r="C296" s="169" t="s">
        <v>746</v>
      </c>
    </row>
    <row r="297" spans="3:3" ht="15" x14ac:dyDescent="0.2">
      <c r="C297" s="169" t="s">
        <v>747</v>
      </c>
    </row>
    <row r="299" spans="3:3" ht="15" x14ac:dyDescent="0.2">
      <c r="C299" s="169" t="s">
        <v>748</v>
      </c>
    </row>
    <row r="300" spans="3:3" ht="15" x14ac:dyDescent="0.2">
      <c r="C300" s="169" t="s">
        <v>749</v>
      </c>
    </row>
    <row r="301" spans="3:3" ht="15" x14ac:dyDescent="0.2">
      <c r="C301" s="169" t="s">
        <v>750</v>
      </c>
    </row>
    <row r="302" spans="3:3" ht="15" x14ac:dyDescent="0.2">
      <c r="C302" s="169" t="s">
        <v>751</v>
      </c>
    </row>
    <row r="303" spans="3:3" ht="15" x14ac:dyDescent="0.2">
      <c r="C303" s="169" t="s">
        <v>752</v>
      </c>
    </row>
    <row r="304" spans="3:3" ht="15" x14ac:dyDescent="0.2">
      <c r="C304" s="169" t="s">
        <v>753</v>
      </c>
    </row>
    <row r="305" spans="3:3" ht="15" x14ac:dyDescent="0.2">
      <c r="C305" s="169" t="s">
        <v>754</v>
      </c>
    </row>
    <row r="306" spans="3:3" ht="15" x14ac:dyDescent="0.2">
      <c r="C306" s="169" t="s">
        <v>755</v>
      </c>
    </row>
    <row r="307" spans="3:3" ht="15" x14ac:dyDescent="0.2">
      <c r="C307" s="169" t="s">
        <v>623</v>
      </c>
    </row>
    <row r="308" spans="3:3" ht="15" x14ac:dyDescent="0.2">
      <c r="C308" s="169" t="s">
        <v>624</v>
      </c>
    </row>
    <row r="309" spans="3:3" ht="15" x14ac:dyDescent="0.2">
      <c r="C309" s="169" t="s">
        <v>756</v>
      </c>
    </row>
    <row r="310" spans="3:3" ht="15" x14ac:dyDescent="0.2">
      <c r="C310" s="169" t="s">
        <v>757</v>
      </c>
    </row>
    <row r="311" spans="3:3" ht="15" x14ac:dyDescent="0.2">
      <c r="C311" s="169" t="s">
        <v>758</v>
      </c>
    </row>
    <row r="312" spans="3:3" ht="15" x14ac:dyDescent="0.2">
      <c r="C312" s="169" t="s">
        <v>759</v>
      </c>
    </row>
    <row r="313" spans="3:3" ht="15" x14ac:dyDescent="0.2">
      <c r="C313" s="169" t="s">
        <v>760</v>
      </c>
    </row>
    <row r="314" spans="3:3" ht="15" x14ac:dyDescent="0.2">
      <c r="C314" s="169" t="s">
        <v>761</v>
      </c>
    </row>
    <row r="315" spans="3:3" ht="15" x14ac:dyDescent="0.2">
      <c r="C315" s="169" t="s">
        <v>762</v>
      </c>
    </row>
    <row r="316" spans="3:3" ht="15" x14ac:dyDescent="0.2">
      <c r="C316" s="169" t="s">
        <v>763</v>
      </c>
    </row>
    <row r="317" spans="3:3" ht="15" x14ac:dyDescent="0.2">
      <c r="C317" s="169" t="s">
        <v>764</v>
      </c>
    </row>
    <row r="318" spans="3:3" ht="15" x14ac:dyDescent="0.2">
      <c r="C318" s="169" t="s">
        <v>765</v>
      </c>
    </row>
    <row r="319" spans="3:3" ht="15" x14ac:dyDescent="0.2">
      <c r="C319" s="169" t="s">
        <v>766</v>
      </c>
    </row>
    <row r="320" spans="3:3" ht="15" x14ac:dyDescent="0.2">
      <c r="C320" s="169" t="s">
        <v>767</v>
      </c>
    </row>
    <row r="321" spans="3:3" ht="15" x14ac:dyDescent="0.2">
      <c r="C321" s="169" t="s">
        <v>597</v>
      </c>
    </row>
    <row r="322" spans="3:3" ht="15" x14ac:dyDescent="0.2">
      <c r="C322" s="169" t="s">
        <v>768</v>
      </c>
    </row>
    <row r="323" spans="3:3" ht="15" x14ac:dyDescent="0.2">
      <c r="C323" s="169" t="s">
        <v>769</v>
      </c>
    </row>
    <row r="324" spans="3:3" ht="15" x14ac:dyDescent="0.2">
      <c r="C324" s="169" t="s">
        <v>770</v>
      </c>
    </row>
    <row r="325" spans="3:3" ht="15" x14ac:dyDescent="0.2">
      <c r="C325" s="169" t="s">
        <v>771</v>
      </c>
    </row>
    <row r="326" spans="3:3" ht="15" x14ac:dyDescent="0.2">
      <c r="C326" s="169" t="s">
        <v>772</v>
      </c>
    </row>
    <row r="327" spans="3:3" ht="15" x14ac:dyDescent="0.2">
      <c r="C327" s="169" t="s">
        <v>773</v>
      </c>
    </row>
    <row r="328" spans="3:3" ht="15" x14ac:dyDescent="0.2">
      <c r="C328" s="169" t="s">
        <v>774</v>
      </c>
    </row>
    <row r="329" spans="3:3" ht="15" x14ac:dyDescent="0.2">
      <c r="C329" s="169" t="s">
        <v>775</v>
      </c>
    </row>
    <row r="330" spans="3:3" ht="15" x14ac:dyDescent="0.2">
      <c r="C330" s="169" t="s">
        <v>776</v>
      </c>
    </row>
    <row r="331" spans="3:3" ht="15" x14ac:dyDescent="0.2">
      <c r="C331" s="169" t="s">
        <v>777</v>
      </c>
    </row>
    <row r="332" spans="3:3" ht="15" x14ac:dyDescent="0.2">
      <c r="C332" s="169" t="s">
        <v>778</v>
      </c>
    </row>
    <row r="333" spans="3:3" ht="15" x14ac:dyDescent="0.2">
      <c r="C333" s="169" t="s">
        <v>779</v>
      </c>
    </row>
    <row r="334" spans="3:3" ht="15" x14ac:dyDescent="0.2">
      <c r="C334" s="169" t="s">
        <v>780</v>
      </c>
    </row>
    <row r="335" spans="3:3" ht="15" x14ac:dyDescent="0.2">
      <c r="C335" s="169" t="s">
        <v>774</v>
      </c>
    </row>
    <row r="336" spans="3:3" ht="15" x14ac:dyDescent="0.2">
      <c r="C336" s="169" t="s">
        <v>775</v>
      </c>
    </row>
    <row r="337" spans="3:3" ht="15" x14ac:dyDescent="0.2">
      <c r="C337" s="169" t="s">
        <v>776</v>
      </c>
    </row>
    <row r="338" spans="3:3" ht="15" x14ac:dyDescent="0.2">
      <c r="C338" s="169" t="s">
        <v>777</v>
      </c>
    </row>
    <row r="339" spans="3:3" ht="15" x14ac:dyDescent="0.2">
      <c r="C339" s="169" t="s">
        <v>778</v>
      </c>
    </row>
    <row r="340" spans="3:3" ht="15" x14ac:dyDescent="0.2">
      <c r="C340" s="169" t="s">
        <v>781</v>
      </c>
    </row>
    <row r="341" spans="3:3" ht="15" x14ac:dyDescent="0.2">
      <c r="C341" s="169" t="s">
        <v>782</v>
      </c>
    </row>
    <row r="343" spans="3:3" ht="15" x14ac:dyDescent="0.2">
      <c r="C343" s="169" t="s">
        <v>783</v>
      </c>
    </row>
    <row r="344" spans="3:3" ht="15" x14ac:dyDescent="0.2">
      <c r="C344" s="169" t="s">
        <v>784</v>
      </c>
    </row>
    <row r="345" spans="3:3" ht="15" x14ac:dyDescent="0.2">
      <c r="C345" s="169" t="s">
        <v>785</v>
      </c>
    </row>
    <row r="347" spans="3:3" ht="15" x14ac:dyDescent="0.2">
      <c r="C347" s="169" t="s">
        <v>786</v>
      </c>
    </row>
    <row r="348" spans="3:3" ht="15" x14ac:dyDescent="0.2">
      <c r="C348" s="169" t="s">
        <v>787</v>
      </c>
    </row>
    <row r="349" spans="3:3" ht="15" x14ac:dyDescent="0.2">
      <c r="C349" s="169" t="s">
        <v>788</v>
      </c>
    </row>
    <row r="350" spans="3:3" ht="15" x14ac:dyDescent="0.2">
      <c r="C350" s="169" t="s">
        <v>789</v>
      </c>
    </row>
    <row r="351" spans="3:3" ht="15" x14ac:dyDescent="0.2">
      <c r="C351" s="169" t="s">
        <v>790</v>
      </c>
    </row>
    <row r="352" spans="3:3" ht="15" x14ac:dyDescent="0.2">
      <c r="C352" s="169" t="s">
        <v>791</v>
      </c>
    </row>
    <row r="353" spans="3:3" ht="15" x14ac:dyDescent="0.2">
      <c r="C353" s="169" t="s">
        <v>792</v>
      </c>
    </row>
    <row r="355" spans="3:3" ht="15" x14ac:dyDescent="0.2">
      <c r="C355" s="169" t="s">
        <v>793</v>
      </c>
    </row>
    <row r="356" spans="3:3" ht="15" x14ac:dyDescent="0.2">
      <c r="C356" s="169" t="s">
        <v>794</v>
      </c>
    </row>
    <row r="357" spans="3:3" ht="15" x14ac:dyDescent="0.2">
      <c r="C357" s="169" t="s">
        <v>795</v>
      </c>
    </row>
    <row r="358" spans="3:3" ht="15" x14ac:dyDescent="0.2">
      <c r="C358" s="169" t="s">
        <v>796</v>
      </c>
    </row>
    <row r="359" spans="3:3" ht="15" x14ac:dyDescent="0.2">
      <c r="C359" s="169" t="s">
        <v>797</v>
      </c>
    </row>
    <row r="360" spans="3:3" ht="15" x14ac:dyDescent="0.2">
      <c r="C360" s="169" t="s">
        <v>798</v>
      </c>
    </row>
    <row r="361" spans="3:3" ht="15" x14ac:dyDescent="0.2">
      <c r="C361" s="169" t="s">
        <v>799</v>
      </c>
    </row>
    <row r="362" spans="3:3" ht="15" x14ac:dyDescent="0.2">
      <c r="C362" s="169" t="s">
        <v>795</v>
      </c>
    </row>
    <row r="363" spans="3:3" ht="15" x14ac:dyDescent="0.2">
      <c r="C363" s="169" t="s">
        <v>796</v>
      </c>
    </row>
    <row r="364" spans="3:3" ht="15" x14ac:dyDescent="0.2">
      <c r="C364" s="169" t="s">
        <v>797</v>
      </c>
    </row>
    <row r="365" spans="3:3" ht="15" x14ac:dyDescent="0.2">
      <c r="C365" s="169" t="s">
        <v>800</v>
      </c>
    </row>
    <row r="366" spans="3:3" ht="15" x14ac:dyDescent="0.2">
      <c r="C366" s="169" t="s">
        <v>787</v>
      </c>
    </row>
    <row r="367" spans="3:3" ht="15" x14ac:dyDescent="0.2">
      <c r="C367" s="169" t="s">
        <v>801</v>
      </c>
    </row>
    <row r="368" spans="3:3" ht="15" x14ac:dyDescent="0.2">
      <c r="C368" s="169" t="s">
        <v>802</v>
      </c>
    </row>
    <row r="369" spans="3:3" ht="15" x14ac:dyDescent="0.2">
      <c r="C369" s="169" t="s">
        <v>790</v>
      </c>
    </row>
    <row r="370" spans="3:3" ht="15" x14ac:dyDescent="0.2">
      <c r="C370" s="169" t="s">
        <v>803</v>
      </c>
    </row>
    <row r="371" spans="3:3" ht="15" x14ac:dyDescent="0.2">
      <c r="C371" s="169" t="s">
        <v>1037</v>
      </c>
    </row>
    <row r="372" spans="3:3" ht="15" x14ac:dyDescent="0.2">
      <c r="C372" s="169"/>
    </row>
    <row r="373" spans="3:3" ht="15" x14ac:dyDescent="0.2">
      <c r="C373" s="169" t="s">
        <v>805</v>
      </c>
    </row>
    <row r="374" spans="3:3" ht="15" x14ac:dyDescent="0.2">
      <c r="C374" s="169" t="s">
        <v>806</v>
      </c>
    </row>
    <row r="375" spans="3:3" ht="15" x14ac:dyDescent="0.2">
      <c r="C375" s="169" t="s">
        <v>807</v>
      </c>
    </row>
    <row r="376" spans="3:3" ht="15" x14ac:dyDescent="0.2">
      <c r="C376" s="169" t="s">
        <v>808</v>
      </c>
    </row>
    <row r="377" spans="3:3" ht="15" x14ac:dyDescent="0.2">
      <c r="C377" s="169" t="s">
        <v>809</v>
      </c>
    </row>
    <row r="379" spans="3:3" ht="15" x14ac:dyDescent="0.2">
      <c r="C379" s="169" t="s">
        <v>1038</v>
      </c>
    </row>
    <row r="380" spans="3:3" ht="15" x14ac:dyDescent="0.2">
      <c r="C380" s="169" t="s">
        <v>845</v>
      </c>
    </row>
    <row r="382" spans="3:3" ht="15" x14ac:dyDescent="0.2">
      <c r="C382" s="169" t="s">
        <v>846</v>
      </c>
    </row>
    <row r="383" spans="3:3" ht="15" x14ac:dyDescent="0.2">
      <c r="C383" s="169" t="s">
        <v>1039</v>
      </c>
    </row>
    <row r="384" spans="3:3" ht="15" x14ac:dyDescent="0.2">
      <c r="C384" s="169" t="s">
        <v>1040</v>
      </c>
    </row>
    <row r="385" spans="3:3" ht="15" x14ac:dyDescent="0.2">
      <c r="C385" s="169" t="s">
        <v>849</v>
      </c>
    </row>
    <row r="386" spans="3:3" ht="15" x14ac:dyDescent="0.2">
      <c r="C386" s="169" t="s">
        <v>850</v>
      </c>
    </row>
    <row r="388" spans="3:3" ht="15" x14ac:dyDescent="0.2">
      <c r="C388" s="169" t="s">
        <v>851</v>
      </c>
    </row>
    <row r="389" spans="3:3" ht="15" x14ac:dyDescent="0.2">
      <c r="C389" s="169" t="s">
        <v>852</v>
      </c>
    </row>
    <row r="390" spans="3:3" ht="15" x14ac:dyDescent="0.2">
      <c r="C390" s="169" t="s">
        <v>853</v>
      </c>
    </row>
    <row r="391" spans="3:3" ht="15" x14ac:dyDescent="0.2">
      <c r="C391" s="169" t="s">
        <v>854</v>
      </c>
    </row>
    <row r="392" spans="3:3" ht="15" x14ac:dyDescent="0.2">
      <c r="C392" s="169" t="s">
        <v>855</v>
      </c>
    </row>
    <row r="393" spans="3:3" ht="15" x14ac:dyDescent="0.2">
      <c r="C393" s="169" t="s">
        <v>856</v>
      </c>
    </row>
    <row r="394" spans="3:3" ht="15" x14ac:dyDescent="0.2">
      <c r="C394" s="169" t="s">
        <v>857</v>
      </c>
    </row>
    <row r="395" spans="3:3" ht="15" x14ac:dyDescent="0.2">
      <c r="C395" s="169" t="s">
        <v>858</v>
      </c>
    </row>
    <row r="396" spans="3:3" ht="15" x14ac:dyDescent="0.2">
      <c r="C396" s="169" t="s">
        <v>859</v>
      </c>
    </row>
    <row r="397" spans="3:3" ht="15" x14ac:dyDescent="0.2">
      <c r="C397" s="169" t="s">
        <v>860</v>
      </c>
    </row>
    <row r="398" spans="3:3" ht="15" x14ac:dyDescent="0.2">
      <c r="C398" s="169" t="s">
        <v>861</v>
      </c>
    </row>
    <row r="399" spans="3:3" ht="15" x14ac:dyDescent="0.2">
      <c r="C399" s="169" t="s">
        <v>862</v>
      </c>
    </row>
    <row r="400" spans="3:3" ht="15" x14ac:dyDescent="0.2">
      <c r="C400" s="169" t="s">
        <v>863</v>
      </c>
    </row>
    <row r="402" spans="3:3" ht="15" x14ac:dyDescent="0.2">
      <c r="C402" s="169" t="s">
        <v>864</v>
      </c>
    </row>
    <row r="404" spans="3:3" ht="15" x14ac:dyDescent="0.2">
      <c r="C404" s="169" t="s">
        <v>865</v>
      </c>
    </row>
    <row r="405" spans="3:3" ht="15" x14ac:dyDescent="0.2">
      <c r="C405" s="169" t="s">
        <v>866</v>
      </c>
    </row>
    <row r="406" spans="3:3" ht="15" x14ac:dyDescent="0.2">
      <c r="C406" s="169" t="s">
        <v>867</v>
      </c>
    </row>
    <row r="407" spans="3:3" ht="15" x14ac:dyDescent="0.2">
      <c r="C407" s="169" t="s">
        <v>868</v>
      </c>
    </row>
    <row r="408" spans="3:3" ht="15" x14ac:dyDescent="0.2">
      <c r="C408" s="169" t="s">
        <v>869</v>
      </c>
    </row>
    <row r="409" spans="3:3" ht="15" x14ac:dyDescent="0.2">
      <c r="C409" s="169" t="s">
        <v>870</v>
      </c>
    </row>
    <row r="410" spans="3:3" ht="15" x14ac:dyDescent="0.2">
      <c r="C410" s="169" t="s">
        <v>849</v>
      </c>
    </row>
    <row r="412" spans="3:3" ht="15" x14ac:dyDescent="0.2">
      <c r="C412" s="169" t="s">
        <v>871</v>
      </c>
    </row>
    <row r="413" spans="3:3" ht="15" x14ac:dyDescent="0.2">
      <c r="C413" s="169" t="s">
        <v>872</v>
      </c>
    </row>
    <row r="415" spans="3:3" ht="15" x14ac:dyDescent="0.2">
      <c r="C415" s="169" t="s">
        <v>873</v>
      </c>
    </row>
    <row r="416" spans="3:3" ht="15" x14ac:dyDescent="0.2">
      <c r="C416" s="169" t="s">
        <v>874</v>
      </c>
    </row>
    <row r="417" spans="3:3" ht="15" x14ac:dyDescent="0.2">
      <c r="C417" s="169" t="s">
        <v>875</v>
      </c>
    </row>
    <row r="418" spans="3:3" ht="15" x14ac:dyDescent="0.2">
      <c r="C418" s="169" t="s">
        <v>876</v>
      </c>
    </row>
    <row r="419" spans="3:3" ht="15" x14ac:dyDescent="0.2">
      <c r="C419" s="169" t="s">
        <v>877</v>
      </c>
    </row>
    <row r="420" spans="3:3" ht="15" x14ac:dyDescent="0.2">
      <c r="C420" s="169" t="s">
        <v>878</v>
      </c>
    </row>
    <row r="422" spans="3:3" ht="15" x14ac:dyDescent="0.2">
      <c r="C422" s="169" t="s">
        <v>873</v>
      </c>
    </row>
    <row r="423" spans="3:3" ht="15" x14ac:dyDescent="0.2">
      <c r="C423" s="169" t="s">
        <v>879</v>
      </c>
    </row>
    <row r="424" spans="3:3" ht="15" x14ac:dyDescent="0.2">
      <c r="C424" s="169" t="s">
        <v>880</v>
      </c>
    </row>
    <row r="425" spans="3:3" ht="15" x14ac:dyDescent="0.2">
      <c r="C425" s="169" t="s">
        <v>881</v>
      </c>
    </row>
    <row r="426" spans="3:3" ht="15" x14ac:dyDescent="0.2">
      <c r="C426" s="169" t="s">
        <v>882</v>
      </c>
    </row>
    <row r="428" spans="3:3" ht="15" x14ac:dyDescent="0.2">
      <c r="C428" s="169" t="s">
        <v>883</v>
      </c>
    </row>
    <row r="429" spans="3:3" ht="15" x14ac:dyDescent="0.2">
      <c r="C429" s="169" t="s">
        <v>884</v>
      </c>
    </row>
    <row r="430" spans="3:3" ht="15" x14ac:dyDescent="0.2">
      <c r="C430" s="169" t="s">
        <v>885</v>
      </c>
    </row>
    <row r="431" spans="3:3" ht="15" x14ac:dyDescent="0.2">
      <c r="C431" s="169" t="s">
        <v>886</v>
      </c>
    </row>
    <row r="432" spans="3:3" ht="15" x14ac:dyDescent="0.2">
      <c r="C432" s="169" t="s">
        <v>887</v>
      </c>
    </row>
    <row r="434" spans="3:3" ht="15" x14ac:dyDescent="0.2">
      <c r="C434" s="169" t="s">
        <v>888</v>
      </c>
    </row>
    <row r="435" spans="3:3" ht="15" x14ac:dyDescent="0.2">
      <c r="C435" s="169" t="s">
        <v>889</v>
      </c>
    </row>
    <row r="436" spans="3:3" ht="15" x14ac:dyDescent="0.2">
      <c r="C436" s="169" t="s">
        <v>623</v>
      </c>
    </row>
    <row r="437" spans="3:3" ht="15" x14ac:dyDescent="0.2">
      <c r="C437" s="169" t="s">
        <v>624</v>
      </c>
    </row>
    <row r="438" spans="3:3" ht="15" x14ac:dyDescent="0.2">
      <c r="C438" s="169" t="s">
        <v>890</v>
      </c>
    </row>
    <row r="439" spans="3:3" ht="15" x14ac:dyDescent="0.2">
      <c r="C439" s="169" t="s">
        <v>891</v>
      </c>
    </row>
    <row r="440" spans="3:3" ht="15" x14ac:dyDescent="0.2">
      <c r="C440" s="169" t="s">
        <v>892</v>
      </c>
    </row>
    <row r="442" spans="3:3" ht="15" x14ac:dyDescent="0.2">
      <c r="C442" s="169" t="s">
        <v>893</v>
      </c>
    </row>
    <row r="443" spans="3:3" ht="15" x14ac:dyDescent="0.2">
      <c r="C443" s="169" t="s">
        <v>624</v>
      </c>
    </row>
    <row r="445" spans="3:3" ht="15" x14ac:dyDescent="0.2">
      <c r="C445" s="169" t="s">
        <v>894</v>
      </c>
    </row>
    <row r="446" spans="3:3" ht="15" x14ac:dyDescent="0.2">
      <c r="C446" s="169" t="s">
        <v>895</v>
      </c>
    </row>
    <row r="447" spans="3:3" ht="15" x14ac:dyDescent="0.2">
      <c r="C447" s="169" t="s">
        <v>896</v>
      </c>
    </row>
    <row r="449" spans="3:3" ht="15" x14ac:dyDescent="0.2">
      <c r="C449" s="169" t="s">
        <v>897</v>
      </c>
    </row>
    <row r="450" spans="3:3" ht="15" x14ac:dyDescent="0.2">
      <c r="C450" s="169" t="s">
        <v>898</v>
      </c>
    </row>
    <row r="451" spans="3:3" ht="15" x14ac:dyDescent="0.2">
      <c r="C451" s="169" t="s">
        <v>899</v>
      </c>
    </row>
    <row r="452" spans="3:3" ht="15" x14ac:dyDescent="0.2">
      <c r="C452" s="169" t="s">
        <v>900</v>
      </c>
    </row>
    <row r="453" spans="3:3" ht="15" x14ac:dyDescent="0.2">
      <c r="C453" s="169" t="s">
        <v>901</v>
      </c>
    </row>
    <row r="455" spans="3:3" ht="15" x14ac:dyDescent="0.2">
      <c r="C455" s="169" t="s">
        <v>919</v>
      </c>
    </row>
    <row r="456" spans="3:3" ht="15" x14ac:dyDescent="0.2">
      <c r="C456" s="169" t="s">
        <v>920</v>
      </c>
    </row>
    <row r="457" spans="3:3" ht="15" x14ac:dyDescent="0.2">
      <c r="C457" s="169" t="s">
        <v>921</v>
      </c>
    </row>
    <row r="458" spans="3:3" ht="15" x14ac:dyDescent="0.2">
      <c r="C458" s="169" t="s">
        <v>922</v>
      </c>
    </row>
    <row r="459" spans="3:3" ht="15" x14ac:dyDescent="0.2">
      <c r="C459" s="169" t="s">
        <v>923</v>
      </c>
    </row>
    <row r="460" spans="3:3" ht="15" x14ac:dyDescent="0.2">
      <c r="C460" s="169" t="s">
        <v>924</v>
      </c>
    </row>
    <row r="461" spans="3:3" ht="15" x14ac:dyDescent="0.2">
      <c r="C461" s="169" t="s">
        <v>925</v>
      </c>
    </row>
    <row r="462" spans="3:3" ht="15" x14ac:dyDescent="0.2">
      <c r="C462" s="169" t="s">
        <v>926</v>
      </c>
    </row>
    <row r="463" spans="3:3" ht="15" x14ac:dyDescent="0.2">
      <c r="C463" s="169" t="s">
        <v>927</v>
      </c>
    </row>
    <row r="464" spans="3:3" ht="15" x14ac:dyDescent="0.2">
      <c r="C464" s="169" t="s">
        <v>1041</v>
      </c>
    </row>
    <row r="465" spans="3:3" ht="15" x14ac:dyDescent="0.2">
      <c r="C465" s="169" t="s">
        <v>1042</v>
      </c>
    </row>
    <row r="466" spans="3:3" ht="15" x14ac:dyDescent="0.2">
      <c r="C466" s="169" t="s">
        <v>1043</v>
      </c>
    </row>
    <row r="467" spans="3:3" ht="15" x14ac:dyDescent="0.2">
      <c r="C467" s="169" t="s">
        <v>1044</v>
      </c>
    </row>
    <row r="468" spans="3:3" ht="15" x14ac:dyDescent="0.2">
      <c r="C468" s="169" t="s">
        <v>1045</v>
      </c>
    </row>
    <row r="469" spans="3:3" ht="15" x14ac:dyDescent="0.2">
      <c r="C469" s="169" t="s">
        <v>1046</v>
      </c>
    </row>
    <row r="470" spans="3:3" ht="15" x14ac:dyDescent="0.2">
      <c r="C470" s="169" t="s">
        <v>1047</v>
      </c>
    </row>
    <row r="471" spans="3:3" ht="15" x14ac:dyDescent="0.2">
      <c r="C471" s="169" t="s">
        <v>1048</v>
      </c>
    </row>
    <row r="472" spans="3:3" ht="15" x14ac:dyDescent="0.2">
      <c r="C472" s="169" t="s">
        <v>1049</v>
      </c>
    </row>
    <row r="473" spans="3:3" ht="15" x14ac:dyDescent="0.2">
      <c r="C473" s="169" t="s">
        <v>928</v>
      </c>
    </row>
    <row r="474" spans="3:3" ht="15" x14ac:dyDescent="0.2">
      <c r="C474" s="169" t="s">
        <v>929</v>
      </c>
    </row>
    <row r="475" spans="3:3" ht="15" x14ac:dyDescent="0.2">
      <c r="C475" s="169" t="s">
        <v>930</v>
      </c>
    </row>
    <row r="476" spans="3:3" ht="15" x14ac:dyDescent="0.2">
      <c r="C476" s="169" t="s">
        <v>931</v>
      </c>
    </row>
    <row r="477" spans="3:3" ht="15" x14ac:dyDescent="0.2">
      <c r="C477" s="169" t="s">
        <v>932</v>
      </c>
    </row>
    <row r="478" spans="3:3" ht="15" x14ac:dyDescent="0.2">
      <c r="C478" s="169" t="s">
        <v>933</v>
      </c>
    </row>
    <row r="479" spans="3:3" ht="15" x14ac:dyDescent="0.2">
      <c r="C479" s="169" t="s">
        <v>934</v>
      </c>
    </row>
    <row r="480" spans="3:3" ht="15" x14ac:dyDescent="0.2">
      <c r="C480" s="169" t="s">
        <v>935</v>
      </c>
    </row>
    <row r="481" spans="3:3" ht="15" x14ac:dyDescent="0.2">
      <c r="C481" s="169" t="s">
        <v>936</v>
      </c>
    </row>
    <row r="482" spans="3:3" ht="15" x14ac:dyDescent="0.2">
      <c r="C482" s="169" t="s">
        <v>937</v>
      </c>
    </row>
    <row r="483" spans="3:3" ht="15" x14ac:dyDescent="0.2">
      <c r="C483" s="169" t="s">
        <v>938</v>
      </c>
    </row>
    <row r="484" spans="3:3" ht="15" x14ac:dyDescent="0.2">
      <c r="C484" s="169" t="s">
        <v>939</v>
      </c>
    </row>
    <row r="485" spans="3:3" ht="15" x14ac:dyDescent="0.2">
      <c r="C485" s="169" t="s">
        <v>940</v>
      </c>
    </row>
    <row r="486" spans="3:3" ht="15" x14ac:dyDescent="0.2">
      <c r="C486" s="169" t="s">
        <v>777</v>
      </c>
    </row>
    <row r="487" spans="3:3" ht="15" x14ac:dyDescent="0.2">
      <c r="C487" s="169" t="s">
        <v>941</v>
      </c>
    </row>
    <row r="488" spans="3:3" ht="15" x14ac:dyDescent="0.2">
      <c r="C488" s="169" t="s">
        <v>942</v>
      </c>
    </row>
    <row r="489" spans="3:3" ht="15" x14ac:dyDescent="0.2">
      <c r="C489" s="169" t="s">
        <v>943</v>
      </c>
    </row>
    <row r="490" spans="3:3" ht="15" x14ac:dyDescent="0.2">
      <c r="C490" s="169" t="s">
        <v>1050</v>
      </c>
    </row>
    <row r="491" spans="3:3" ht="15" x14ac:dyDescent="0.2">
      <c r="C491" s="169" t="s">
        <v>945</v>
      </c>
    </row>
    <row r="492" spans="3:3" ht="15" x14ac:dyDescent="0.2">
      <c r="C492" s="169" t="s">
        <v>946</v>
      </c>
    </row>
    <row r="493" spans="3:3" ht="15" x14ac:dyDescent="0.2">
      <c r="C493" s="169" t="s">
        <v>947</v>
      </c>
    </row>
    <row r="495" spans="3:3" ht="15" x14ac:dyDescent="0.2">
      <c r="C495" s="169" t="s">
        <v>1051</v>
      </c>
    </row>
    <row r="496" spans="3:3" ht="15" x14ac:dyDescent="0.2">
      <c r="C496" s="169" t="s">
        <v>1052</v>
      </c>
    </row>
    <row r="497" spans="3:3" ht="15" x14ac:dyDescent="0.2">
      <c r="C497" s="169" t="s">
        <v>1053</v>
      </c>
    </row>
    <row r="498" spans="3:3" ht="15" x14ac:dyDescent="0.2">
      <c r="C498" s="169" t="s">
        <v>1054</v>
      </c>
    </row>
    <row r="499" spans="3:3" ht="15" x14ac:dyDescent="0.2">
      <c r="C499" s="169" t="s">
        <v>1055</v>
      </c>
    </row>
    <row r="500" spans="3:3" ht="15" x14ac:dyDescent="0.2">
      <c r="C500" s="169" t="s">
        <v>1056</v>
      </c>
    </row>
    <row r="501" spans="3:3" ht="15" x14ac:dyDescent="0.2">
      <c r="C501" s="169" t="s">
        <v>1057</v>
      </c>
    </row>
    <row r="502" spans="3:3" ht="15" x14ac:dyDescent="0.2">
      <c r="C502" s="169" t="s">
        <v>1058</v>
      </c>
    </row>
    <row r="503" spans="3:3" ht="15" x14ac:dyDescent="0.2">
      <c r="C503" s="169" t="s">
        <v>1059</v>
      </c>
    </row>
    <row r="504" spans="3:3" ht="15" x14ac:dyDescent="0.2">
      <c r="C504" s="169" t="s">
        <v>1060</v>
      </c>
    </row>
    <row r="505" spans="3:3" ht="15" x14ac:dyDescent="0.2">
      <c r="C505" s="169" t="s">
        <v>1061</v>
      </c>
    </row>
    <row r="506" spans="3:3" ht="15" x14ac:dyDescent="0.2">
      <c r="C506" s="169" t="s">
        <v>650</v>
      </c>
    </row>
    <row r="507" spans="3:3" ht="15" x14ac:dyDescent="0.2">
      <c r="C507" s="169" t="s">
        <v>1062</v>
      </c>
    </row>
    <row r="508" spans="3:3" ht="15" x14ac:dyDescent="0.2">
      <c r="C508" s="169" t="s">
        <v>949</v>
      </c>
    </row>
    <row r="510" spans="3:3" ht="15" x14ac:dyDescent="0.2">
      <c r="C510" s="169" t="s">
        <v>950</v>
      </c>
    </row>
    <row r="511" spans="3:3" ht="15" x14ac:dyDescent="0.2">
      <c r="C511" s="169" t="s">
        <v>951</v>
      </c>
    </row>
    <row r="513" spans="3:3" ht="15" x14ac:dyDescent="0.2">
      <c r="C513" s="169" t="s">
        <v>1063</v>
      </c>
    </row>
    <row r="514" spans="3:3" ht="15" x14ac:dyDescent="0.2">
      <c r="C514" s="169" t="s">
        <v>1064</v>
      </c>
    </row>
    <row r="515" spans="3:3" ht="15" x14ac:dyDescent="0.2">
      <c r="C515" s="169" t="s">
        <v>1065</v>
      </c>
    </row>
    <row r="516" spans="3:3" ht="15" x14ac:dyDescent="0.2">
      <c r="C516" s="169" t="s">
        <v>1066</v>
      </c>
    </row>
    <row r="517" spans="3:3" ht="15" x14ac:dyDescent="0.2">
      <c r="C517" s="169" t="s">
        <v>1067</v>
      </c>
    </row>
    <row r="518" spans="3:3" ht="15" x14ac:dyDescent="0.2">
      <c r="C518" s="169" t="s">
        <v>1068</v>
      </c>
    </row>
    <row r="519" spans="3:3" ht="15" x14ac:dyDescent="0.2">
      <c r="C519" s="169" t="s">
        <v>1069</v>
      </c>
    </row>
    <row r="520" spans="3:3" ht="15" x14ac:dyDescent="0.2">
      <c r="C520" s="169" t="s">
        <v>1070</v>
      </c>
    </row>
    <row r="522" spans="3:3" ht="15" x14ac:dyDescent="0.2">
      <c r="C522" s="169" t="s">
        <v>1071</v>
      </c>
    </row>
    <row r="524" spans="3:3" ht="15" x14ac:dyDescent="0.2">
      <c r="C524" s="169" t="s">
        <v>903</v>
      </c>
    </row>
    <row r="525" spans="3:3" ht="15" x14ac:dyDescent="0.2">
      <c r="C525" s="169" t="s">
        <v>904</v>
      </c>
    </row>
    <row r="526" spans="3:3" ht="15" x14ac:dyDescent="0.2">
      <c r="C526" s="169" t="s">
        <v>1072</v>
      </c>
    </row>
    <row r="527" spans="3:3" ht="15" x14ac:dyDescent="0.2">
      <c r="C527" s="169" t="s">
        <v>906</v>
      </c>
    </row>
    <row r="528" spans="3:3" ht="15" x14ac:dyDescent="0.2">
      <c r="C528" s="169" t="s">
        <v>1073</v>
      </c>
    </row>
    <row r="529" spans="3:3" ht="15" x14ac:dyDescent="0.2">
      <c r="C529" s="169" t="s">
        <v>908</v>
      </c>
    </row>
    <row r="530" spans="3:3" ht="15" x14ac:dyDescent="0.2">
      <c r="C530" s="169" t="s">
        <v>1074</v>
      </c>
    </row>
    <row r="531" spans="3:3" ht="15" x14ac:dyDescent="0.2">
      <c r="C531" s="169" t="s">
        <v>849</v>
      </c>
    </row>
    <row r="533" spans="3:3" ht="15" x14ac:dyDescent="0.2">
      <c r="C533" s="169" t="s">
        <v>903</v>
      </c>
    </row>
    <row r="534" spans="3:3" ht="15" x14ac:dyDescent="0.2">
      <c r="C534" s="169" t="s">
        <v>904</v>
      </c>
    </row>
    <row r="535" spans="3:3" ht="15" x14ac:dyDescent="0.2">
      <c r="C535" s="169" t="s">
        <v>1075</v>
      </c>
    </row>
    <row r="536" spans="3:3" ht="15" x14ac:dyDescent="0.2">
      <c r="C536" s="169" t="s">
        <v>906</v>
      </c>
    </row>
    <row r="537" spans="3:3" ht="15" x14ac:dyDescent="0.2">
      <c r="C537" s="169" t="s">
        <v>1076</v>
      </c>
    </row>
    <row r="538" spans="3:3" ht="15" x14ac:dyDescent="0.2">
      <c r="C538" s="169" t="s">
        <v>908</v>
      </c>
    </row>
    <row r="539" spans="3:3" ht="15" x14ac:dyDescent="0.2">
      <c r="C539" s="169" t="s">
        <v>1074</v>
      </c>
    </row>
    <row r="540" spans="3:3" ht="15" x14ac:dyDescent="0.2">
      <c r="C540" s="169" t="s">
        <v>849</v>
      </c>
    </row>
    <row r="542" spans="3:3" ht="15" x14ac:dyDescent="0.2">
      <c r="C542" s="169" t="s">
        <v>1077</v>
      </c>
    </row>
    <row r="543" spans="3:3" ht="15" x14ac:dyDescent="0.2">
      <c r="C543" s="169" t="s">
        <v>1078</v>
      </c>
    </row>
    <row r="544" spans="3:3" ht="15" x14ac:dyDescent="0.2">
      <c r="C544" s="169" t="s">
        <v>1079</v>
      </c>
    </row>
    <row r="545" spans="3:3" ht="15" x14ac:dyDescent="0.2">
      <c r="C545" s="169" t="s">
        <v>1080</v>
      </c>
    </row>
    <row r="546" spans="3:3" ht="15" x14ac:dyDescent="0.2">
      <c r="C546" s="169" t="s">
        <v>903</v>
      </c>
    </row>
    <row r="547" spans="3:3" ht="15" x14ac:dyDescent="0.2">
      <c r="C547" s="169" t="s">
        <v>1081</v>
      </c>
    </row>
    <row r="548" spans="3:3" ht="15" x14ac:dyDescent="0.2">
      <c r="C548" s="169" t="s">
        <v>1082</v>
      </c>
    </row>
    <row r="549" spans="3:3" ht="15" x14ac:dyDescent="0.2">
      <c r="C549" s="169" t="s">
        <v>906</v>
      </c>
    </row>
    <row r="550" spans="3:3" ht="15" x14ac:dyDescent="0.2">
      <c r="C550" s="169" t="s">
        <v>914</v>
      </c>
    </row>
    <row r="551" spans="3:3" ht="15" x14ac:dyDescent="0.2">
      <c r="C551" s="169" t="s">
        <v>915</v>
      </c>
    </row>
    <row r="552" spans="3:3" ht="15" x14ac:dyDescent="0.2">
      <c r="C552" s="169" t="s">
        <v>1083</v>
      </c>
    </row>
    <row r="553" spans="3:3" ht="15" x14ac:dyDescent="0.2">
      <c r="C553" s="169" t="s">
        <v>916</v>
      </c>
    </row>
    <row r="554" spans="3:3" ht="15" x14ac:dyDescent="0.2">
      <c r="C554" s="169" t="s">
        <v>917</v>
      </c>
    </row>
    <row r="555" spans="3:3" ht="15" x14ac:dyDescent="0.2">
      <c r="C555" s="169" t="s">
        <v>849</v>
      </c>
    </row>
    <row r="558" spans="3:3" ht="15" x14ac:dyDescent="0.2">
      <c r="C558" s="169" t="s">
        <v>1084</v>
      </c>
    </row>
    <row r="559" spans="3:3" ht="15" x14ac:dyDescent="0.2">
      <c r="C559" s="169" t="s">
        <v>1085</v>
      </c>
    </row>
    <row r="560" spans="3:3" ht="15" x14ac:dyDescent="0.2">
      <c r="C560" s="169" t="s">
        <v>1086</v>
      </c>
    </row>
    <row r="561" spans="3:3" ht="15" x14ac:dyDescent="0.2">
      <c r="C561" s="169" t="s">
        <v>1087</v>
      </c>
    </row>
    <row r="562" spans="3:3" ht="15" x14ac:dyDescent="0.2">
      <c r="C562" s="169" t="s">
        <v>1088</v>
      </c>
    </row>
    <row r="563" spans="3:3" ht="15" x14ac:dyDescent="0.2">
      <c r="C563" s="169" t="s">
        <v>1089</v>
      </c>
    </row>
    <row r="565" spans="3:3" ht="15" x14ac:dyDescent="0.2">
      <c r="C565" s="169" t="s">
        <v>1090</v>
      </c>
    </row>
    <row r="567" spans="3:3" ht="15" x14ac:dyDescent="0.2">
      <c r="C567" s="169" t="s">
        <v>903</v>
      </c>
    </row>
    <row r="568" spans="3:3" ht="15" x14ac:dyDescent="0.2">
      <c r="C568" s="169" t="s">
        <v>904</v>
      </c>
    </row>
    <row r="569" spans="3:3" ht="15" x14ac:dyDescent="0.2">
      <c r="C569" s="169" t="s">
        <v>1091</v>
      </c>
    </row>
    <row r="570" spans="3:3" ht="15" x14ac:dyDescent="0.2">
      <c r="C570" s="169" t="s">
        <v>906</v>
      </c>
    </row>
    <row r="571" spans="3:3" ht="15" x14ac:dyDescent="0.2">
      <c r="C571" s="169" t="s">
        <v>1092</v>
      </c>
    </row>
    <row r="572" spans="3:3" ht="15" x14ac:dyDescent="0.2">
      <c r="C572" s="169" t="s">
        <v>908</v>
      </c>
    </row>
    <row r="573" spans="3:3" ht="15" x14ac:dyDescent="0.2">
      <c r="C573" s="169" t="s">
        <v>1093</v>
      </c>
    </row>
    <row r="574" spans="3:3" ht="15" x14ac:dyDescent="0.2">
      <c r="C574" s="169" t="s">
        <v>849</v>
      </c>
    </row>
    <row r="576" spans="3:3" ht="15" x14ac:dyDescent="0.2">
      <c r="C576" s="169" t="s">
        <v>903</v>
      </c>
    </row>
    <row r="577" spans="3:3" ht="15" x14ac:dyDescent="0.2">
      <c r="C577" s="169" t="s">
        <v>904</v>
      </c>
    </row>
    <row r="578" spans="3:3" ht="15" x14ac:dyDescent="0.2">
      <c r="C578" s="169" t="s">
        <v>1094</v>
      </c>
    </row>
    <row r="579" spans="3:3" ht="15" x14ac:dyDescent="0.2">
      <c r="C579" s="169" t="s">
        <v>906</v>
      </c>
    </row>
    <row r="580" spans="3:3" ht="15" x14ac:dyDescent="0.2">
      <c r="C580" s="169" t="s">
        <v>1095</v>
      </c>
    </row>
    <row r="581" spans="3:3" ht="15" x14ac:dyDescent="0.2">
      <c r="C581" s="169" t="s">
        <v>908</v>
      </c>
    </row>
    <row r="582" spans="3:3" ht="15" x14ac:dyDescent="0.2">
      <c r="C582" s="169" t="s">
        <v>1093</v>
      </c>
    </row>
    <row r="583" spans="3:3" ht="15" x14ac:dyDescent="0.2">
      <c r="C583" s="169" t="s">
        <v>849</v>
      </c>
    </row>
    <row r="585" spans="3:3" ht="15" x14ac:dyDescent="0.2">
      <c r="C585" s="169" t="s">
        <v>1096</v>
      </c>
    </row>
    <row r="586" spans="3:3" ht="15" x14ac:dyDescent="0.2">
      <c r="C586" s="169" t="s">
        <v>1097</v>
      </c>
    </row>
    <row r="587" spans="3:3" ht="15" x14ac:dyDescent="0.2">
      <c r="C587" s="169" t="s">
        <v>1098</v>
      </c>
    </row>
    <row r="588" spans="3:3" ht="15" x14ac:dyDescent="0.2">
      <c r="C588" s="169" t="s">
        <v>1099</v>
      </c>
    </row>
    <row r="589" spans="3:3" ht="15" x14ac:dyDescent="0.2">
      <c r="C589" s="169" t="s">
        <v>1080</v>
      </c>
    </row>
    <row r="590" spans="3:3" ht="15" x14ac:dyDescent="0.2">
      <c r="C590" s="169" t="s">
        <v>903</v>
      </c>
    </row>
    <row r="591" spans="3:3" ht="15" x14ac:dyDescent="0.2">
      <c r="C591" s="169" t="s">
        <v>1100</v>
      </c>
    </row>
    <row r="592" spans="3:3" ht="15" x14ac:dyDescent="0.2">
      <c r="C592" s="169" t="s">
        <v>1101</v>
      </c>
    </row>
    <row r="593" spans="3:3" ht="15" x14ac:dyDescent="0.2">
      <c r="C593" s="169" t="s">
        <v>906</v>
      </c>
    </row>
    <row r="594" spans="3:3" ht="15" x14ac:dyDescent="0.2">
      <c r="C594" s="169" t="s">
        <v>914</v>
      </c>
    </row>
    <row r="595" spans="3:3" ht="15" x14ac:dyDescent="0.2">
      <c r="C595" s="169" t="s">
        <v>915</v>
      </c>
    </row>
    <row r="596" spans="3:3" ht="15" x14ac:dyDescent="0.2">
      <c r="C596" s="169" t="s">
        <v>1083</v>
      </c>
    </row>
    <row r="597" spans="3:3" ht="15" x14ac:dyDescent="0.2">
      <c r="C597" s="169" t="s">
        <v>959</v>
      </c>
    </row>
    <row r="598" spans="3:3" ht="15" x14ac:dyDescent="0.2">
      <c r="C598" s="169" t="s">
        <v>917</v>
      </c>
    </row>
    <row r="599" spans="3:3" ht="15" x14ac:dyDescent="0.2">
      <c r="C599" s="169" t="s">
        <v>849</v>
      </c>
    </row>
    <row r="601" spans="3:3" ht="15" x14ac:dyDescent="0.2">
      <c r="C601" s="169" t="s">
        <v>845</v>
      </c>
    </row>
    <row r="602" spans="3:3" ht="15" x14ac:dyDescent="0.2">
      <c r="C602" s="169" t="s">
        <v>1102</v>
      </c>
    </row>
    <row r="603" spans="3:3" ht="15" x14ac:dyDescent="0.2">
      <c r="C603" s="169" t="s">
        <v>1020</v>
      </c>
    </row>
    <row r="605" spans="3:3" ht="15" x14ac:dyDescent="0.2">
      <c r="C605" s="169" t="s">
        <v>1021</v>
      </c>
    </row>
    <row r="606" spans="3:3" ht="15" x14ac:dyDescent="0.2">
      <c r="C606" s="169" t="s">
        <v>1022</v>
      </c>
    </row>
    <row r="607" spans="3:3" ht="15" x14ac:dyDescent="0.2">
      <c r="C607" s="169" t="s">
        <v>1023</v>
      </c>
    </row>
    <row r="609" spans="3:3" ht="15" x14ac:dyDescent="0.2">
      <c r="C609" s="169" t="s">
        <v>1024</v>
      </c>
    </row>
    <row r="610" spans="3:3" ht="15" x14ac:dyDescent="0.2">
      <c r="C610" s="169" t="s">
        <v>1025</v>
      </c>
    </row>
    <row r="611" spans="3:3" ht="15" x14ac:dyDescent="0.2">
      <c r="C611" s="169" t="s">
        <v>1026</v>
      </c>
    </row>
    <row r="612" spans="3:3" ht="15" x14ac:dyDescent="0.2">
      <c r="C612" s="169" t="s">
        <v>1027</v>
      </c>
    </row>
    <row r="614" spans="3:3" ht="15" x14ac:dyDescent="0.2">
      <c r="C614" s="169" t="s">
        <v>1028</v>
      </c>
    </row>
    <row r="615" spans="3:3" x14ac:dyDescent="0.2">
      <c r="C615" s="170" t="s">
        <v>1029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>
    <tabColor rgb="FF512D6D"/>
  </sheetPr>
  <dimension ref="A1:D625"/>
  <sheetViews>
    <sheetView workbookViewId="0"/>
  </sheetViews>
  <sheetFormatPr defaultColWidth="0" defaultRowHeight="12.75" x14ac:dyDescent="0.2"/>
  <cols>
    <col min="1" max="1" width="24.7109375" style="50" customWidth="1"/>
    <col min="2" max="2" width="9.140625" style="50" customWidth="1"/>
    <col min="3" max="3" width="120.7109375" style="170" customWidth="1"/>
    <col min="4" max="4" width="1.7109375" style="50" customWidth="1"/>
    <col min="5" max="16384" width="9.140625" style="50" hidden="1"/>
  </cols>
  <sheetData>
    <row r="1" spans="1:3" ht="15.75" thickBot="1" x14ac:dyDescent="0.25">
      <c r="A1" s="171" t="s">
        <v>1631</v>
      </c>
      <c r="C1" s="169" t="s">
        <v>490</v>
      </c>
    </row>
    <row r="2" spans="1:3" ht="16.5" thickTop="1" thickBot="1" x14ac:dyDescent="0.25">
      <c r="A2" s="172" t="str">
        <f>_xlfn.CONCAT(Results!C32,".sim")</f>
        <v>Estatico.sim</v>
      </c>
      <c r="C2" s="169" t="s">
        <v>491</v>
      </c>
    </row>
    <row r="3" spans="1:3" ht="13.5" thickBot="1" x14ac:dyDescent="0.25"/>
    <row r="4" spans="1:3" ht="15.75" thickBot="1" x14ac:dyDescent="0.25">
      <c r="A4" s="171" t="s">
        <v>1633</v>
      </c>
      <c r="C4" s="169" t="s">
        <v>2135</v>
      </c>
    </row>
    <row r="5" spans="1:3" ht="16.5" thickTop="1" thickBot="1" x14ac:dyDescent="0.25">
      <c r="A5" s="166" t="str">
        <f>CONCATENATE(Results!C40,".png")</f>
        <v>Cont1.png</v>
      </c>
      <c r="C5" s="169" t="s">
        <v>2136</v>
      </c>
    </row>
    <row r="6" spans="1:3" ht="15.75" thickBot="1" x14ac:dyDescent="0.25">
      <c r="C6" s="169" t="s">
        <v>492</v>
      </c>
    </row>
    <row r="7" spans="1:3" ht="15.75" thickBot="1" x14ac:dyDescent="0.25">
      <c r="A7" s="171" t="s">
        <v>1634</v>
      </c>
      <c r="C7" s="169" t="s">
        <v>493</v>
      </c>
    </row>
    <row r="8" spans="1:3" ht="16.5" thickTop="1" thickBot="1" x14ac:dyDescent="0.25">
      <c r="A8" s="166" t="str">
        <f>CONCATENATE("Figuras\", Results!C40,".py")</f>
        <v>Figuras\Cont1.py</v>
      </c>
      <c r="C8" s="169" t="s">
        <v>494</v>
      </c>
    </row>
    <row r="9" spans="1:3" ht="15.75" thickBot="1" x14ac:dyDescent="0.25">
      <c r="C9" s="169" t="s">
        <v>495</v>
      </c>
    </row>
    <row r="10" spans="1:3" ht="15.75" thickBot="1" x14ac:dyDescent="0.25">
      <c r="A10" s="171" t="s">
        <v>1635</v>
      </c>
      <c r="C10" s="169" t="s">
        <v>496</v>
      </c>
    </row>
    <row r="11" spans="1:3" ht="16.5" thickTop="1" thickBot="1" x14ac:dyDescent="0.25">
      <c r="A11" s="166" t="str">
        <f>_xlfn.CONCAT(Results!C40,".sim")</f>
        <v>Cont1.sim</v>
      </c>
      <c r="C11" s="169" t="s">
        <v>497</v>
      </c>
    </row>
    <row r="12" spans="1:3" ht="13.5" thickBot="1" x14ac:dyDescent="0.25"/>
    <row r="13" spans="1:3" ht="15.75" thickBot="1" x14ac:dyDescent="0.25">
      <c r="A13" s="171" t="s">
        <v>498</v>
      </c>
      <c r="C13" s="169" t="s">
        <v>499</v>
      </c>
    </row>
    <row r="14" spans="1:3" s="33" customFormat="1" ht="16.5" thickTop="1" thickBot="1" x14ac:dyDescent="0.25">
      <c r="A14" s="166">
        <f>Results!C49</f>
        <v>24</v>
      </c>
      <c r="C14" s="647" t="s">
        <v>2152</v>
      </c>
    </row>
    <row r="15" spans="1:3" s="33" customFormat="1" ht="15.75" thickBot="1" x14ac:dyDescent="0.25">
      <c r="A15" s="165"/>
      <c r="C15" s="647" t="s">
        <v>2195</v>
      </c>
    </row>
    <row r="16" spans="1:3" s="33" customFormat="1" ht="15.75" thickBot="1" x14ac:dyDescent="0.25">
      <c r="A16" s="167" t="s">
        <v>500</v>
      </c>
      <c r="C16" s="647" t="s">
        <v>2196</v>
      </c>
    </row>
    <row r="17" spans="1:3" ht="13.5" thickTop="1" x14ac:dyDescent="0.2">
      <c r="A17" s="174" t="str">
        <f>'2nd_Post_Processing'!$L$6</f>
        <v>Line</v>
      </c>
      <c r="B17" s="33"/>
      <c r="C17" s="649"/>
    </row>
    <row r="18" spans="1:3" ht="15" x14ac:dyDescent="0.2">
      <c r="A18" s="163" t="str">
        <f>'2nd_Post_Processing'!$L$7</f>
        <v>Stiffener1</v>
      </c>
      <c r="B18" s="33"/>
      <c r="C18" s="647" t="s">
        <v>501</v>
      </c>
    </row>
    <row r="19" spans="1:3" ht="15.75" thickBot="1" x14ac:dyDescent="0.25">
      <c r="A19" s="175" t="str">
        <f>'2nd_Post_Processing'!$L$8</f>
        <v>P7000048060</v>
      </c>
      <c r="B19" s="650"/>
      <c r="C19" s="647" t="str">
        <f>_xlfn.CONCAT("filename_static = glob.glob(fr'{workspace_dir}\",$A$2,"')[0]")</f>
        <v>filename_static = glob.glob(fr'{workspace_dir}\Estatico.sim')[0]</v>
      </c>
    </row>
    <row r="20" spans="1:3" x14ac:dyDescent="0.2">
      <c r="B20" s="33"/>
      <c r="C20" s="649"/>
    </row>
    <row r="21" spans="1:3" ht="15" x14ac:dyDescent="0.2">
      <c r="B21" s="33"/>
      <c r="C21" s="647" t="s">
        <v>1103</v>
      </c>
    </row>
    <row r="22" spans="1:3" ht="15" x14ac:dyDescent="0.2">
      <c r="B22" s="650"/>
      <c r="C22" s="647" t="str">
        <f>_xlfn.CONCAT("filename_cont = glob.glob(fr'{workspace_dir}\",$A$11,"')[0]")</f>
        <v>filename_cont = glob.glob(fr'{workspace_dir}\Cont1.sim')[0]</v>
      </c>
    </row>
    <row r="23" spans="1:3" x14ac:dyDescent="0.2">
      <c r="B23" s="33"/>
      <c r="C23" s="649"/>
    </row>
    <row r="24" spans="1:3" ht="15" x14ac:dyDescent="0.2">
      <c r="B24" s="33"/>
      <c r="C24" s="647" t="s">
        <v>502</v>
      </c>
    </row>
    <row r="25" spans="1:3" ht="15" x14ac:dyDescent="0.2">
      <c r="B25" s="650"/>
      <c r="C25" s="647" t="str">
        <f>_xlfn.CONCAT("pngname = fr'{figure_dir}\",$A$5,"'")</f>
        <v>pngname = fr'{figure_dir}\Cont1.png'</v>
      </c>
    </row>
    <row r="28" spans="1:3" ht="15" x14ac:dyDescent="0.2">
      <c r="C28" s="169" t="s">
        <v>504</v>
      </c>
    </row>
    <row r="30" spans="1:3" ht="15" x14ac:dyDescent="0.2">
      <c r="C30" s="169" t="s">
        <v>505</v>
      </c>
    </row>
    <row r="31" spans="1:3" ht="15" x14ac:dyDescent="0.2">
      <c r="C31" s="169" t="s">
        <v>506</v>
      </c>
    </row>
    <row r="32" spans="1:3" ht="15" x14ac:dyDescent="0.2">
      <c r="C32" s="169" t="s">
        <v>507</v>
      </c>
    </row>
    <row r="34" spans="2:3" ht="15" x14ac:dyDescent="0.2">
      <c r="C34" s="169" t="s">
        <v>508</v>
      </c>
    </row>
    <row r="35" spans="2:3" ht="15" x14ac:dyDescent="0.2">
      <c r="C35" s="169" t="s">
        <v>509</v>
      </c>
    </row>
    <row r="36" spans="2:3" ht="15" x14ac:dyDescent="0.2">
      <c r="C36" s="169" t="s">
        <v>510</v>
      </c>
    </row>
    <row r="37" spans="2:3" ht="15" x14ac:dyDescent="0.2">
      <c r="C37" s="169" t="s">
        <v>511</v>
      </c>
    </row>
    <row r="38" spans="2:3" ht="15" x14ac:dyDescent="0.2">
      <c r="C38" s="169" t="s">
        <v>512</v>
      </c>
    </row>
    <row r="40" spans="2:3" ht="15" x14ac:dyDescent="0.2">
      <c r="C40" s="169" t="s">
        <v>545</v>
      </c>
    </row>
    <row r="41" spans="2:3" ht="15" x14ac:dyDescent="0.2">
      <c r="B41" s="173"/>
      <c r="C41" s="169" t="str">
        <f>_xlfn.CONCAT("font_size = '",$A$14,"'")</f>
        <v>font_size = '24'</v>
      </c>
    </row>
    <row r="43" spans="2:3" ht="15" x14ac:dyDescent="0.2">
      <c r="C43" s="169" t="s">
        <v>547</v>
      </c>
    </row>
    <row r="45" spans="2:3" ht="15" x14ac:dyDescent="0.2">
      <c r="C45" s="169" t="s">
        <v>551</v>
      </c>
    </row>
    <row r="46" spans="2:3" ht="15" x14ac:dyDescent="0.2">
      <c r="C46" s="169" t="s">
        <v>552</v>
      </c>
    </row>
    <row r="47" spans="2:3" ht="15" x14ac:dyDescent="0.2">
      <c r="C47" s="169" t="s">
        <v>553</v>
      </c>
    </row>
    <row r="48" spans="2:3" ht="15" x14ac:dyDescent="0.2">
      <c r="C48" s="169" t="s">
        <v>552</v>
      </c>
    </row>
    <row r="49" spans="3:3" ht="15" x14ac:dyDescent="0.2">
      <c r="C49" s="169" t="s">
        <v>554</v>
      </c>
    </row>
    <row r="50" spans="3:3" ht="15" x14ac:dyDescent="0.2">
      <c r="C50" s="169" t="s">
        <v>555</v>
      </c>
    </row>
    <row r="51" spans="3:3" ht="15" x14ac:dyDescent="0.2">
      <c r="C51" s="169" t="s">
        <v>556</v>
      </c>
    </row>
    <row r="52" spans="3:3" ht="15" x14ac:dyDescent="0.2">
      <c r="C52" s="169" t="s">
        <v>557</v>
      </c>
    </row>
    <row r="53" spans="3:3" ht="15" x14ac:dyDescent="0.2">
      <c r="C53" s="169" t="s">
        <v>558</v>
      </c>
    </row>
    <row r="54" spans="3:3" ht="15" x14ac:dyDescent="0.2">
      <c r="C54" s="169" t="s">
        <v>559</v>
      </c>
    </row>
    <row r="55" spans="3:3" ht="15" x14ac:dyDescent="0.2">
      <c r="C55" s="169" t="s">
        <v>560</v>
      </c>
    </row>
    <row r="56" spans="3:3" ht="15" x14ac:dyDescent="0.2">
      <c r="C56" s="169" t="s">
        <v>561</v>
      </c>
    </row>
    <row r="57" spans="3:3" ht="15" x14ac:dyDescent="0.2">
      <c r="C57" s="169" t="s">
        <v>559</v>
      </c>
    </row>
    <row r="58" spans="3:3" ht="15" x14ac:dyDescent="0.2">
      <c r="C58" s="169" t="s">
        <v>562</v>
      </c>
    </row>
    <row r="59" spans="3:3" ht="15" x14ac:dyDescent="0.2">
      <c r="C59" s="169" t="s">
        <v>563</v>
      </c>
    </row>
    <row r="60" spans="3:3" ht="15" x14ac:dyDescent="0.2">
      <c r="C60" s="169" t="s">
        <v>564</v>
      </c>
    </row>
    <row r="61" spans="3:3" ht="15" x14ac:dyDescent="0.2">
      <c r="C61" s="169" t="s">
        <v>565</v>
      </c>
    </row>
    <row r="62" spans="3:3" ht="15" x14ac:dyDescent="0.2">
      <c r="C62" s="169" t="s">
        <v>566</v>
      </c>
    </row>
    <row r="63" spans="3:3" ht="15" x14ac:dyDescent="0.2">
      <c r="C63" s="169" t="s">
        <v>567</v>
      </c>
    </row>
    <row r="64" spans="3:3" ht="15" x14ac:dyDescent="0.2">
      <c r="C64" s="169" t="s">
        <v>568</v>
      </c>
    </row>
    <row r="65" spans="2:3" ht="15" x14ac:dyDescent="0.2">
      <c r="C65" s="169" t="s">
        <v>569</v>
      </c>
    </row>
    <row r="66" spans="2:3" ht="15" x14ac:dyDescent="0.2">
      <c r="C66" s="169"/>
    </row>
    <row r="67" spans="2:3" ht="15" x14ac:dyDescent="0.2">
      <c r="C67" s="169" t="s">
        <v>571</v>
      </c>
    </row>
    <row r="69" spans="2:3" ht="15" x14ac:dyDescent="0.2">
      <c r="C69" s="169" t="s">
        <v>1104</v>
      </c>
    </row>
    <row r="70" spans="2:3" ht="15" x14ac:dyDescent="0.2">
      <c r="C70" s="169" t="s">
        <v>1105</v>
      </c>
    </row>
    <row r="72" spans="2:3" ht="15" x14ac:dyDescent="0.2">
      <c r="C72" s="169" t="s">
        <v>574</v>
      </c>
    </row>
    <row r="73" spans="2:3" ht="15" x14ac:dyDescent="0.2">
      <c r="B73" s="173"/>
      <c r="C73" s="169" t="str">
        <f>_xlfn.CONCAT("vcm1=model_2['",$A$19,"']")</f>
        <v>vcm1=model_2['P7000048060']</v>
      </c>
    </row>
    <row r="75" spans="2:3" ht="15" x14ac:dyDescent="0.2">
      <c r="C75" s="169" t="s">
        <v>575</v>
      </c>
    </row>
    <row r="76" spans="2:3" ht="15" x14ac:dyDescent="0.2">
      <c r="B76" s="173"/>
      <c r="C76" s="169" t="str">
        <f>_xlfn.CONCAT("line1=model_2['",$A$17,"']")</f>
        <v>line1=model_2['Line']</v>
      </c>
    </row>
    <row r="77" spans="2:3" ht="15" x14ac:dyDescent="0.2">
      <c r="B77" s="173"/>
      <c r="C77" s="169" t="str">
        <f>_xlfn.CONCAT("att_lines=list(['",$A$18,"'])")</f>
        <v>att_lines=list(['Stiffener1'])</v>
      </c>
    </row>
    <row r="79" spans="2:3" ht="15" x14ac:dyDescent="0.2">
      <c r="C79" s="169" t="s">
        <v>657</v>
      </c>
    </row>
    <row r="80" spans="2:3" ht="15" x14ac:dyDescent="0.2">
      <c r="C80" s="169" t="s">
        <v>658</v>
      </c>
    </row>
    <row r="81" spans="3:3" ht="15" x14ac:dyDescent="0.2">
      <c r="C81" s="169" t="s">
        <v>659</v>
      </c>
    </row>
    <row r="82" spans="3:3" ht="15" x14ac:dyDescent="0.2">
      <c r="C82" s="169" t="s">
        <v>660</v>
      </c>
    </row>
    <row r="84" spans="3:3" ht="15" x14ac:dyDescent="0.2">
      <c r="C84" s="169" t="s">
        <v>673</v>
      </c>
    </row>
    <row r="85" spans="3:3" ht="15" x14ac:dyDescent="0.2">
      <c r="C85" s="169" t="s">
        <v>674</v>
      </c>
    </row>
    <row r="86" spans="3:3" ht="15" x14ac:dyDescent="0.2">
      <c r="C86" s="169" t="s">
        <v>675</v>
      </c>
    </row>
    <row r="87" spans="3:3" ht="15" x14ac:dyDescent="0.2">
      <c r="C87" s="169" t="s">
        <v>676</v>
      </c>
    </row>
    <row r="88" spans="3:3" ht="15" x14ac:dyDescent="0.2">
      <c r="C88" s="169" t="s">
        <v>1106</v>
      </c>
    </row>
    <row r="89" spans="3:3" ht="15" x14ac:dyDescent="0.2">
      <c r="C89" s="169" t="s">
        <v>684</v>
      </c>
    </row>
    <row r="90" spans="3:3" ht="15" x14ac:dyDescent="0.2">
      <c r="C90" s="169" t="s">
        <v>685</v>
      </c>
    </row>
    <row r="91" spans="3:3" ht="15" x14ac:dyDescent="0.2">
      <c r="C91" s="169" t="s">
        <v>686</v>
      </c>
    </row>
    <row r="92" spans="3:3" ht="15" x14ac:dyDescent="0.2">
      <c r="C92" s="169" t="s">
        <v>1107</v>
      </c>
    </row>
    <row r="93" spans="3:3" ht="15" x14ac:dyDescent="0.2">
      <c r="C93" s="169" t="s">
        <v>688</v>
      </c>
    </row>
    <row r="94" spans="3:3" ht="15" x14ac:dyDescent="0.2">
      <c r="C94" s="169" t="s">
        <v>1108</v>
      </c>
    </row>
    <row r="95" spans="3:3" ht="15" x14ac:dyDescent="0.2">
      <c r="C95" s="169" t="s">
        <v>568</v>
      </c>
    </row>
    <row r="96" spans="3:3" ht="15" x14ac:dyDescent="0.2">
      <c r="C96" s="169" t="s">
        <v>696</v>
      </c>
    </row>
    <row r="97" spans="3:3" ht="15" x14ac:dyDescent="0.2">
      <c r="C97" s="169" t="s">
        <v>1109</v>
      </c>
    </row>
    <row r="98" spans="3:3" ht="15" x14ac:dyDescent="0.2">
      <c r="C98" s="169" t="s">
        <v>698</v>
      </c>
    </row>
    <row r="99" spans="3:3" ht="15" x14ac:dyDescent="0.2">
      <c r="C99" s="169" t="s">
        <v>699</v>
      </c>
    </row>
    <row r="100" spans="3:3" ht="15" x14ac:dyDescent="0.2">
      <c r="C100" s="169" t="s">
        <v>685</v>
      </c>
    </row>
    <row r="101" spans="3:3" ht="15" x14ac:dyDescent="0.2">
      <c r="C101" s="169" t="s">
        <v>686</v>
      </c>
    </row>
    <row r="102" spans="3:3" ht="15" x14ac:dyDescent="0.2">
      <c r="C102" s="169" t="s">
        <v>687</v>
      </c>
    </row>
    <row r="103" spans="3:3" ht="15" x14ac:dyDescent="0.2">
      <c r="C103" s="169" t="s">
        <v>700</v>
      </c>
    </row>
    <row r="104" spans="3:3" ht="15" x14ac:dyDescent="0.2">
      <c r="C104" s="169" t="s">
        <v>701</v>
      </c>
    </row>
    <row r="105" spans="3:3" ht="15" x14ac:dyDescent="0.2">
      <c r="C105" s="169" t="s">
        <v>702</v>
      </c>
    </row>
    <row r="106" spans="3:3" ht="15" x14ac:dyDescent="0.2">
      <c r="C106" s="169" t="s">
        <v>703</v>
      </c>
    </row>
    <row r="107" spans="3:3" ht="15" x14ac:dyDescent="0.2">
      <c r="C107" s="169" t="s">
        <v>704</v>
      </c>
    </row>
    <row r="108" spans="3:3" ht="15" x14ac:dyDescent="0.2">
      <c r="C108" s="169" t="s">
        <v>1110</v>
      </c>
    </row>
    <row r="109" spans="3:3" ht="15" x14ac:dyDescent="0.2">
      <c r="C109" s="169" t="s">
        <v>706</v>
      </c>
    </row>
    <row r="110" spans="3:3" ht="15" x14ac:dyDescent="0.2">
      <c r="C110" s="169" t="s">
        <v>568</v>
      </c>
    </row>
    <row r="111" spans="3:3" ht="15" x14ac:dyDescent="0.2">
      <c r="C111" s="169" t="s">
        <v>707</v>
      </c>
    </row>
    <row r="112" spans="3:3" ht="15" x14ac:dyDescent="0.2">
      <c r="C112" s="169" t="s">
        <v>1111</v>
      </c>
    </row>
    <row r="113" spans="3:3" ht="15" x14ac:dyDescent="0.2">
      <c r="C113" s="169" t="s">
        <v>709</v>
      </c>
    </row>
    <row r="114" spans="3:3" ht="15" x14ac:dyDescent="0.2">
      <c r="C114" s="169" t="s">
        <v>685</v>
      </c>
    </row>
    <row r="115" spans="3:3" ht="15" x14ac:dyDescent="0.2">
      <c r="C115" s="169" t="s">
        <v>686</v>
      </c>
    </row>
    <row r="116" spans="3:3" ht="15" x14ac:dyDescent="0.2">
      <c r="C116" s="169" t="s">
        <v>687</v>
      </c>
    </row>
    <row r="117" spans="3:3" ht="15" x14ac:dyDescent="0.2">
      <c r="C117" s="169" t="s">
        <v>1112</v>
      </c>
    </row>
    <row r="118" spans="3:3" ht="15" x14ac:dyDescent="0.2">
      <c r="C118" s="169" t="s">
        <v>1113</v>
      </c>
    </row>
    <row r="119" spans="3:3" ht="15" x14ac:dyDescent="0.2">
      <c r="C119" s="169" t="s">
        <v>568</v>
      </c>
    </row>
    <row r="120" spans="3:3" ht="15" x14ac:dyDescent="0.2">
      <c r="C120" s="169" t="s">
        <v>1114</v>
      </c>
    </row>
    <row r="121" spans="3:3" ht="15" x14ac:dyDescent="0.2">
      <c r="C121" s="169" t="s">
        <v>713</v>
      </c>
    </row>
    <row r="122" spans="3:3" ht="15" x14ac:dyDescent="0.2">
      <c r="C122" s="169" t="s">
        <v>685</v>
      </c>
    </row>
    <row r="123" spans="3:3" ht="15" x14ac:dyDescent="0.2">
      <c r="C123" s="169" t="s">
        <v>686</v>
      </c>
    </row>
    <row r="124" spans="3:3" ht="15" x14ac:dyDescent="0.2">
      <c r="C124" s="169" t="s">
        <v>687</v>
      </c>
    </row>
    <row r="125" spans="3:3" ht="15" x14ac:dyDescent="0.2">
      <c r="C125" s="169" t="s">
        <v>701</v>
      </c>
    </row>
    <row r="126" spans="3:3" ht="15" x14ac:dyDescent="0.2">
      <c r="C126" s="169" t="s">
        <v>702</v>
      </c>
    </row>
    <row r="127" spans="3:3" ht="15" x14ac:dyDescent="0.2">
      <c r="C127" s="169" t="s">
        <v>703</v>
      </c>
    </row>
    <row r="128" spans="3:3" ht="15" x14ac:dyDescent="0.2">
      <c r="C128" s="169" t="s">
        <v>704</v>
      </c>
    </row>
    <row r="129" spans="3:3" ht="15" x14ac:dyDescent="0.2">
      <c r="C129" s="169" t="s">
        <v>1110</v>
      </c>
    </row>
    <row r="130" spans="3:3" ht="15" x14ac:dyDescent="0.2">
      <c r="C130" s="169" t="s">
        <v>1115</v>
      </c>
    </row>
    <row r="131" spans="3:3" ht="15" x14ac:dyDescent="0.2">
      <c r="C131" s="169" t="s">
        <v>715</v>
      </c>
    </row>
    <row r="132" spans="3:3" ht="15" x14ac:dyDescent="0.2">
      <c r="C132" s="169" t="s">
        <v>1116</v>
      </c>
    </row>
    <row r="133" spans="3:3" ht="15" x14ac:dyDescent="0.2">
      <c r="C133" s="169" t="s">
        <v>1117</v>
      </c>
    </row>
    <row r="134" spans="3:3" ht="15" x14ac:dyDescent="0.2">
      <c r="C134" s="169" t="s">
        <v>1118</v>
      </c>
    </row>
    <row r="135" spans="3:3" ht="15" x14ac:dyDescent="0.2">
      <c r="C135" s="169" t="s">
        <v>1119</v>
      </c>
    </row>
    <row r="136" spans="3:3" ht="15" x14ac:dyDescent="0.2">
      <c r="C136" s="169" t="s">
        <v>720</v>
      </c>
    </row>
    <row r="137" spans="3:3" ht="15" x14ac:dyDescent="0.2">
      <c r="C137" s="169" t="s">
        <v>721</v>
      </c>
    </row>
    <row r="138" spans="3:3" ht="15" x14ac:dyDescent="0.2">
      <c r="C138" s="169" t="s">
        <v>722</v>
      </c>
    </row>
    <row r="139" spans="3:3" ht="15" x14ac:dyDescent="0.2">
      <c r="C139" s="169" t="s">
        <v>723</v>
      </c>
    </row>
    <row r="140" spans="3:3" ht="15" x14ac:dyDescent="0.2">
      <c r="C140" s="169" t="s">
        <v>724</v>
      </c>
    </row>
    <row r="141" spans="3:3" ht="15" x14ac:dyDescent="0.2">
      <c r="C141" s="169" t="s">
        <v>725</v>
      </c>
    </row>
    <row r="142" spans="3:3" ht="15" x14ac:dyDescent="0.2">
      <c r="C142" s="169" t="s">
        <v>1120</v>
      </c>
    </row>
    <row r="143" spans="3:3" ht="15" x14ac:dyDescent="0.2">
      <c r="C143" s="169" t="s">
        <v>1121</v>
      </c>
    </row>
    <row r="144" spans="3:3" ht="15" x14ac:dyDescent="0.2">
      <c r="C144" s="169" t="s">
        <v>728</v>
      </c>
    </row>
    <row r="145" spans="2:3" ht="15" x14ac:dyDescent="0.2">
      <c r="C145" s="169" t="s">
        <v>1122</v>
      </c>
    </row>
    <row r="147" spans="2:3" ht="15" x14ac:dyDescent="0.2">
      <c r="C147" s="169" t="s">
        <v>845</v>
      </c>
    </row>
    <row r="149" spans="2:3" ht="15" x14ac:dyDescent="0.2">
      <c r="C149" s="169" t="s">
        <v>572</v>
      </c>
    </row>
    <row r="150" spans="2:3" ht="15" x14ac:dyDescent="0.2">
      <c r="C150" s="169" t="s">
        <v>1123</v>
      </c>
    </row>
    <row r="152" spans="2:3" ht="15" x14ac:dyDescent="0.2">
      <c r="C152" s="169" t="s">
        <v>574</v>
      </c>
    </row>
    <row r="153" spans="2:3" ht="15" x14ac:dyDescent="0.2">
      <c r="B153" s="173"/>
      <c r="C153" s="169" t="str">
        <f>_xlfn.CONCAT("vcm1=model['",$A$19,"']")</f>
        <v>vcm1=model['P7000048060']</v>
      </c>
    </row>
    <row r="155" spans="2:3" ht="15" x14ac:dyDescent="0.2">
      <c r="C155" s="169" t="s">
        <v>575</v>
      </c>
    </row>
    <row r="156" spans="2:3" ht="15" x14ac:dyDescent="0.2">
      <c r="B156" s="173"/>
      <c r="C156" s="169" t="str">
        <f>_xlfn.CONCAT("line1=model['",$A$17,"']")</f>
        <v>line1=model['Line']</v>
      </c>
    </row>
    <row r="157" spans="2:3" ht="15" x14ac:dyDescent="0.2">
      <c r="B157" s="173"/>
      <c r="C157" s="169" t="str">
        <f>_xlfn.CONCAT("att_lines=list(['",$A$18,"'])")</f>
        <v>att_lines=list(['Stiffener1'])</v>
      </c>
    </row>
    <row r="159" spans="2:3" ht="15" x14ac:dyDescent="0.2">
      <c r="C159" s="169" t="s">
        <v>576</v>
      </c>
    </row>
    <row r="160" spans="2:3" ht="15" x14ac:dyDescent="0.2">
      <c r="C160" s="169" t="s">
        <v>577</v>
      </c>
    </row>
    <row r="161" spans="3:3" ht="15" x14ac:dyDescent="0.2">
      <c r="C161" s="169" t="s">
        <v>578</v>
      </c>
    </row>
    <row r="162" spans="3:3" ht="15" x14ac:dyDescent="0.2">
      <c r="C162" s="169" t="s">
        <v>579</v>
      </c>
    </row>
    <row r="163" spans="3:3" ht="15" x14ac:dyDescent="0.2">
      <c r="C163" s="169" t="s">
        <v>580</v>
      </c>
    </row>
    <row r="164" spans="3:3" ht="15" x14ac:dyDescent="0.2">
      <c r="C164" s="169" t="s">
        <v>581</v>
      </c>
    </row>
    <row r="165" spans="3:3" ht="15" x14ac:dyDescent="0.2">
      <c r="C165" s="169" t="s">
        <v>582</v>
      </c>
    </row>
    <row r="167" spans="3:3" ht="15" x14ac:dyDescent="0.2">
      <c r="C167" s="169" t="s">
        <v>583</v>
      </c>
    </row>
    <row r="168" spans="3:3" ht="15" x14ac:dyDescent="0.2">
      <c r="C168" s="169" t="s">
        <v>584</v>
      </c>
    </row>
    <row r="169" spans="3:3" ht="15" x14ac:dyDescent="0.2">
      <c r="C169" s="169" t="s">
        <v>585</v>
      </c>
    </row>
    <row r="170" spans="3:3" ht="15" x14ac:dyDescent="0.2">
      <c r="C170" s="169" t="s">
        <v>586</v>
      </c>
    </row>
    <row r="171" spans="3:3" ht="15" x14ac:dyDescent="0.2">
      <c r="C171" s="169" t="s">
        <v>587</v>
      </c>
    </row>
    <row r="172" spans="3:3" ht="15" x14ac:dyDescent="0.2">
      <c r="C172" s="169" t="s">
        <v>588</v>
      </c>
    </row>
    <row r="173" spans="3:3" ht="15" x14ac:dyDescent="0.2">
      <c r="C173" s="169" t="s">
        <v>589</v>
      </c>
    </row>
    <row r="174" spans="3:3" ht="15" x14ac:dyDescent="0.2">
      <c r="C174" s="169" t="s">
        <v>590</v>
      </c>
    </row>
    <row r="175" spans="3:3" ht="15" x14ac:dyDescent="0.2">
      <c r="C175" s="169" t="s">
        <v>591</v>
      </c>
    </row>
    <row r="176" spans="3:3" ht="15" x14ac:dyDescent="0.2">
      <c r="C176" s="169" t="s">
        <v>592</v>
      </c>
    </row>
    <row r="177" spans="3:3" ht="15" x14ac:dyDescent="0.2">
      <c r="C177" s="169" t="s">
        <v>593</v>
      </c>
    </row>
    <row r="179" spans="3:3" ht="15" x14ac:dyDescent="0.2">
      <c r="C179" s="169" t="s">
        <v>594</v>
      </c>
    </row>
    <row r="180" spans="3:3" ht="15" x14ac:dyDescent="0.2">
      <c r="C180" s="169" t="s">
        <v>595</v>
      </c>
    </row>
    <row r="181" spans="3:3" ht="15" x14ac:dyDescent="0.2">
      <c r="C181" s="169" t="s">
        <v>596</v>
      </c>
    </row>
    <row r="182" spans="3:3" ht="15" x14ac:dyDescent="0.2">
      <c r="C182" s="169" t="s">
        <v>597</v>
      </c>
    </row>
    <row r="183" spans="3:3" ht="15" x14ac:dyDescent="0.2">
      <c r="C183" s="169" t="s">
        <v>598</v>
      </c>
    </row>
    <row r="184" spans="3:3" ht="15" x14ac:dyDescent="0.2">
      <c r="C184" s="169" t="s">
        <v>599</v>
      </c>
    </row>
    <row r="185" spans="3:3" ht="15" x14ac:dyDescent="0.2">
      <c r="C185" s="169" t="s">
        <v>800</v>
      </c>
    </row>
    <row r="186" spans="3:3" ht="15" x14ac:dyDescent="0.2">
      <c r="C186" s="169" t="s">
        <v>600</v>
      </c>
    </row>
    <row r="187" spans="3:3" ht="15" x14ac:dyDescent="0.2">
      <c r="C187" s="169" t="s">
        <v>588</v>
      </c>
    </row>
    <row r="188" spans="3:3" ht="15" x14ac:dyDescent="0.2">
      <c r="C188" s="169" t="s">
        <v>601</v>
      </c>
    </row>
    <row r="189" spans="3:3" ht="15" x14ac:dyDescent="0.2">
      <c r="C189" s="169" t="s">
        <v>1124</v>
      </c>
    </row>
    <row r="190" spans="3:3" ht="15" x14ac:dyDescent="0.2">
      <c r="C190" s="169" t="s">
        <v>1125</v>
      </c>
    </row>
    <row r="191" spans="3:3" ht="15" x14ac:dyDescent="0.2">
      <c r="C191" s="169" t="s">
        <v>1126</v>
      </c>
    </row>
    <row r="192" spans="3:3" ht="15" x14ac:dyDescent="0.2">
      <c r="C192" s="169" t="s">
        <v>1127</v>
      </c>
    </row>
    <row r="193" spans="3:3" ht="15" x14ac:dyDescent="0.2">
      <c r="C193" s="169" t="s">
        <v>1128</v>
      </c>
    </row>
    <row r="194" spans="3:3" ht="15" x14ac:dyDescent="0.2">
      <c r="C194" s="169" t="s">
        <v>605</v>
      </c>
    </row>
    <row r="195" spans="3:3" ht="15" x14ac:dyDescent="0.2">
      <c r="C195" s="169" t="s">
        <v>606</v>
      </c>
    </row>
    <row r="197" spans="3:3" ht="15" x14ac:dyDescent="0.2">
      <c r="C197" s="169" t="s">
        <v>607</v>
      </c>
    </row>
    <row r="198" spans="3:3" ht="15" x14ac:dyDescent="0.2">
      <c r="C198" s="169" t="s">
        <v>608</v>
      </c>
    </row>
    <row r="200" spans="3:3" ht="15" x14ac:dyDescent="0.2">
      <c r="C200" s="169" t="s">
        <v>609</v>
      </c>
    </row>
    <row r="201" spans="3:3" ht="15" x14ac:dyDescent="0.2">
      <c r="C201" s="169" t="s">
        <v>610</v>
      </c>
    </row>
    <row r="202" spans="3:3" ht="15" x14ac:dyDescent="0.2">
      <c r="C202" s="169" t="s">
        <v>611</v>
      </c>
    </row>
    <row r="203" spans="3:3" ht="15" x14ac:dyDescent="0.2">
      <c r="C203" s="169" t="s">
        <v>612</v>
      </c>
    </row>
    <row r="204" spans="3:3" ht="15" x14ac:dyDescent="0.2">
      <c r="C204" s="169" t="s">
        <v>613</v>
      </c>
    </row>
    <row r="205" spans="3:3" ht="15" x14ac:dyDescent="0.2">
      <c r="C205" s="169" t="s">
        <v>614</v>
      </c>
    </row>
    <row r="206" spans="3:3" ht="15" x14ac:dyDescent="0.2">
      <c r="C206" s="169" t="s">
        <v>615</v>
      </c>
    </row>
    <row r="207" spans="3:3" ht="15" x14ac:dyDescent="0.2">
      <c r="C207" s="169" t="s">
        <v>616</v>
      </c>
    </row>
    <row r="208" spans="3:3" ht="15" x14ac:dyDescent="0.2">
      <c r="C208" s="169" t="s">
        <v>617</v>
      </c>
    </row>
    <row r="209" spans="3:3" ht="15" x14ac:dyDescent="0.2">
      <c r="C209" s="169" t="s">
        <v>618</v>
      </c>
    </row>
    <row r="210" spans="3:3" ht="15" x14ac:dyDescent="0.2">
      <c r="C210" s="169" t="s">
        <v>619</v>
      </c>
    </row>
    <row r="211" spans="3:3" ht="15" x14ac:dyDescent="0.2">
      <c r="C211" s="169" t="s">
        <v>620</v>
      </c>
    </row>
    <row r="213" spans="3:3" ht="15" x14ac:dyDescent="0.2">
      <c r="C213" s="169" t="s">
        <v>621</v>
      </c>
    </row>
    <row r="214" spans="3:3" ht="15" x14ac:dyDescent="0.2">
      <c r="C214" s="169" t="s">
        <v>622</v>
      </c>
    </row>
    <row r="215" spans="3:3" ht="15" x14ac:dyDescent="0.2">
      <c r="C215" s="169" t="s">
        <v>623</v>
      </c>
    </row>
    <row r="216" spans="3:3" ht="15" x14ac:dyDescent="0.2">
      <c r="C216" s="169" t="s">
        <v>624</v>
      </c>
    </row>
    <row r="217" spans="3:3" ht="15" x14ac:dyDescent="0.2">
      <c r="C217" s="169" t="s">
        <v>625</v>
      </c>
    </row>
    <row r="218" spans="3:3" ht="15" x14ac:dyDescent="0.2">
      <c r="C218" s="169" t="s">
        <v>626</v>
      </c>
    </row>
    <row r="219" spans="3:3" ht="15" x14ac:dyDescent="0.2">
      <c r="C219" s="169" t="s">
        <v>627</v>
      </c>
    </row>
    <row r="220" spans="3:3" ht="15" x14ac:dyDescent="0.2">
      <c r="C220" s="169" t="s">
        <v>619</v>
      </c>
    </row>
    <row r="221" spans="3:3" ht="15" x14ac:dyDescent="0.2">
      <c r="C221" s="169" t="s">
        <v>628</v>
      </c>
    </row>
    <row r="222" spans="3:3" ht="15" x14ac:dyDescent="0.2">
      <c r="C222" s="169" t="s">
        <v>629</v>
      </c>
    </row>
    <row r="223" spans="3:3" ht="15" x14ac:dyDescent="0.2">
      <c r="C223" s="169" t="s">
        <v>630</v>
      </c>
    </row>
    <row r="224" spans="3:3" ht="15" x14ac:dyDescent="0.2">
      <c r="C224" s="169" t="s">
        <v>631</v>
      </c>
    </row>
    <row r="226" spans="3:3" ht="15" x14ac:dyDescent="0.2">
      <c r="C226" s="169" t="s">
        <v>632</v>
      </c>
    </row>
    <row r="227" spans="3:3" ht="15" x14ac:dyDescent="0.2">
      <c r="C227" s="169" t="s">
        <v>633</v>
      </c>
    </row>
    <row r="228" spans="3:3" ht="15" x14ac:dyDescent="0.2">
      <c r="C228" s="169" t="s">
        <v>634</v>
      </c>
    </row>
    <row r="229" spans="3:3" ht="15" x14ac:dyDescent="0.2">
      <c r="C229" s="169" t="s">
        <v>635</v>
      </c>
    </row>
    <row r="230" spans="3:3" ht="15" x14ac:dyDescent="0.2">
      <c r="C230" s="169" t="s">
        <v>636</v>
      </c>
    </row>
    <row r="231" spans="3:3" ht="15" x14ac:dyDescent="0.2">
      <c r="C231" s="169" t="s">
        <v>637</v>
      </c>
    </row>
    <row r="232" spans="3:3" ht="15" x14ac:dyDescent="0.2">
      <c r="C232" s="169" t="s">
        <v>638</v>
      </c>
    </row>
    <row r="234" spans="3:3" ht="15" x14ac:dyDescent="0.2">
      <c r="C234" s="169" t="s">
        <v>639</v>
      </c>
    </row>
    <row r="235" spans="3:3" ht="15" x14ac:dyDescent="0.2">
      <c r="C235" s="169" t="s">
        <v>640</v>
      </c>
    </row>
    <row r="236" spans="3:3" ht="15" x14ac:dyDescent="0.2">
      <c r="C236" s="169" t="s">
        <v>641</v>
      </c>
    </row>
    <row r="238" spans="3:3" ht="15" x14ac:dyDescent="0.2">
      <c r="C238" s="169" t="s">
        <v>642</v>
      </c>
    </row>
    <row r="239" spans="3:3" ht="15" x14ac:dyDescent="0.2">
      <c r="C239" s="169" t="s">
        <v>643</v>
      </c>
    </row>
    <row r="240" spans="3:3" ht="15" x14ac:dyDescent="0.2">
      <c r="C240" s="169" t="s">
        <v>644</v>
      </c>
    </row>
    <row r="241" spans="3:3" ht="15" x14ac:dyDescent="0.2">
      <c r="C241" s="169" t="s">
        <v>645</v>
      </c>
    </row>
    <row r="242" spans="3:3" ht="15" x14ac:dyDescent="0.2">
      <c r="C242" s="169" t="s">
        <v>646</v>
      </c>
    </row>
    <row r="243" spans="3:3" ht="15" x14ac:dyDescent="0.2">
      <c r="C243" s="169" t="s">
        <v>1129</v>
      </c>
    </row>
    <row r="244" spans="3:3" ht="15" x14ac:dyDescent="0.2">
      <c r="C244" s="169" t="s">
        <v>651</v>
      </c>
    </row>
    <row r="246" spans="3:3" ht="15" x14ac:dyDescent="0.2">
      <c r="C246" s="169" t="s">
        <v>652</v>
      </c>
    </row>
    <row r="247" spans="3:3" ht="15" x14ac:dyDescent="0.2">
      <c r="C247" s="169" t="s">
        <v>653</v>
      </c>
    </row>
    <row r="249" spans="3:3" ht="15" x14ac:dyDescent="0.2">
      <c r="C249" s="169" t="s">
        <v>654</v>
      </c>
    </row>
    <row r="250" spans="3:3" ht="15" x14ac:dyDescent="0.2">
      <c r="C250" s="169" t="s">
        <v>655</v>
      </c>
    </row>
    <row r="251" spans="3:3" ht="15" x14ac:dyDescent="0.2">
      <c r="C251" s="169" t="s">
        <v>656</v>
      </c>
    </row>
    <row r="253" spans="3:3" ht="15" x14ac:dyDescent="0.2">
      <c r="C253" s="169" t="s">
        <v>657</v>
      </c>
    </row>
    <row r="254" spans="3:3" ht="15" x14ac:dyDescent="0.2">
      <c r="C254" s="169" t="s">
        <v>658</v>
      </c>
    </row>
    <row r="255" spans="3:3" ht="15" x14ac:dyDescent="0.2">
      <c r="C255" s="169" t="s">
        <v>659</v>
      </c>
    </row>
    <row r="256" spans="3:3" ht="15" x14ac:dyDescent="0.2">
      <c r="C256" s="169" t="s">
        <v>660</v>
      </c>
    </row>
    <row r="258" spans="3:3" ht="15" x14ac:dyDescent="0.2">
      <c r="C258" s="169" t="s">
        <v>661</v>
      </c>
    </row>
    <row r="259" spans="3:3" ht="15" x14ac:dyDescent="0.2">
      <c r="C259" s="169" t="s">
        <v>662</v>
      </c>
    </row>
    <row r="260" spans="3:3" ht="15" x14ac:dyDescent="0.2">
      <c r="C260" s="169" t="s">
        <v>663</v>
      </c>
    </row>
    <row r="261" spans="3:3" ht="15" x14ac:dyDescent="0.2">
      <c r="C261" s="169" t="s">
        <v>664</v>
      </c>
    </row>
    <row r="262" spans="3:3" ht="15" x14ac:dyDescent="0.2">
      <c r="C262" s="169" t="s">
        <v>623</v>
      </c>
    </row>
    <row r="263" spans="3:3" ht="15" x14ac:dyDescent="0.2">
      <c r="C263" s="169" t="s">
        <v>624</v>
      </c>
    </row>
    <row r="264" spans="3:3" ht="15" x14ac:dyDescent="0.2">
      <c r="C264" s="169" t="s">
        <v>665</v>
      </c>
    </row>
    <row r="265" spans="3:3" ht="15" x14ac:dyDescent="0.2">
      <c r="C265" s="169" t="s">
        <v>666</v>
      </c>
    </row>
    <row r="266" spans="3:3" ht="15" x14ac:dyDescent="0.2">
      <c r="C266" s="169" t="s">
        <v>667</v>
      </c>
    </row>
    <row r="268" spans="3:3" ht="15" x14ac:dyDescent="0.2">
      <c r="C268" s="169" t="s">
        <v>668</v>
      </c>
    </row>
    <row r="269" spans="3:3" ht="15" x14ac:dyDescent="0.2">
      <c r="C269" s="169" t="s">
        <v>669</v>
      </c>
    </row>
    <row r="270" spans="3:3" ht="15" x14ac:dyDescent="0.2">
      <c r="C270" s="169" t="s">
        <v>670</v>
      </c>
    </row>
    <row r="271" spans="3:3" ht="15" x14ac:dyDescent="0.2">
      <c r="C271" s="169" t="s">
        <v>671</v>
      </c>
    </row>
    <row r="272" spans="3:3" ht="15" x14ac:dyDescent="0.2">
      <c r="C272" s="169" t="s">
        <v>672</v>
      </c>
    </row>
    <row r="274" spans="3:3" ht="15" x14ac:dyDescent="0.2">
      <c r="C274" s="169" t="s">
        <v>673</v>
      </c>
    </row>
    <row r="275" spans="3:3" ht="15" x14ac:dyDescent="0.2">
      <c r="C275" s="169" t="s">
        <v>674</v>
      </c>
    </row>
    <row r="276" spans="3:3" ht="15" x14ac:dyDescent="0.2">
      <c r="C276" s="169" t="s">
        <v>675</v>
      </c>
    </row>
    <row r="277" spans="3:3" ht="15" x14ac:dyDescent="0.2">
      <c r="C277" s="169" t="s">
        <v>676</v>
      </c>
    </row>
    <row r="278" spans="3:3" ht="15" x14ac:dyDescent="0.2">
      <c r="C278" s="169" t="s">
        <v>677</v>
      </c>
    </row>
    <row r="279" spans="3:3" ht="15" x14ac:dyDescent="0.2">
      <c r="C279" s="169" t="s">
        <v>678</v>
      </c>
    </row>
    <row r="280" spans="3:3" ht="15" x14ac:dyDescent="0.2">
      <c r="C280" s="169" t="s">
        <v>679</v>
      </c>
    </row>
    <row r="281" spans="3:3" ht="15" x14ac:dyDescent="0.2">
      <c r="C281" s="169" t="s">
        <v>680</v>
      </c>
    </row>
    <row r="282" spans="3:3" ht="15" x14ac:dyDescent="0.2">
      <c r="C282" s="169" t="s">
        <v>681</v>
      </c>
    </row>
    <row r="283" spans="3:3" ht="15" x14ac:dyDescent="0.2">
      <c r="C283" s="169" t="s">
        <v>682</v>
      </c>
    </row>
    <row r="284" spans="3:3" ht="15" x14ac:dyDescent="0.2">
      <c r="C284" s="169" t="s">
        <v>683</v>
      </c>
    </row>
    <row r="285" spans="3:3" ht="15" x14ac:dyDescent="0.2">
      <c r="C285" s="169" t="s">
        <v>684</v>
      </c>
    </row>
    <row r="286" spans="3:3" ht="15" x14ac:dyDescent="0.2">
      <c r="C286" s="169" t="s">
        <v>685</v>
      </c>
    </row>
    <row r="287" spans="3:3" ht="15" x14ac:dyDescent="0.2">
      <c r="C287" s="169" t="s">
        <v>686</v>
      </c>
    </row>
    <row r="288" spans="3:3" ht="15" x14ac:dyDescent="0.2">
      <c r="C288" s="169" t="s">
        <v>687</v>
      </c>
    </row>
    <row r="289" spans="3:3" ht="15" x14ac:dyDescent="0.2">
      <c r="C289" s="169" t="s">
        <v>688</v>
      </c>
    </row>
    <row r="290" spans="3:3" ht="15" x14ac:dyDescent="0.2">
      <c r="C290" s="169" t="s">
        <v>689</v>
      </c>
    </row>
    <row r="291" spans="3:3" ht="15" x14ac:dyDescent="0.2">
      <c r="C291" s="169" t="s">
        <v>690</v>
      </c>
    </row>
    <row r="292" spans="3:3" ht="15" x14ac:dyDescent="0.2">
      <c r="C292" s="169" t="s">
        <v>691</v>
      </c>
    </row>
    <row r="293" spans="3:3" ht="15" x14ac:dyDescent="0.2">
      <c r="C293" s="169" t="s">
        <v>692</v>
      </c>
    </row>
    <row r="294" spans="3:3" ht="15" x14ac:dyDescent="0.2">
      <c r="C294" s="169" t="s">
        <v>693</v>
      </c>
    </row>
    <row r="295" spans="3:3" ht="15" x14ac:dyDescent="0.2">
      <c r="C295" s="169" t="s">
        <v>694</v>
      </c>
    </row>
    <row r="296" spans="3:3" ht="15" x14ac:dyDescent="0.2">
      <c r="C296" s="169" t="s">
        <v>695</v>
      </c>
    </row>
    <row r="297" spans="3:3" ht="15" x14ac:dyDescent="0.2">
      <c r="C297" s="169" t="s">
        <v>568</v>
      </c>
    </row>
    <row r="298" spans="3:3" ht="15" x14ac:dyDescent="0.2">
      <c r="C298" s="169" t="s">
        <v>696</v>
      </c>
    </row>
    <row r="299" spans="3:3" ht="15" x14ac:dyDescent="0.2">
      <c r="C299" s="169" t="s">
        <v>697</v>
      </c>
    </row>
    <row r="300" spans="3:3" ht="15" x14ac:dyDescent="0.2">
      <c r="C300" s="169" t="s">
        <v>698</v>
      </c>
    </row>
    <row r="301" spans="3:3" ht="15" x14ac:dyDescent="0.2">
      <c r="C301" s="169" t="s">
        <v>699</v>
      </c>
    </row>
    <row r="302" spans="3:3" ht="15" x14ac:dyDescent="0.2">
      <c r="C302" s="169" t="s">
        <v>685</v>
      </c>
    </row>
    <row r="303" spans="3:3" ht="15" x14ac:dyDescent="0.2">
      <c r="C303" s="169" t="s">
        <v>686</v>
      </c>
    </row>
    <row r="304" spans="3:3" ht="15" x14ac:dyDescent="0.2">
      <c r="C304" s="169" t="s">
        <v>687</v>
      </c>
    </row>
    <row r="305" spans="3:3" ht="15" x14ac:dyDescent="0.2">
      <c r="C305" s="169" t="s">
        <v>700</v>
      </c>
    </row>
    <row r="306" spans="3:3" ht="15" x14ac:dyDescent="0.2">
      <c r="C306" s="169" t="s">
        <v>701</v>
      </c>
    </row>
    <row r="307" spans="3:3" ht="15" x14ac:dyDescent="0.2">
      <c r="C307" s="169" t="s">
        <v>702</v>
      </c>
    </row>
    <row r="308" spans="3:3" ht="15" x14ac:dyDescent="0.2">
      <c r="C308" s="169" t="s">
        <v>703</v>
      </c>
    </row>
    <row r="309" spans="3:3" ht="15" x14ac:dyDescent="0.2">
      <c r="C309" s="169" t="s">
        <v>704</v>
      </c>
    </row>
    <row r="310" spans="3:3" ht="15" x14ac:dyDescent="0.2">
      <c r="C310" s="169" t="s">
        <v>705</v>
      </c>
    </row>
    <row r="311" spans="3:3" ht="15" x14ac:dyDescent="0.2">
      <c r="C311" s="169" t="s">
        <v>706</v>
      </c>
    </row>
    <row r="312" spans="3:3" ht="15" x14ac:dyDescent="0.2">
      <c r="C312" s="169" t="s">
        <v>568</v>
      </c>
    </row>
    <row r="313" spans="3:3" ht="15" x14ac:dyDescent="0.2">
      <c r="C313" s="169" t="s">
        <v>707</v>
      </c>
    </row>
    <row r="314" spans="3:3" ht="15" x14ac:dyDescent="0.2">
      <c r="C314" s="169" t="s">
        <v>708</v>
      </c>
    </row>
    <row r="315" spans="3:3" ht="15" x14ac:dyDescent="0.2">
      <c r="C315" s="169" t="s">
        <v>709</v>
      </c>
    </row>
    <row r="316" spans="3:3" ht="15" x14ac:dyDescent="0.2">
      <c r="C316" s="169" t="s">
        <v>685</v>
      </c>
    </row>
    <row r="317" spans="3:3" ht="15" x14ac:dyDescent="0.2">
      <c r="C317" s="169" t="s">
        <v>686</v>
      </c>
    </row>
    <row r="318" spans="3:3" ht="15" x14ac:dyDescent="0.2">
      <c r="C318" s="169" t="s">
        <v>687</v>
      </c>
    </row>
    <row r="319" spans="3:3" ht="15" x14ac:dyDescent="0.2">
      <c r="C319" s="169" t="s">
        <v>710</v>
      </c>
    </row>
    <row r="320" spans="3:3" ht="15" x14ac:dyDescent="0.2">
      <c r="C320" s="169" t="s">
        <v>711</v>
      </c>
    </row>
    <row r="321" spans="3:3" ht="15" x14ac:dyDescent="0.2">
      <c r="C321" s="169" t="s">
        <v>568</v>
      </c>
    </row>
    <row r="322" spans="3:3" ht="15" x14ac:dyDescent="0.2">
      <c r="C322" s="169" t="s">
        <v>712</v>
      </c>
    </row>
    <row r="323" spans="3:3" ht="15" x14ac:dyDescent="0.2">
      <c r="C323" s="169" t="s">
        <v>713</v>
      </c>
    </row>
    <row r="324" spans="3:3" ht="15" x14ac:dyDescent="0.2">
      <c r="C324" s="169" t="s">
        <v>685</v>
      </c>
    </row>
    <row r="325" spans="3:3" ht="15" x14ac:dyDescent="0.2">
      <c r="C325" s="169" t="s">
        <v>686</v>
      </c>
    </row>
    <row r="326" spans="3:3" ht="15" x14ac:dyDescent="0.2">
      <c r="C326" s="169" t="s">
        <v>687</v>
      </c>
    </row>
    <row r="327" spans="3:3" ht="15" x14ac:dyDescent="0.2">
      <c r="C327" s="169" t="s">
        <v>701</v>
      </c>
    </row>
    <row r="328" spans="3:3" ht="15" x14ac:dyDescent="0.2">
      <c r="C328" s="169" t="s">
        <v>702</v>
      </c>
    </row>
    <row r="329" spans="3:3" ht="15" x14ac:dyDescent="0.2">
      <c r="C329" s="169" t="s">
        <v>703</v>
      </c>
    </row>
    <row r="330" spans="3:3" ht="15" x14ac:dyDescent="0.2">
      <c r="C330" s="169" t="s">
        <v>704</v>
      </c>
    </row>
    <row r="331" spans="3:3" ht="15" x14ac:dyDescent="0.2">
      <c r="C331" s="169" t="s">
        <v>705</v>
      </c>
    </row>
    <row r="332" spans="3:3" ht="15" x14ac:dyDescent="0.2">
      <c r="C332" s="169" t="s">
        <v>714</v>
      </c>
    </row>
    <row r="333" spans="3:3" ht="15" x14ac:dyDescent="0.2">
      <c r="C333" s="169" t="s">
        <v>715</v>
      </c>
    </row>
    <row r="334" spans="3:3" ht="15" x14ac:dyDescent="0.2">
      <c r="C334" s="169" t="s">
        <v>716</v>
      </c>
    </row>
    <row r="335" spans="3:3" ht="15" x14ac:dyDescent="0.2">
      <c r="C335" s="169" t="s">
        <v>717</v>
      </c>
    </row>
    <row r="336" spans="3:3" ht="15" x14ac:dyDescent="0.2">
      <c r="C336" s="169" t="s">
        <v>718</v>
      </c>
    </row>
    <row r="337" spans="3:3" ht="15" x14ac:dyDescent="0.2">
      <c r="C337" s="169" t="s">
        <v>719</v>
      </c>
    </row>
    <row r="338" spans="3:3" ht="15" x14ac:dyDescent="0.2">
      <c r="C338" s="169" t="s">
        <v>720</v>
      </c>
    </row>
    <row r="339" spans="3:3" ht="15" x14ac:dyDescent="0.2">
      <c r="C339" s="169" t="s">
        <v>721</v>
      </c>
    </row>
    <row r="340" spans="3:3" ht="15" x14ac:dyDescent="0.2">
      <c r="C340" s="169" t="s">
        <v>722</v>
      </c>
    </row>
    <row r="341" spans="3:3" ht="15" x14ac:dyDescent="0.2">
      <c r="C341" s="169" t="s">
        <v>723</v>
      </c>
    </row>
    <row r="342" spans="3:3" ht="15" x14ac:dyDescent="0.2">
      <c r="C342" s="169" t="s">
        <v>724</v>
      </c>
    </row>
    <row r="343" spans="3:3" ht="15" x14ac:dyDescent="0.2">
      <c r="C343" s="169" t="s">
        <v>725</v>
      </c>
    </row>
    <row r="344" spans="3:3" ht="15" x14ac:dyDescent="0.2">
      <c r="C344" s="169" t="s">
        <v>726</v>
      </c>
    </row>
    <row r="345" spans="3:3" ht="15" x14ac:dyDescent="0.2">
      <c r="C345" s="169" t="s">
        <v>727</v>
      </c>
    </row>
    <row r="346" spans="3:3" ht="15" x14ac:dyDescent="0.2">
      <c r="C346" s="169" t="s">
        <v>728</v>
      </c>
    </row>
    <row r="347" spans="3:3" ht="15" x14ac:dyDescent="0.2">
      <c r="C347" s="169" t="s">
        <v>729</v>
      </c>
    </row>
    <row r="348" spans="3:3" ht="15" x14ac:dyDescent="0.2">
      <c r="C348" s="169" t="s">
        <v>730</v>
      </c>
    </row>
    <row r="349" spans="3:3" ht="15" x14ac:dyDescent="0.2">
      <c r="C349" s="169" t="s">
        <v>731</v>
      </c>
    </row>
    <row r="350" spans="3:3" ht="15" x14ac:dyDescent="0.2">
      <c r="C350" s="169" t="s">
        <v>723</v>
      </c>
    </row>
    <row r="351" spans="3:3" ht="15" x14ac:dyDescent="0.2">
      <c r="C351" s="169" t="s">
        <v>732</v>
      </c>
    </row>
    <row r="352" spans="3:3" ht="15" x14ac:dyDescent="0.2">
      <c r="C352" s="169" t="s">
        <v>733</v>
      </c>
    </row>
    <row r="353" spans="3:3" ht="15" x14ac:dyDescent="0.2">
      <c r="C353" s="169" t="s">
        <v>734</v>
      </c>
    </row>
    <row r="354" spans="3:3" ht="15" x14ac:dyDescent="0.2">
      <c r="C354" s="169" t="s">
        <v>735</v>
      </c>
    </row>
    <row r="355" spans="3:3" ht="15" x14ac:dyDescent="0.2">
      <c r="C355" s="169" t="s">
        <v>568</v>
      </c>
    </row>
    <row r="356" spans="3:3" ht="15" x14ac:dyDescent="0.2">
      <c r="C356" s="169" t="s">
        <v>736</v>
      </c>
    </row>
    <row r="357" spans="3:3" ht="15" x14ac:dyDescent="0.2">
      <c r="C357" s="169" t="s">
        <v>737</v>
      </c>
    </row>
    <row r="358" spans="3:3" ht="15" x14ac:dyDescent="0.2">
      <c r="C358" s="169" t="s">
        <v>738</v>
      </c>
    </row>
    <row r="359" spans="3:3" ht="15" x14ac:dyDescent="0.2">
      <c r="C359" s="169" t="s">
        <v>723</v>
      </c>
    </row>
    <row r="360" spans="3:3" ht="15" x14ac:dyDescent="0.2">
      <c r="C360" s="169" t="s">
        <v>739</v>
      </c>
    </row>
    <row r="361" spans="3:3" ht="15" x14ac:dyDescent="0.2">
      <c r="C361" s="169" t="s">
        <v>740</v>
      </c>
    </row>
    <row r="362" spans="3:3" ht="15" x14ac:dyDescent="0.2">
      <c r="C362" s="169" t="s">
        <v>741</v>
      </c>
    </row>
    <row r="363" spans="3:3" ht="15" x14ac:dyDescent="0.2">
      <c r="C363" s="169" t="s">
        <v>742</v>
      </c>
    </row>
    <row r="364" spans="3:3" ht="15" x14ac:dyDescent="0.2">
      <c r="C364" s="169" t="s">
        <v>743</v>
      </c>
    </row>
    <row r="365" spans="3:3" ht="15" x14ac:dyDescent="0.2">
      <c r="C365" s="169" t="s">
        <v>744</v>
      </c>
    </row>
    <row r="366" spans="3:3" ht="15" x14ac:dyDescent="0.2">
      <c r="C366" s="169" t="s">
        <v>745</v>
      </c>
    </row>
    <row r="367" spans="3:3" ht="15" x14ac:dyDescent="0.2">
      <c r="C367" s="169" t="s">
        <v>746</v>
      </c>
    </row>
    <row r="368" spans="3:3" ht="15" x14ac:dyDescent="0.2">
      <c r="C368" s="169" t="s">
        <v>747</v>
      </c>
    </row>
    <row r="370" spans="3:3" ht="15" x14ac:dyDescent="0.2">
      <c r="C370" s="169" t="s">
        <v>748</v>
      </c>
    </row>
    <row r="371" spans="3:3" ht="15" x14ac:dyDescent="0.2">
      <c r="C371" s="169" t="s">
        <v>749</v>
      </c>
    </row>
    <row r="372" spans="3:3" ht="15" x14ac:dyDescent="0.2">
      <c r="C372" s="169" t="s">
        <v>750</v>
      </c>
    </row>
    <row r="373" spans="3:3" ht="15" x14ac:dyDescent="0.2">
      <c r="C373" s="169" t="s">
        <v>751</v>
      </c>
    </row>
    <row r="374" spans="3:3" ht="15" x14ac:dyDescent="0.2">
      <c r="C374" s="169" t="s">
        <v>752</v>
      </c>
    </row>
    <row r="375" spans="3:3" ht="15" x14ac:dyDescent="0.2">
      <c r="C375" s="169" t="s">
        <v>753</v>
      </c>
    </row>
    <row r="376" spans="3:3" ht="15" x14ac:dyDescent="0.2">
      <c r="C376" s="169" t="s">
        <v>754</v>
      </c>
    </row>
    <row r="377" spans="3:3" ht="15" x14ac:dyDescent="0.2">
      <c r="C377" s="169" t="s">
        <v>755</v>
      </c>
    </row>
    <row r="378" spans="3:3" ht="15" x14ac:dyDescent="0.2">
      <c r="C378" s="169" t="s">
        <v>623</v>
      </c>
    </row>
    <row r="379" spans="3:3" ht="15" x14ac:dyDescent="0.2">
      <c r="C379" s="169" t="s">
        <v>624</v>
      </c>
    </row>
    <row r="380" spans="3:3" ht="15" x14ac:dyDescent="0.2">
      <c r="C380" s="169" t="s">
        <v>756</v>
      </c>
    </row>
    <row r="381" spans="3:3" ht="15" x14ac:dyDescent="0.2">
      <c r="C381" s="169" t="s">
        <v>757</v>
      </c>
    </row>
    <row r="382" spans="3:3" ht="15" x14ac:dyDescent="0.2">
      <c r="C382" s="169" t="s">
        <v>758</v>
      </c>
    </row>
    <row r="383" spans="3:3" ht="15" x14ac:dyDescent="0.2">
      <c r="C383" s="169" t="s">
        <v>759</v>
      </c>
    </row>
    <row r="384" spans="3:3" ht="15" x14ac:dyDescent="0.2">
      <c r="C384" s="169" t="s">
        <v>760</v>
      </c>
    </row>
    <row r="385" spans="3:3" ht="15" x14ac:dyDescent="0.2">
      <c r="C385" s="169" t="s">
        <v>761</v>
      </c>
    </row>
    <row r="386" spans="3:3" ht="15" x14ac:dyDescent="0.2">
      <c r="C386" s="169" t="s">
        <v>762</v>
      </c>
    </row>
    <row r="387" spans="3:3" ht="15" x14ac:dyDescent="0.2">
      <c r="C387" s="169" t="s">
        <v>763</v>
      </c>
    </row>
    <row r="388" spans="3:3" ht="15" x14ac:dyDescent="0.2">
      <c r="C388" s="169" t="s">
        <v>764</v>
      </c>
    </row>
    <row r="389" spans="3:3" ht="15" x14ac:dyDescent="0.2">
      <c r="C389" s="169" t="s">
        <v>765</v>
      </c>
    </row>
    <row r="390" spans="3:3" ht="15" x14ac:dyDescent="0.2">
      <c r="C390" s="169" t="s">
        <v>766</v>
      </c>
    </row>
    <row r="391" spans="3:3" ht="15" x14ac:dyDescent="0.2">
      <c r="C391" s="169" t="s">
        <v>767</v>
      </c>
    </row>
    <row r="392" spans="3:3" ht="15" x14ac:dyDescent="0.2">
      <c r="C392" s="169" t="s">
        <v>597</v>
      </c>
    </row>
    <row r="393" spans="3:3" ht="15" x14ac:dyDescent="0.2">
      <c r="C393" s="169" t="s">
        <v>768</v>
      </c>
    </row>
    <row r="394" spans="3:3" ht="15" x14ac:dyDescent="0.2">
      <c r="C394" s="169" t="s">
        <v>769</v>
      </c>
    </row>
    <row r="395" spans="3:3" ht="15" x14ac:dyDescent="0.2">
      <c r="C395" s="169" t="s">
        <v>770</v>
      </c>
    </row>
    <row r="396" spans="3:3" ht="15" x14ac:dyDescent="0.2">
      <c r="C396" s="169" t="s">
        <v>771</v>
      </c>
    </row>
    <row r="397" spans="3:3" ht="15" x14ac:dyDescent="0.2">
      <c r="C397" s="169" t="s">
        <v>772</v>
      </c>
    </row>
    <row r="398" spans="3:3" ht="15" x14ac:dyDescent="0.2">
      <c r="C398" s="169" t="s">
        <v>773</v>
      </c>
    </row>
    <row r="399" spans="3:3" ht="15" x14ac:dyDescent="0.2">
      <c r="C399" s="169" t="s">
        <v>1130</v>
      </c>
    </row>
    <row r="400" spans="3:3" ht="15" x14ac:dyDescent="0.2">
      <c r="C400" s="169" t="s">
        <v>774</v>
      </c>
    </row>
    <row r="401" spans="3:3" ht="15" x14ac:dyDescent="0.2">
      <c r="C401" s="169" t="s">
        <v>775</v>
      </c>
    </row>
    <row r="402" spans="3:3" ht="15" x14ac:dyDescent="0.2">
      <c r="C402" s="169" t="s">
        <v>776</v>
      </c>
    </row>
    <row r="403" spans="3:3" ht="15" x14ac:dyDescent="0.2">
      <c r="C403" s="169" t="s">
        <v>777</v>
      </c>
    </row>
    <row r="404" spans="3:3" ht="15" x14ac:dyDescent="0.2">
      <c r="C404" s="169" t="s">
        <v>778</v>
      </c>
    </row>
    <row r="405" spans="3:3" ht="15" x14ac:dyDescent="0.2">
      <c r="C405" s="169" t="s">
        <v>779</v>
      </c>
    </row>
    <row r="406" spans="3:3" ht="15" x14ac:dyDescent="0.2">
      <c r="C406" s="169" t="s">
        <v>780</v>
      </c>
    </row>
    <row r="407" spans="3:3" ht="15" x14ac:dyDescent="0.2">
      <c r="C407" s="169" t="s">
        <v>774</v>
      </c>
    </row>
    <row r="408" spans="3:3" ht="15" x14ac:dyDescent="0.2">
      <c r="C408" s="169" t="s">
        <v>775</v>
      </c>
    </row>
    <row r="409" spans="3:3" ht="15" x14ac:dyDescent="0.2">
      <c r="C409" s="169" t="s">
        <v>776</v>
      </c>
    </row>
    <row r="410" spans="3:3" ht="15" x14ac:dyDescent="0.2">
      <c r="C410" s="169" t="s">
        <v>777</v>
      </c>
    </row>
    <row r="411" spans="3:3" ht="15" x14ac:dyDescent="0.2">
      <c r="C411" s="169" t="s">
        <v>778</v>
      </c>
    </row>
    <row r="412" spans="3:3" ht="15" x14ac:dyDescent="0.2">
      <c r="C412" s="169" t="s">
        <v>781</v>
      </c>
    </row>
    <row r="413" spans="3:3" ht="15" x14ac:dyDescent="0.2">
      <c r="C413" s="169" t="s">
        <v>782</v>
      </c>
    </row>
    <row r="415" spans="3:3" ht="15" x14ac:dyDescent="0.2">
      <c r="C415" s="169" t="s">
        <v>783</v>
      </c>
    </row>
    <row r="416" spans="3:3" ht="15" x14ac:dyDescent="0.2">
      <c r="C416" s="169" t="s">
        <v>784</v>
      </c>
    </row>
    <row r="417" spans="3:3" ht="15" x14ac:dyDescent="0.2">
      <c r="C417" s="169" t="s">
        <v>785</v>
      </c>
    </row>
    <row r="419" spans="3:3" ht="15" x14ac:dyDescent="0.2">
      <c r="C419" s="169" t="s">
        <v>786</v>
      </c>
    </row>
    <row r="420" spans="3:3" ht="15" x14ac:dyDescent="0.2">
      <c r="C420" s="169" t="s">
        <v>787</v>
      </c>
    </row>
    <row r="421" spans="3:3" ht="15" x14ac:dyDescent="0.2">
      <c r="C421" s="169" t="s">
        <v>788</v>
      </c>
    </row>
    <row r="422" spans="3:3" ht="15" x14ac:dyDescent="0.2">
      <c r="C422" s="169" t="s">
        <v>789</v>
      </c>
    </row>
    <row r="423" spans="3:3" ht="15" x14ac:dyDescent="0.2">
      <c r="C423" s="169" t="s">
        <v>790</v>
      </c>
    </row>
    <row r="424" spans="3:3" ht="15" x14ac:dyDescent="0.2">
      <c r="C424" s="169" t="s">
        <v>791</v>
      </c>
    </row>
    <row r="425" spans="3:3" ht="15" x14ac:dyDescent="0.2">
      <c r="C425" s="169" t="s">
        <v>792</v>
      </c>
    </row>
    <row r="427" spans="3:3" ht="15" x14ac:dyDescent="0.2">
      <c r="C427" s="169" t="s">
        <v>793</v>
      </c>
    </row>
    <row r="428" spans="3:3" ht="15" x14ac:dyDescent="0.2">
      <c r="C428" s="169" t="s">
        <v>794</v>
      </c>
    </row>
    <row r="429" spans="3:3" ht="15" x14ac:dyDescent="0.2">
      <c r="C429" s="169" t="s">
        <v>795</v>
      </c>
    </row>
    <row r="430" spans="3:3" ht="15" x14ac:dyDescent="0.2">
      <c r="C430" s="169" t="s">
        <v>796</v>
      </c>
    </row>
    <row r="431" spans="3:3" ht="15" x14ac:dyDescent="0.2">
      <c r="C431" s="169" t="s">
        <v>797</v>
      </c>
    </row>
    <row r="432" spans="3:3" ht="15" x14ac:dyDescent="0.2">
      <c r="C432" s="169" t="s">
        <v>798</v>
      </c>
    </row>
    <row r="433" spans="3:3" ht="15" x14ac:dyDescent="0.2">
      <c r="C433" s="169" t="s">
        <v>799</v>
      </c>
    </row>
    <row r="434" spans="3:3" ht="15" x14ac:dyDescent="0.2">
      <c r="C434" s="169" t="s">
        <v>795</v>
      </c>
    </row>
    <row r="435" spans="3:3" ht="15" x14ac:dyDescent="0.2">
      <c r="C435" s="169" t="s">
        <v>796</v>
      </c>
    </row>
    <row r="436" spans="3:3" ht="15" x14ac:dyDescent="0.2">
      <c r="C436" s="169" t="s">
        <v>797</v>
      </c>
    </row>
    <row r="437" spans="3:3" ht="15" x14ac:dyDescent="0.2">
      <c r="C437" s="169" t="s">
        <v>800</v>
      </c>
    </row>
    <row r="438" spans="3:3" ht="15" x14ac:dyDescent="0.2">
      <c r="C438" s="169" t="s">
        <v>787</v>
      </c>
    </row>
    <row r="439" spans="3:3" ht="15" x14ac:dyDescent="0.2">
      <c r="C439" s="169" t="s">
        <v>801</v>
      </c>
    </row>
    <row r="440" spans="3:3" ht="15" x14ac:dyDescent="0.2">
      <c r="C440" s="169" t="s">
        <v>802</v>
      </c>
    </row>
    <row r="441" spans="3:3" ht="15" x14ac:dyDescent="0.2">
      <c r="C441" s="169" t="s">
        <v>790</v>
      </c>
    </row>
    <row r="442" spans="3:3" ht="15" x14ac:dyDescent="0.2">
      <c r="C442" s="169" t="s">
        <v>803</v>
      </c>
    </row>
    <row r="443" spans="3:3" ht="15" x14ac:dyDescent="0.2">
      <c r="C443" s="169" t="s">
        <v>1037</v>
      </c>
    </row>
    <row r="444" spans="3:3" ht="15" x14ac:dyDescent="0.2">
      <c r="C444" s="169"/>
    </row>
    <row r="445" spans="3:3" ht="15" x14ac:dyDescent="0.2">
      <c r="C445" s="169" t="s">
        <v>805</v>
      </c>
    </row>
    <row r="446" spans="3:3" ht="15" x14ac:dyDescent="0.2">
      <c r="C446" s="169" t="s">
        <v>806</v>
      </c>
    </row>
    <row r="447" spans="3:3" ht="15" x14ac:dyDescent="0.2">
      <c r="C447" s="169" t="s">
        <v>807</v>
      </c>
    </row>
    <row r="448" spans="3:3" ht="15" x14ac:dyDescent="0.2">
      <c r="C448" s="169" t="s">
        <v>808</v>
      </c>
    </row>
    <row r="449" spans="3:3" ht="15" x14ac:dyDescent="0.2">
      <c r="C449" s="169" t="s">
        <v>809</v>
      </c>
    </row>
    <row r="451" spans="3:3" ht="15" x14ac:dyDescent="0.2">
      <c r="C451" s="169" t="s">
        <v>810</v>
      </c>
    </row>
    <row r="452" spans="3:3" ht="15" x14ac:dyDescent="0.2">
      <c r="C452" s="169" t="s">
        <v>811</v>
      </c>
    </row>
    <row r="453" spans="3:3" ht="15" x14ac:dyDescent="0.2">
      <c r="C453" s="169" t="s">
        <v>613</v>
      </c>
    </row>
    <row r="454" spans="3:3" ht="15" x14ac:dyDescent="0.2">
      <c r="C454" s="169" t="s">
        <v>812</v>
      </c>
    </row>
    <row r="455" spans="3:3" ht="15" x14ac:dyDescent="0.2">
      <c r="C455" s="169" t="s">
        <v>813</v>
      </c>
    </row>
    <row r="456" spans="3:3" ht="15" x14ac:dyDescent="0.2">
      <c r="C456" s="169" t="s">
        <v>814</v>
      </c>
    </row>
    <row r="457" spans="3:3" ht="15" x14ac:dyDescent="0.2">
      <c r="C457" s="169" t="s">
        <v>815</v>
      </c>
    </row>
    <row r="458" spans="3:3" ht="15" x14ac:dyDescent="0.2">
      <c r="C458" s="169" t="s">
        <v>816</v>
      </c>
    </row>
    <row r="459" spans="3:3" ht="15" x14ac:dyDescent="0.2">
      <c r="C459" s="169" t="s">
        <v>817</v>
      </c>
    </row>
    <row r="460" spans="3:3" ht="15" x14ac:dyDescent="0.2">
      <c r="C460" s="169" t="s">
        <v>818</v>
      </c>
    </row>
    <row r="461" spans="3:3" ht="15" x14ac:dyDescent="0.2">
      <c r="C461" s="169" t="s">
        <v>819</v>
      </c>
    </row>
    <row r="462" spans="3:3" ht="15" x14ac:dyDescent="0.2">
      <c r="C462" s="169" t="s">
        <v>820</v>
      </c>
    </row>
    <row r="463" spans="3:3" ht="15" x14ac:dyDescent="0.2">
      <c r="C463" s="169" t="s">
        <v>821</v>
      </c>
    </row>
    <row r="464" spans="3:3" ht="15" x14ac:dyDescent="0.2">
      <c r="C464" s="169" t="s">
        <v>815</v>
      </c>
    </row>
    <row r="465" spans="3:3" ht="15" x14ac:dyDescent="0.2">
      <c r="C465" s="169" t="s">
        <v>816</v>
      </c>
    </row>
    <row r="466" spans="3:3" ht="15" x14ac:dyDescent="0.2">
      <c r="C466" s="169" t="s">
        <v>817</v>
      </c>
    </row>
    <row r="467" spans="3:3" ht="15" x14ac:dyDescent="0.2">
      <c r="C467" s="169" t="s">
        <v>818</v>
      </c>
    </row>
    <row r="468" spans="3:3" ht="15" x14ac:dyDescent="0.2">
      <c r="C468" s="169" t="s">
        <v>819</v>
      </c>
    </row>
    <row r="469" spans="3:3" ht="15" x14ac:dyDescent="0.2">
      <c r="C469" s="169" t="s">
        <v>1131</v>
      </c>
    </row>
    <row r="470" spans="3:3" ht="15" x14ac:dyDescent="0.2">
      <c r="C470" s="169" t="s">
        <v>1132</v>
      </c>
    </row>
    <row r="471" spans="3:3" ht="15" x14ac:dyDescent="0.2">
      <c r="C471" s="169" t="s">
        <v>1133</v>
      </c>
    </row>
    <row r="473" spans="3:3" ht="15" x14ac:dyDescent="0.2">
      <c r="C473" s="169" t="s">
        <v>1134</v>
      </c>
    </row>
    <row r="474" spans="3:3" ht="15" x14ac:dyDescent="0.2">
      <c r="C474" s="169" t="s">
        <v>826</v>
      </c>
    </row>
    <row r="475" spans="3:3" ht="15" x14ac:dyDescent="0.2">
      <c r="C475" s="169" t="s">
        <v>827</v>
      </c>
    </row>
    <row r="477" spans="3:3" ht="15" x14ac:dyDescent="0.2">
      <c r="C477" s="169" t="s">
        <v>845</v>
      </c>
    </row>
    <row r="479" spans="3:3" ht="15" x14ac:dyDescent="0.2">
      <c r="C479" s="169" t="s">
        <v>846</v>
      </c>
    </row>
    <row r="480" spans="3:3" ht="15" x14ac:dyDescent="0.2">
      <c r="C480" s="169" t="s">
        <v>1135</v>
      </c>
    </row>
    <row r="481" spans="3:3" ht="15" x14ac:dyDescent="0.2">
      <c r="C481" s="169" t="s">
        <v>1136</v>
      </c>
    </row>
    <row r="482" spans="3:3" ht="15" x14ac:dyDescent="0.2">
      <c r="C482" s="169" t="s">
        <v>849</v>
      </c>
    </row>
    <row r="483" spans="3:3" ht="15" x14ac:dyDescent="0.2">
      <c r="C483" s="169" t="s">
        <v>850</v>
      </c>
    </row>
    <row r="485" spans="3:3" ht="15" x14ac:dyDescent="0.2">
      <c r="C485" s="169" t="s">
        <v>851</v>
      </c>
    </row>
    <row r="486" spans="3:3" ht="15" x14ac:dyDescent="0.2">
      <c r="C486" s="169" t="s">
        <v>852</v>
      </c>
    </row>
    <row r="487" spans="3:3" ht="15" x14ac:dyDescent="0.2">
      <c r="C487" s="169" t="s">
        <v>853</v>
      </c>
    </row>
    <row r="488" spans="3:3" ht="15" x14ac:dyDescent="0.2">
      <c r="C488" s="169" t="s">
        <v>854</v>
      </c>
    </row>
    <row r="489" spans="3:3" ht="15" x14ac:dyDescent="0.2">
      <c r="C489" s="169" t="s">
        <v>855</v>
      </c>
    </row>
    <row r="490" spans="3:3" ht="15" x14ac:dyDescent="0.2">
      <c r="C490" s="169" t="s">
        <v>856</v>
      </c>
    </row>
    <row r="491" spans="3:3" ht="15" x14ac:dyDescent="0.2">
      <c r="C491" s="169" t="s">
        <v>857</v>
      </c>
    </row>
    <row r="492" spans="3:3" ht="15" x14ac:dyDescent="0.2">
      <c r="C492" s="169" t="s">
        <v>858</v>
      </c>
    </row>
    <row r="493" spans="3:3" ht="15" x14ac:dyDescent="0.2">
      <c r="C493" s="169" t="s">
        <v>859</v>
      </c>
    </row>
    <row r="494" spans="3:3" ht="15" x14ac:dyDescent="0.2">
      <c r="C494" s="169" t="s">
        <v>860</v>
      </c>
    </row>
    <row r="495" spans="3:3" ht="15" x14ac:dyDescent="0.2">
      <c r="C495" s="169" t="s">
        <v>861</v>
      </c>
    </row>
    <row r="496" spans="3:3" ht="15" x14ac:dyDescent="0.2">
      <c r="C496" s="169" t="s">
        <v>862</v>
      </c>
    </row>
    <row r="497" spans="3:3" ht="15" x14ac:dyDescent="0.2">
      <c r="C497" s="169" t="s">
        <v>863</v>
      </c>
    </row>
    <row r="499" spans="3:3" ht="15" x14ac:dyDescent="0.2">
      <c r="C499" s="169" t="s">
        <v>864</v>
      </c>
    </row>
    <row r="501" spans="3:3" ht="15" x14ac:dyDescent="0.2">
      <c r="C501" s="169" t="s">
        <v>865</v>
      </c>
    </row>
    <row r="502" spans="3:3" ht="15" x14ac:dyDescent="0.2">
      <c r="C502" s="169" t="s">
        <v>866</v>
      </c>
    </row>
    <row r="503" spans="3:3" ht="15" x14ac:dyDescent="0.2">
      <c r="C503" s="169" t="s">
        <v>867</v>
      </c>
    </row>
    <row r="504" spans="3:3" ht="15" x14ac:dyDescent="0.2">
      <c r="C504" s="169" t="s">
        <v>868</v>
      </c>
    </row>
    <row r="505" spans="3:3" ht="15" x14ac:dyDescent="0.2">
      <c r="C505" s="169" t="s">
        <v>869</v>
      </c>
    </row>
    <row r="506" spans="3:3" ht="15" x14ac:dyDescent="0.2">
      <c r="C506" s="169" t="s">
        <v>870</v>
      </c>
    </row>
    <row r="507" spans="3:3" ht="15" x14ac:dyDescent="0.2">
      <c r="C507" s="169" t="s">
        <v>849</v>
      </c>
    </row>
    <row r="509" spans="3:3" ht="15" x14ac:dyDescent="0.2">
      <c r="C509" s="169" t="s">
        <v>871</v>
      </c>
    </row>
    <row r="510" spans="3:3" ht="15" x14ac:dyDescent="0.2">
      <c r="C510" s="169" t="s">
        <v>872</v>
      </c>
    </row>
    <row r="512" spans="3:3" ht="15" x14ac:dyDescent="0.2">
      <c r="C512" s="169" t="s">
        <v>873</v>
      </c>
    </row>
    <row r="513" spans="3:3" ht="15" x14ac:dyDescent="0.2">
      <c r="C513" s="169" t="s">
        <v>874</v>
      </c>
    </row>
    <row r="514" spans="3:3" ht="15" x14ac:dyDescent="0.2">
      <c r="C514" s="169" t="s">
        <v>875</v>
      </c>
    </row>
    <row r="515" spans="3:3" ht="15" x14ac:dyDescent="0.2">
      <c r="C515" s="169" t="s">
        <v>876</v>
      </c>
    </row>
    <row r="516" spans="3:3" ht="15" x14ac:dyDescent="0.2">
      <c r="C516" s="169" t="s">
        <v>877</v>
      </c>
    </row>
    <row r="517" spans="3:3" ht="15" x14ac:dyDescent="0.2">
      <c r="C517" s="169" t="s">
        <v>878</v>
      </c>
    </row>
    <row r="519" spans="3:3" ht="15" x14ac:dyDescent="0.2">
      <c r="C519" s="169" t="s">
        <v>873</v>
      </c>
    </row>
    <row r="520" spans="3:3" ht="15" x14ac:dyDescent="0.2">
      <c r="C520" s="169" t="s">
        <v>879</v>
      </c>
    </row>
    <row r="521" spans="3:3" ht="15" x14ac:dyDescent="0.2">
      <c r="C521" s="169" t="s">
        <v>880</v>
      </c>
    </row>
    <row r="522" spans="3:3" ht="15" x14ac:dyDescent="0.2">
      <c r="C522" s="169" t="s">
        <v>881</v>
      </c>
    </row>
    <row r="523" spans="3:3" ht="15" x14ac:dyDescent="0.2">
      <c r="C523" s="169" t="s">
        <v>882</v>
      </c>
    </row>
    <row r="525" spans="3:3" ht="15" x14ac:dyDescent="0.2">
      <c r="C525" s="169" t="s">
        <v>883</v>
      </c>
    </row>
    <row r="526" spans="3:3" ht="15" x14ac:dyDescent="0.2">
      <c r="C526" s="169" t="s">
        <v>884</v>
      </c>
    </row>
    <row r="527" spans="3:3" ht="15" x14ac:dyDescent="0.2">
      <c r="C527" s="169" t="s">
        <v>885</v>
      </c>
    </row>
    <row r="528" spans="3:3" ht="15" x14ac:dyDescent="0.2">
      <c r="C528" s="169" t="s">
        <v>886</v>
      </c>
    </row>
    <row r="529" spans="3:3" ht="15" x14ac:dyDescent="0.2">
      <c r="C529" s="169" t="s">
        <v>887</v>
      </c>
    </row>
    <row r="531" spans="3:3" ht="15" x14ac:dyDescent="0.2">
      <c r="C531" s="169" t="s">
        <v>888</v>
      </c>
    </row>
    <row r="532" spans="3:3" ht="15" x14ac:dyDescent="0.2">
      <c r="C532" s="169" t="s">
        <v>889</v>
      </c>
    </row>
    <row r="533" spans="3:3" ht="15" x14ac:dyDescent="0.2">
      <c r="C533" s="169" t="s">
        <v>623</v>
      </c>
    </row>
    <row r="534" spans="3:3" ht="15" x14ac:dyDescent="0.2">
      <c r="C534" s="169" t="s">
        <v>624</v>
      </c>
    </row>
    <row r="535" spans="3:3" ht="15" x14ac:dyDescent="0.2">
      <c r="C535" s="169" t="s">
        <v>890</v>
      </c>
    </row>
    <row r="536" spans="3:3" ht="15" x14ac:dyDescent="0.2">
      <c r="C536" s="169" t="s">
        <v>891</v>
      </c>
    </row>
    <row r="537" spans="3:3" ht="15" x14ac:dyDescent="0.2">
      <c r="C537" s="169" t="s">
        <v>892</v>
      </c>
    </row>
    <row r="539" spans="3:3" ht="15" x14ac:dyDescent="0.2">
      <c r="C539" s="169" t="s">
        <v>893</v>
      </c>
    </row>
    <row r="540" spans="3:3" ht="15" x14ac:dyDescent="0.2">
      <c r="C540" s="169" t="s">
        <v>624</v>
      </c>
    </row>
    <row r="542" spans="3:3" ht="15" x14ac:dyDescent="0.2">
      <c r="C542" s="169" t="s">
        <v>894</v>
      </c>
    </row>
    <row r="543" spans="3:3" ht="15" x14ac:dyDescent="0.2">
      <c r="C543" s="169" t="s">
        <v>895</v>
      </c>
    </row>
    <row r="544" spans="3:3" ht="15" x14ac:dyDescent="0.2">
      <c r="C544" s="169" t="s">
        <v>896</v>
      </c>
    </row>
    <row r="546" spans="3:3" ht="15" x14ac:dyDescent="0.2">
      <c r="C546" s="169" t="s">
        <v>897</v>
      </c>
    </row>
    <row r="547" spans="3:3" ht="15" x14ac:dyDescent="0.2">
      <c r="C547" s="169" t="s">
        <v>898</v>
      </c>
    </row>
    <row r="548" spans="3:3" ht="15" x14ac:dyDescent="0.2">
      <c r="C548" s="169" t="s">
        <v>899</v>
      </c>
    </row>
    <row r="549" spans="3:3" ht="15" x14ac:dyDescent="0.2">
      <c r="C549" s="169" t="s">
        <v>900</v>
      </c>
    </row>
    <row r="550" spans="3:3" ht="15" x14ac:dyDescent="0.2">
      <c r="C550" s="169" t="s">
        <v>901</v>
      </c>
    </row>
    <row r="552" spans="3:3" ht="15" x14ac:dyDescent="0.2">
      <c r="C552" s="169" t="s">
        <v>919</v>
      </c>
    </row>
    <row r="553" spans="3:3" ht="15" x14ac:dyDescent="0.2">
      <c r="C553" s="169" t="s">
        <v>920</v>
      </c>
    </row>
    <row r="554" spans="3:3" ht="15" x14ac:dyDescent="0.2">
      <c r="C554" s="169" t="s">
        <v>921</v>
      </c>
    </row>
    <row r="555" spans="3:3" ht="15" x14ac:dyDescent="0.2">
      <c r="C555" s="169" t="s">
        <v>922</v>
      </c>
    </row>
    <row r="556" spans="3:3" ht="15" x14ac:dyDescent="0.2">
      <c r="C556" s="169" t="s">
        <v>923</v>
      </c>
    </row>
    <row r="557" spans="3:3" ht="15" x14ac:dyDescent="0.2">
      <c r="C557" s="169" t="s">
        <v>924</v>
      </c>
    </row>
    <row r="558" spans="3:3" ht="15" x14ac:dyDescent="0.2">
      <c r="C558" s="169" t="s">
        <v>925</v>
      </c>
    </row>
    <row r="559" spans="3:3" ht="15" x14ac:dyDescent="0.2">
      <c r="C559" s="169" t="s">
        <v>926</v>
      </c>
    </row>
    <row r="560" spans="3:3" ht="15" x14ac:dyDescent="0.2">
      <c r="C560" s="169" t="s">
        <v>927</v>
      </c>
    </row>
    <row r="561" spans="3:3" ht="15" x14ac:dyDescent="0.2">
      <c r="C561" s="169" t="s">
        <v>1137</v>
      </c>
    </row>
    <row r="562" spans="3:3" ht="15" x14ac:dyDescent="0.2">
      <c r="C562" s="169" t="s">
        <v>1138</v>
      </c>
    </row>
    <row r="563" spans="3:3" ht="15" x14ac:dyDescent="0.2">
      <c r="C563" s="169" t="s">
        <v>1139</v>
      </c>
    </row>
    <row r="564" spans="3:3" ht="15" x14ac:dyDescent="0.2">
      <c r="C564" s="169" t="s">
        <v>1140</v>
      </c>
    </row>
    <row r="565" spans="3:3" ht="15" x14ac:dyDescent="0.2">
      <c r="C565" s="169" t="s">
        <v>1141</v>
      </c>
    </row>
    <row r="566" spans="3:3" ht="15" x14ac:dyDescent="0.2">
      <c r="C566" s="169" t="s">
        <v>1142</v>
      </c>
    </row>
    <row r="567" spans="3:3" ht="15" x14ac:dyDescent="0.2">
      <c r="C567" s="169" t="s">
        <v>1143</v>
      </c>
    </row>
    <row r="568" spans="3:3" ht="15" x14ac:dyDescent="0.2">
      <c r="C568" s="169" t="s">
        <v>1144</v>
      </c>
    </row>
    <row r="569" spans="3:3" ht="15" x14ac:dyDescent="0.2">
      <c r="C569" s="169" t="s">
        <v>928</v>
      </c>
    </row>
    <row r="570" spans="3:3" ht="15" x14ac:dyDescent="0.2">
      <c r="C570" s="169" t="s">
        <v>929</v>
      </c>
    </row>
    <row r="571" spans="3:3" ht="15" x14ac:dyDescent="0.2">
      <c r="C571" s="169" t="s">
        <v>930</v>
      </c>
    </row>
    <row r="572" spans="3:3" ht="15" x14ac:dyDescent="0.2">
      <c r="C572" s="169" t="s">
        <v>931</v>
      </c>
    </row>
    <row r="573" spans="3:3" ht="15" x14ac:dyDescent="0.2">
      <c r="C573" s="169" t="s">
        <v>932</v>
      </c>
    </row>
    <row r="574" spans="3:3" ht="15" x14ac:dyDescent="0.2">
      <c r="C574" s="169" t="s">
        <v>933</v>
      </c>
    </row>
    <row r="575" spans="3:3" ht="15" x14ac:dyDescent="0.2">
      <c r="C575" s="169" t="s">
        <v>934</v>
      </c>
    </row>
    <row r="576" spans="3:3" ht="15" x14ac:dyDescent="0.2">
      <c r="C576" s="169" t="s">
        <v>935</v>
      </c>
    </row>
    <row r="577" spans="3:3" ht="15" x14ac:dyDescent="0.2">
      <c r="C577" s="169" t="s">
        <v>936</v>
      </c>
    </row>
    <row r="578" spans="3:3" ht="15" x14ac:dyDescent="0.2">
      <c r="C578" s="169" t="s">
        <v>937</v>
      </c>
    </row>
    <row r="579" spans="3:3" ht="15" x14ac:dyDescent="0.2">
      <c r="C579" s="169" t="s">
        <v>938</v>
      </c>
    </row>
    <row r="580" spans="3:3" ht="15" x14ac:dyDescent="0.2">
      <c r="C580" s="169" t="s">
        <v>939</v>
      </c>
    </row>
    <row r="581" spans="3:3" ht="15" x14ac:dyDescent="0.2">
      <c r="C581" s="169" t="s">
        <v>940</v>
      </c>
    </row>
    <row r="582" spans="3:3" ht="15" x14ac:dyDescent="0.2">
      <c r="C582" s="169" t="s">
        <v>777</v>
      </c>
    </row>
    <row r="583" spans="3:3" ht="15" x14ac:dyDescent="0.2">
      <c r="C583" s="169" t="s">
        <v>941</v>
      </c>
    </row>
    <row r="584" spans="3:3" ht="15" x14ac:dyDescent="0.2">
      <c r="C584" s="169" t="s">
        <v>1145</v>
      </c>
    </row>
    <row r="585" spans="3:3" ht="15" x14ac:dyDescent="0.2">
      <c r="C585" s="169" t="s">
        <v>1146</v>
      </c>
    </row>
    <row r="586" spans="3:3" ht="15" x14ac:dyDescent="0.2">
      <c r="C586" s="169" t="s">
        <v>943</v>
      </c>
    </row>
    <row r="587" spans="3:3" ht="15" x14ac:dyDescent="0.2">
      <c r="C587" s="169" t="s">
        <v>944</v>
      </c>
    </row>
    <row r="588" spans="3:3" ht="15" x14ac:dyDescent="0.2">
      <c r="C588" s="169" t="s">
        <v>945</v>
      </c>
    </row>
    <row r="589" spans="3:3" ht="15" x14ac:dyDescent="0.2">
      <c r="C589" s="169" t="s">
        <v>946</v>
      </c>
    </row>
    <row r="590" spans="3:3" ht="15" x14ac:dyDescent="0.2">
      <c r="C590" s="169" t="s">
        <v>947</v>
      </c>
    </row>
    <row r="592" spans="3:3" ht="15" x14ac:dyDescent="0.2">
      <c r="C592" s="169" t="s">
        <v>948</v>
      </c>
    </row>
    <row r="593" spans="3:3" ht="15" x14ac:dyDescent="0.2">
      <c r="C593" s="169" t="s">
        <v>949</v>
      </c>
    </row>
    <row r="595" spans="3:3" ht="15" x14ac:dyDescent="0.2">
      <c r="C595" s="169" t="s">
        <v>950</v>
      </c>
    </row>
    <row r="596" spans="3:3" ht="15" x14ac:dyDescent="0.2">
      <c r="C596" s="169" t="s">
        <v>951</v>
      </c>
    </row>
    <row r="597" spans="3:3" ht="15" x14ac:dyDescent="0.2">
      <c r="C597" s="169" t="s">
        <v>1147</v>
      </c>
    </row>
    <row r="598" spans="3:3" ht="15" x14ac:dyDescent="0.2">
      <c r="C598" s="169" t="s">
        <v>1148</v>
      </c>
    </row>
    <row r="599" spans="3:3" ht="15" x14ac:dyDescent="0.2">
      <c r="C599" s="169" t="s">
        <v>977</v>
      </c>
    </row>
    <row r="600" spans="3:3" ht="15" x14ac:dyDescent="0.2">
      <c r="C600" s="169" t="s">
        <v>978</v>
      </c>
    </row>
    <row r="602" spans="3:3" ht="15" x14ac:dyDescent="0.2">
      <c r="C602" s="169" t="s">
        <v>903</v>
      </c>
    </row>
    <row r="603" spans="3:3" ht="15" x14ac:dyDescent="0.2">
      <c r="C603" s="169" t="s">
        <v>979</v>
      </c>
    </row>
    <row r="604" spans="3:3" ht="15" x14ac:dyDescent="0.2">
      <c r="C604" s="169" t="s">
        <v>980</v>
      </c>
    </row>
    <row r="605" spans="3:3" ht="15" x14ac:dyDescent="0.2">
      <c r="C605" s="169" t="s">
        <v>906</v>
      </c>
    </row>
    <row r="606" spans="3:3" ht="15" x14ac:dyDescent="0.2">
      <c r="C606" s="169" t="s">
        <v>914</v>
      </c>
    </row>
    <row r="607" spans="3:3" ht="15" x14ac:dyDescent="0.2">
      <c r="C607" s="169" t="s">
        <v>981</v>
      </c>
    </row>
    <row r="608" spans="3:3" ht="15" x14ac:dyDescent="0.2">
      <c r="C608" s="169" t="s">
        <v>917</v>
      </c>
    </row>
    <row r="609" spans="3:3" ht="15" x14ac:dyDescent="0.2">
      <c r="C609" s="169" t="s">
        <v>849</v>
      </c>
    </row>
    <row r="611" spans="3:3" ht="15" x14ac:dyDescent="0.2">
      <c r="C611" s="169" t="s">
        <v>845</v>
      </c>
    </row>
    <row r="612" spans="3:3" ht="15" x14ac:dyDescent="0.2">
      <c r="C612" s="169" t="s">
        <v>1019</v>
      </c>
    </row>
    <row r="613" spans="3:3" ht="15" x14ac:dyDescent="0.2">
      <c r="C613" s="169" t="s">
        <v>1020</v>
      </c>
    </row>
    <row r="615" spans="3:3" ht="15" x14ac:dyDescent="0.2">
      <c r="C615" s="169" t="s">
        <v>1021</v>
      </c>
    </row>
    <row r="616" spans="3:3" ht="15" x14ac:dyDescent="0.2">
      <c r="C616" s="169" t="s">
        <v>1022</v>
      </c>
    </row>
    <row r="617" spans="3:3" ht="15" x14ac:dyDescent="0.2">
      <c r="C617" s="169" t="s">
        <v>1023</v>
      </c>
    </row>
    <row r="619" spans="3:3" ht="15" x14ac:dyDescent="0.2">
      <c r="C619" s="169" t="s">
        <v>1024</v>
      </c>
    </row>
    <row r="620" spans="3:3" ht="15" x14ac:dyDescent="0.2">
      <c r="C620" s="169" t="s">
        <v>1025</v>
      </c>
    </row>
    <row r="621" spans="3:3" ht="15" x14ac:dyDescent="0.2">
      <c r="C621" s="169" t="s">
        <v>1026</v>
      </c>
    </row>
    <row r="622" spans="3:3" ht="15" x14ac:dyDescent="0.2">
      <c r="C622" s="169" t="s">
        <v>1027</v>
      </c>
    </row>
    <row r="624" spans="3:3" ht="15" x14ac:dyDescent="0.2">
      <c r="C624" s="169" t="s">
        <v>1028</v>
      </c>
    </row>
    <row r="625" spans="3:3" x14ac:dyDescent="0.2">
      <c r="C625" s="170" t="s">
        <v>1029</v>
      </c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512D6D"/>
  </sheetPr>
  <dimension ref="A1:D625"/>
  <sheetViews>
    <sheetView workbookViewId="0"/>
  </sheetViews>
  <sheetFormatPr defaultColWidth="0" defaultRowHeight="12.75" x14ac:dyDescent="0.2"/>
  <cols>
    <col min="1" max="1" width="24.7109375" style="50" customWidth="1"/>
    <col min="2" max="2" width="9.140625" style="50" customWidth="1"/>
    <col min="3" max="3" width="120.7109375" style="170" customWidth="1"/>
    <col min="4" max="4" width="1.7109375" style="50" customWidth="1"/>
    <col min="5" max="16384" width="9.140625" style="50" hidden="1"/>
  </cols>
  <sheetData>
    <row r="1" spans="1:3" ht="15.75" thickBot="1" x14ac:dyDescent="0.25">
      <c r="A1" s="171" t="s">
        <v>1631</v>
      </c>
      <c r="C1" s="169" t="s">
        <v>490</v>
      </c>
    </row>
    <row r="2" spans="1:3" ht="16.5" thickTop="1" thickBot="1" x14ac:dyDescent="0.25">
      <c r="A2" s="172" t="str">
        <f>_xlfn.CONCAT(Results!C32,".sim")</f>
        <v>Estatico.sim</v>
      </c>
      <c r="C2" s="169" t="s">
        <v>491</v>
      </c>
    </row>
    <row r="3" spans="1:3" ht="13.5" thickBot="1" x14ac:dyDescent="0.25"/>
    <row r="4" spans="1:3" ht="15.75" thickBot="1" x14ac:dyDescent="0.25">
      <c r="A4" s="171" t="s">
        <v>1633</v>
      </c>
      <c r="C4" s="169" t="s">
        <v>2135</v>
      </c>
    </row>
    <row r="5" spans="1:3" ht="16.5" thickTop="1" thickBot="1" x14ac:dyDescent="0.25">
      <c r="A5" s="166" t="str">
        <f>CONCATENATE(Results!C41,".png")</f>
        <v>Cont2.png</v>
      </c>
      <c r="C5" s="169" t="s">
        <v>2136</v>
      </c>
    </row>
    <row r="6" spans="1:3" ht="15.75" thickBot="1" x14ac:dyDescent="0.25">
      <c r="C6" s="169" t="s">
        <v>492</v>
      </c>
    </row>
    <row r="7" spans="1:3" ht="15.75" thickBot="1" x14ac:dyDescent="0.25">
      <c r="A7" s="171" t="s">
        <v>1634</v>
      </c>
      <c r="C7" s="169" t="s">
        <v>493</v>
      </c>
    </row>
    <row r="8" spans="1:3" ht="16.5" thickTop="1" thickBot="1" x14ac:dyDescent="0.25">
      <c r="A8" s="166" t="str">
        <f>CONCATENATE("Figuras\", Results!C41,".py")</f>
        <v>Figuras\Cont2.py</v>
      </c>
      <c r="C8" s="169" t="s">
        <v>494</v>
      </c>
    </row>
    <row r="9" spans="1:3" ht="15.75" thickBot="1" x14ac:dyDescent="0.25">
      <c r="C9" s="169" t="s">
        <v>495</v>
      </c>
    </row>
    <row r="10" spans="1:3" ht="15.75" thickBot="1" x14ac:dyDescent="0.25">
      <c r="A10" s="171" t="s">
        <v>1752</v>
      </c>
      <c r="C10" s="169" t="s">
        <v>496</v>
      </c>
    </row>
    <row r="11" spans="1:3" ht="16.5" thickTop="1" thickBot="1" x14ac:dyDescent="0.25">
      <c r="A11" s="166" t="str">
        <f>_xlfn.CONCAT(Results!C41,".sim")</f>
        <v>Cont2.sim</v>
      </c>
      <c r="C11" s="169" t="s">
        <v>497</v>
      </c>
    </row>
    <row r="12" spans="1:3" ht="13.5" thickBot="1" x14ac:dyDescent="0.25"/>
    <row r="13" spans="1:3" ht="15.75" thickBot="1" x14ac:dyDescent="0.25">
      <c r="A13" s="171" t="s">
        <v>498</v>
      </c>
      <c r="C13" s="169" t="s">
        <v>499</v>
      </c>
    </row>
    <row r="14" spans="1:3" s="33" customFormat="1" ht="16.5" thickTop="1" thickBot="1" x14ac:dyDescent="0.25">
      <c r="A14" s="166">
        <f>Results!C50</f>
        <v>24</v>
      </c>
      <c r="C14" s="647" t="s">
        <v>2152</v>
      </c>
    </row>
    <row r="15" spans="1:3" s="33" customFormat="1" ht="15.75" thickBot="1" x14ac:dyDescent="0.25">
      <c r="A15" s="165"/>
      <c r="C15" s="647" t="s">
        <v>2195</v>
      </c>
    </row>
    <row r="16" spans="1:3" s="33" customFormat="1" ht="15.75" thickBot="1" x14ac:dyDescent="0.25">
      <c r="A16" s="167" t="s">
        <v>500</v>
      </c>
      <c r="C16" s="647" t="s">
        <v>2196</v>
      </c>
    </row>
    <row r="17" spans="1:3" ht="13.5" thickTop="1" x14ac:dyDescent="0.2">
      <c r="A17" s="174" t="str">
        <f>'2nd_Post_Processing'!$L$6</f>
        <v>Line</v>
      </c>
      <c r="B17" s="33"/>
      <c r="C17" s="649"/>
    </row>
    <row r="18" spans="1:3" ht="15" x14ac:dyDescent="0.2">
      <c r="A18" s="163" t="str">
        <f>'2nd_Post_Processing'!$L$7</f>
        <v>Stiffener1</v>
      </c>
      <c r="B18" s="33"/>
      <c r="C18" s="647" t="s">
        <v>501</v>
      </c>
    </row>
    <row r="19" spans="1:3" ht="15.75" thickBot="1" x14ac:dyDescent="0.25">
      <c r="A19" s="175" t="str">
        <f>'2nd_Post_Processing'!$L$8</f>
        <v>P7000048060</v>
      </c>
      <c r="B19" s="650"/>
      <c r="C19" s="647" t="str">
        <f>_xlfn.CONCAT("filename_static = glob.glob(fr'{workspace_dir}\",$A$2,"')[0]")</f>
        <v>filename_static = glob.glob(fr'{workspace_dir}\Estatico.sim')[0]</v>
      </c>
    </row>
    <row r="20" spans="1:3" x14ac:dyDescent="0.2">
      <c r="B20" s="33"/>
      <c r="C20" s="649"/>
    </row>
    <row r="21" spans="1:3" ht="15" x14ac:dyDescent="0.2">
      <c r="B21" s="33"/>
      <c r="C21" s="647" t="s">
        <v>1103</v>
      </c>
    </row>
    <row r="22" spans="1:3" ht="15" x14ac:dyDescent="0.2">
      <c r="B22" s="650"/>
      <c r="C22" s="647" t="str">
        <f>_xlfn.CONCAT("filename_cont = glob.glob(fr'{workspace_dir}\",$A$11,"')[0]")</f>
        <v>filename_cont = glob.glob(fr'{workspace_dir}\Cont2.sim')[0]</v>
      </c>
    </row>
    <row r="23" spans="1:3" x14ac:dyDescent="0.2">
      <c r="B23" s="33"/>
      <c r="C23" s="649"/>
    </row>
    <row r="24" spans="1:3" ht="15" x14ac:dyDescent="0.2">
      <c r="B24" s="33"/>
      <c r="C24" s="647" t="s">
        <v>502</v>
      </c>
    </row>
    <row r="25" spans="1:3" ht="15" x14ac:dyDescent="0.2">
      <c r="B25" s="650"/>
      <c r="C25" s="647" t="str">
        <f>_xlfn.CONCAT("pngname = fr'{figure_dir}\",$A$5,"'")</f>
        <v>pngname = fr'{figure_dir}\Cont2.png'</v>
      </c>
    </row>
    <row r="28" spans="1:3" ht="15" x14ac:dyDescent="0.2">
      <c r="C28" s="169" t="s">
        <v>504</v>
      </c>
    </row>
    <row r="30" spans="1:3" ht="15" x14ac:dyDescent="0.2">
      <c r="C30" s="169" t="s">
        <v>505</v>
      </c>
    </row>
    <row r="31" spans="1:3" ht="15" x14ac:dyDescent="0.2">
      <c r="C31" s="169" t="s">
        <v>506</v>
      </c>
    </row>
    <row r="32" spans="1:3" ht="15" x14ac:dyDescent="0.2">
      <c r="C32" s="169" t="s">
        <v>507</v>
      </c>
    </row>
    <row r="34" spans="2:3" ht="15" x14ac:dyDescent="0.2">
      <c r="C34" s="169" t="s">
        <v>508</v>
      </c>
    </row>
    <row r="35" spans="2:3" ht="15" x14ac:dyDescent="0.2">
      <c r="C35" s="169" t="s">
        <v>509</v>
      </c>
    </row>
    <row r="36" spans="2:3" ht="15" x14ac:dyDescent="0.2">
      <c r="C36" s="169" t="s">
        <v>510</v>
      </c>
    </row>
    <row r="37" spans="2:3" ht="15" x14ac:dyDescent="0.2">
      <c r="C37" s="169" t="s">
        <v>511</v>
      </c>
    </row>
    <row r="38" spans="2:3" ht="15" x14ac:dyDescent="0.2">
      <c r="C38" s="169" t="s">
        <v>512</v>
      </c>
    </row>
    <row r="40" spans="2:3" ht="15" x14ac:dyDescent="0.2">
      <c r="C40" s="169" t="s">
        <v>545</v>
      </c>
    </row>
    <row r="41" spans="2:3" ht="15" x14ac:dyDescent="0.2">
      <c r="B41" s="173"/>
      <c r="C41" s="169" t="str">
        <f>_xlfn.CONCAT("font_size = '",$A$14,"'")</f>
        <v>font_size = '24'</v>
      </c>
    </row>
    <row r="43" spans="2:3" ht="15" x14ac:dyDescent="0.2">
      <c r="C43" s="169" t="s">
        <v>547</v>
      </c>
    </row>
    <row r="45" spans="2:3" ht="15" x14ac:dyDescent="0.2">
      <c r="C45" s="169" t="s">
        <v>551</v>
      </c>
    </row>
    <row r="46" spans="2:3" ht="15" x14ac:dyDescent="0.2">
      <c r="C46" s="169" t="s">
        <v>552</v>
      </c>
    </row>
    <row r="47" spans="2:3" ht="15" x14ac:dyDescent="0.2">
      <c r="C47" s="169" t="s">
        <v>553</v>
      </c>
    </row>
    <row r="48" spans="2:3" ht="15" x14ac:dyDescent="0.2">
      <c r="C48" s="169" t="s">
        <v>552</v>
      </c>
    </row>
    <row r="49" spans="3:3" ht="15" x14ac:dyDescent="0.2">
      <c r="C49" s="169" t="s">
        <v>554</v>
      </c>
    </row>
    <row r="50" spans="3:3" ht="15" x14ac:dyDescent="0.2">
      <c r="C50" s="169" t="s">
        <v>555</v>
      </c>
    </row>
    <row r="51" spans="3:3" ht="15" x14ac:dyDescent="0.2">
      <c r="C51" s="169" t="s">
        <v>556</v>
      </c>
    </row>
    <row r="52" spans="3:3" ht="15" x14ac:dyDescent="0.2">
      <c r="C52" s="169" t="s">
        <v>557</v>
      </c>
    </row>
    <row r="53" spans="3:3" ht="15" x14ac:dyDescent="0.2">
      <c r="C53" s="169" t="s">
        <v>558</v>
      </c>
    </row>
    <row r="54" spans="3:3" ht="15" x14ac:dyDescent="0.2">
      <c r="C54" s="169" t="s">
        <v>559</v>
      </c>
    </row>
    <row r="55" spans="3:3" ht="15" x14ac:dyDescent="0.2">
      <c r="C55" s="169" t="s">
        <v>560</v>
      </c>
    </row>
    <row r="56" spans="3:3" ht="15" x14ac:dyDescent="0.2">
      <c r="C56" s="169" t="s">
        <v>561</v>
      </c>
    </row>
    <row r="57" spans="3:3" ht="15" x14ac:dyDescent="0.2">
      <c r="C57" s="169" t="s">
        <v>559</v>
      </c>
    </row>
    <row r="58" spans="3:3" ht="15" x14ac:dyDescent="0.2">
      <c r="C58" s="169" t="s">
        <v>562</v>
      </c>
    </row>
    <row r="59" spans="3:3" ht="15" x14ac:dyDescent="0.2">
      <c r="C59" s="169" t="s">
        <v>563</v>
      </c>
    </row>
    <row r="60" spans="3:3" ht="15" x14ac:dyDescent="0.2">
      <c r="C60" s="169" t="s">
        <v>564</v>
      </c>
    </row>
    <row r="61" spans="3:3" ht="15" x14ac:dyDescent="0.2">
      <c r="C61" s="169" t="s">
        <v>565</v>
      </c>
    </row>
    <row r="62" spans="3:3" ht="15" x14ac:dyDescent="0.2">
      <c r="C62" s="169" t="s">
        <v>566</v>
      </c>
    </row>
    <row r="63" spans="3:3" ht="15" x14ac:dyDescent="0.2">
      <c r="C63" s="169" t="s">
        <v>567</v>
      </c>
    </row>
    <row r="64" spans="3:3" ht="15" x14ac:dyDescent="0.2">
      <c r="C64" s="169" t="s">
        <v>568</v>
      </c>
    </row>
    <row r="65" spans="2:3" ht="15" x14ac:dyDescent="0.2">
      <c r="C65" s="169" t="s">
        <v>569</v>
      </c>
    </row>
    <row r="66" spans="2:3" ht="15" x14ac:dyDescent="0.2">
      <c r="C66" s="169" t="s">
        <v>570</v>
      </c>
    </row>
    <row r="67" spans="2:3" ht="15" x14ac:dyDescent="0.2">
      <c r="C67" s="169" t="s">
        <v>571</v>
      </c>
    </row>
    <row r="69" spans="2:3" ht="15" x14ac:dyDescent="0.2">
      <c r="C69" s="169" t="s">
        <v>1104</v>
      </c>
    </row>
    <row r="70" spans="2:3" ht="15" x14ac:dyDescent="0.2">
      <c r="C70" s="169" t="s">
        <v>1105</v>
      </c>
    </row>
    <row r="72" spans="2:3" ht="15" x14ac:dyDescent="0.2">
      <c r="C72" s="169" t="s">
        <v>574</v>
      </c>
    </row>
    <row r="73" spans="2:3" ht="15" x14ac:dyDescent="0.2">
      <c r="B73" s="173"/>
      <c r="C73" s="169" t="str">
        <f>_xlfn.CONCAT("vcm1=model_2['",$A$19,"']")</f>
        <v>vcm1=model_2['P7000048060']</v>
      </c>
    </row>
    <row r="75" spans="2:3" ht="15" x14ac:dyDescent="0.2">
      <c r="C75" s="169" t="s">
        <v>575</v>
      </c>
    </row>
    <row r="76" spans="2:3" ht="15" x14ac:dyDescent="0.2">
      <c r="B76" s="173"/>
      <c r="C76" s="169" t="str">
        <f>_xlfn.CONCAT("line1=model_2['",$A$17,"']")</f>
        <v>line1=model_2['Line']</v>
      </c>
    </row>
    <row r="77" spans="2:3" ht="15" x14ac:dyDescent="0.2">
      <c r="B77" s="173"/>
      <c r="C77" s="169" t="str">
        <f>_xlfn.CONCAT("att_lines=list(['",$A$18,"'])")</f>
        <v>att_lines=list(['Stiffener1'])</v>
      </c>
    </row>
    <row r="79" spans="2:3" ht="15" x14ac:dyDescent="0.2">
      <c r="C79" s="169" t="s">
        <v>657</v>
      </c>
    </row>
    <row r="80" spans="2:3" ht="15" x14ac:dyDescent="0.2">
      <c r="C80" s="169" t="s">
        <v>658</v>
      </c>
    </row>
    <row r="81" spans="3:3" ht="15" x14ac:dyDescent="0.2">
      <c r="C81" s="169" t="s">
        <v>659</v>
      </c>
    </row>
    <row r="82" spans="3:3" ht="15" x14ac:dyDescent="0.2">
      <c r="C82" s="169" t="s">
        <v>660</v>
      </c>
    </row>
    <row r="84" spans="3:3" ht="15" x14ac:dyDescent="0.2">
      <c r="C84" s="169" t="s">
        <v>673</v>
      </c>
    </row>
    <row r="85" spans="3:3" ht="15" x14ac:dyDescent="0.2">
      <c r="C85" s="169" t="s">
        <v>674</v>
      </c>
    </row>
    <row r="86" spans="3:3" ht="15" x14ac:dyDescent="0.2">
      <c r="C86" s="169" t="s">
        <v>675</v>
      </c>
    </row>
    <row r="87" spans="3:3" ht="15" x14ac:dyDescent="0.2">
      <c r="C87" s="169" t="s">
        <v>676</v>
      </c>
    </row>
    <row r="88" spans="3:3" ht="15" x14ac:dyDescent="0.2">
      <c r="C88" s="169" t="s">
        <v>1106</v>
      </c>
    </row>
    <row r="89" spans="3:3" ht="15" x14ac:dyDescent="0.2">
      <c r="C89" s="169" t="s">
        <v>684</v>
      </c>
    </row>
    <row r="90" spans="3:3" ht="15" x14ac:dyDescent="0.2">
      <c r="C90" s="169" t="s">
        <v>685</v>
      </c>
    </row>
    <row r="91" spans="3:3" ht="15" x14ac:dyDescent="0.2">
      <c r="C91" s="169" t="s">
        <v>686</v>
      </c>
    </row>
    <row r="92" spans="3:3" ht="15" x14ac:dyDescent="0.2">
      <c r="C92" s="169" t="s">
        <v>1107</v>
      </c>
    </row>
    <row r="93" spans="3:3" ht="15" x14ac:dyDescent="0.2">
      <c r="C93" s="169" t="s">
        <v>688</v>
      </c>
    </row>
    <row r="94" spans="3:3" ht="15" x14ac:dyDescent="0.2">
      <c r="C94" s="169" t="s">
        <v>1108</v>
      </c>
    </row>
    <row r="95" spans="3:3" ht="15" x14ac:dyDescent="0.2">
      <c r="C95" s="169" t="s">
        <v>568</v>
      </c>
    </row>
    <row r="96" spans="3:3" ht="15" x14ac:dyDescent="0.2">
      <c r="C96" s="169" t="s">
        <v>696</v>
      </c>
    </row>
    <row r="97" spans="3:3" ht="15" x14ac:dyDescent="0.2">
      <c r="C97" s="169" t="s">
        <v>1109</v>
      </c>
    </row>
    <row r="98" spans="3:3" ht="15" x14ac:dyDescent="0.2">
      <c r="C98" s="169" t="s">
        <v>698</v>
      </c>
    </row>
    <row r="99" spans="3:3" ht="15" x14ac:dyDescent="0.2">
      <c r="C99" s="169" t="s">
        <v>699</v>
      </c>
    </row>
    <row r="100" spans="3:3" ht="15" x14ac:dyDescent="0.2">
      <c r="C100" s="169" t="s">
        <v>685</v>
      </c>
    </row>
    <row r="101" spans="3:3" ht="15" x14ac:dyDescent="0.2">
      <c r="C101" s="169" t="s">
        <v>686</v>
      </c>
    </row>
    <row r="102" spans="3:3" ht="15" x14ac:dyDescent="0.2">
      <c r="C102" s="169" t="s">
        <v>687</v>
      </c>
    </row>
    <row r="103" spans="3:3" ht="15" x14ac:dyDescent="0.2">
      <c r="C103" s="169" t="s">
        <v>700</v>
      </c>
    </row>
    <row r="104" spans="3:3" ht="15" x14ac:dyDescent="0.2">
      <c r="C104" s="169" t="s">
        <v>701</v>
      </c>
    </row>
    <row r="105" spans="3:3" ht="15" x14ac:dyDescent="0.2">
      <c r="C105" s="169" t="s">
        <v>702</v>
      </c>
    </row>
    <row r="106" spans="3:3" ht="15" x14ac:dyDescent="0.2">
      <c r="C106" s="169" t="s">
        <v>703</v>
      </c>
    </row>
    <row r="107" spans="3:3" ht="15" x14ac:dyDescent="0.2">
      <c r="C107" s="169" t="s">
        <v>704</v>
      </c>
    </row>
    <row r="108" spans="3:3" ht="15" x14ac:dyDescent="0.2">
      <c r="C108" s="169" t="s">
        <v>1110</v>
      </c>
    </row>
    <row r="109" spans="3:3" ht="15" x14ac:dyDescent="0.2">
      <c r="C109" s="169" t="s">
        <v>706</v>
      </c>
    </row>
    <row r="110" spans="3:3" ht="15" x14ac:dyDescent="0.2">
      <c r="C110" s="169" t="s">
        <v>568</v>
      </c>
    </row>
    <row r="111" spans="3:3" ht="15" x14ac:dyDescent="0.2">
      <c r="C111" s="169" t="s">
        <v>707</v>
      </c>
    </row>
    <row r="112" spans="3:3" ht="15" x14ac:dyDescent="0.2">
      <c r="C112" s="169" t="s">
        <v>1111</v>
      </c>
    </row>
    <row r="113" spans="3:3" ht="15" x14ac:dyDescent="0.2">
      <c r="C113" s="169" t="s">
        <v>709</v>
      </c>
    </row>
    <row r="114" spans="3:3" ht="15" x14ac:dyDescent="0.2">
      <c r="C114" s="169" t="s">
        <v>685</v>
      </c>
    </row>
    <row r="115" spans="3:3" ht="15" x14ac:dyDescent="0.2">
      <c r="C115" s="169" t="s">
        <v>686</v>
      </c>
    </row>
    <row r="116" spans="3:3" ht="15" x14ac:dyDescent="0.2">
      <c r="C116" s="169" t="s">
        <v>687</v>
      </c>
    </row>
    <row r="117" spans="3:3" ht="15" x14ac:dyDescent="0.2">
      <c r="C117" s="169" t="s">
        <v>1112</v>
      </c>
    </row>
    <row r="118" spans="3:3" ht="15" x14ac:dyDescent="0.2">
      <c r="C118" s="169" t="s">
        <v>1113</v>
      </c>
    </row>
    <row r="119" spans="3:3" ht="15" x14ac:dyDescent="0.2">
      <c r="C119" s="169" t="s">
        <v>568</v>
      </c>
    </row>
    <row r="120" spans="3:3" ht="15" x14ac:dyDescent="0.2">
      <c r="C120" s="169" t="s">
        <v>1114</v>
      </c>
    </row>
    <row r="121" spans="3:3" ht="15" x14ac:dyDescent="0.2">
      <c r="C121" s="169" t="s">
        <v>713</v>
      </c>
    </row>
    <row r="122" spans="3:3" ht="15" x14ac:dyDescent="0.2">
      <c r="C122" s="169" t="s">
        <v>685</v>
      </c>
    </row>
    <row r="123" spans="3:3" ht="15" x14ac:dyDescent="0.2">
      <c r="C123" s="169" t="s">
        <v>686</v>
      </c>
    </row>
    <row r="124" spans="3:3" ht="15" x14ac:dyDescent="0.2">
      <c r="C124" s="169" t="s">
        <v>687</v>
      </c>
    </row>
    <row r="125" spans="3:3" ht="15" x14ac:dyDescent="0.2">
      <c r="C125" s="169" t="s">
        <v>701</v>
      </c>
    </row>
    <row r="126" spans="3:3" ht="15" x14ac:dyDescent="0.2">
      <c r="C126" s="169" t="s">
        <v>702</v>
      </c>
    </row>
    <row r="127" spans="3:3" ht="15" x14ac:dyDescent="0.2">
      <c r="C127" s="169" t="s">
        <v>703</v>
      </c>
    </row>
    <row r="128" spans="3:3" ht="15" x14ac:dyDescent="0.2">
      <c r="C128" s="169" t="s">
        <v>704</v>
      </c>
    </row>
    <row r="129" spans="3:3" ht="15" x14ac:dyDescent="0.2">
      <c r="C129" s="169" t="s">
        <v>1110</v>
      </c>
    </row>
    <row r="130" spans="3:3" ht="15" x14ac:dyDescent="0.2">
      <c r="C130" s="169" t="s">
        <v>1115</v>
      </c>
    </row>
    <row r="131" spans="3:3" ht="15" x14ac:dyDescent="0.2">
      <c r="C131" s="169" t="s">
        <v>715</v>
      </c>
    </row>
    <row r="132" spans="3:3" ht="15" x14ac:dyDescent="0.2">
      <c r="C132" s="169" t="s">
        <v>1116</v>
      </c>
    </row>
    <row r="133" spans="3:3" ht="15" x14ac:dyDescent="0.2">
      <c r="C133" s="169" t="s">
        <v>1117</v>
      </c>
    </row>
    <row r="134" spans="3:3" ht="15" x14ac:dyDescent="0.2">
      <c r="C134" s="169" t="s">
        <v>1118</v>
      </c>
    </row>
    <row r="135" spans="3:3" ht="15" x14ac:dyDescent="0.2">
      <c r="C135" s="169" t="s">
        <v>1119</v>
      </c>
    </row>
    <row r="136" spans="3:3" ht="15" x14ac:dyDescent="0.2">
      <c r="C136" s="169" t="s">
        <v>720</v>
      </c>
    </row>
    <row r="137" spans="3:3" ht="15" x14ac:dyDescent="0.2">
      <c r="C137" s="169" t="s">
        <v>721</v>
      </c>
    </row>
    <row r="138" spans="3:3" ht="15" x14ac:dyDescent="0.2">
      <c r="C138" s="169" t="s">
        <v>722</v>
      </c>
    </row>
    <row r="139" spans="3:3" ht="15" x14ac:dyDescent="0.2">
      <c r="C139" s="169" t="s">
        <v>723</v>
      </c>
    </row>
    <row r="140" spans="3:3" ht="15" x14ac:dyDescent="0.2">
      <c r="C140" s="169" t="s">
        <v>724</v>
      </c>
    </row>
    <row r="141" spans="3:3" ht="15" x14ac:dyDescent="0.2">
      <c r="C141" s="169" t="s">
        <v>725</v>
      </c>
    </row>
    <row r="142" spans="3:3" ht="15" x14ac:dyDescent="0.2">
      <c r="C142" s="169" t="s">
        <v>1120</v>
      </c>
    </row>
    <row r="143" spans="3:3" ht="15" x14ac:dyDescent="0.2">
      <c r="C143" s="169" t="s">
        <v>1121</v>
      </c>
    </row>
    <row r="144" spans="3:3" ht="15" x14ac:dyDescent="0.2">
      <c r="C144" s="169" t="s">
        <v>728</v>
      </c>
    </row>
    <row r="145" spans="2:3" ht="15" x14ac:dyDescent="0.2">
      <c r="C145" s="169" t="s">
        <v>1122</v>
      </c>
    </row>
    <row r="147" spans="2:3" ht="15" x14ac:dyDescent="0.2">
      <c r="C147" s="169" t="s">
        <v>845</v>
      </c>
    </row>
    <row r="149" spans="2:3" ht="15" x14ac:dyDescent="0.2">
      <c r="C149" s="169" t="s">
        <v>572</v>
      </c>
    </row>
    <row r="150" spans="2:3" ht="15" x14ac:dyDescent="0.2">
      <c r="C150" s="169" t="s">
        <v>1123</v>
      </c>
    </row>
    <row r="152" spans="2:3" ht="15" x14ac:dyDescent="0.2">
      <c r="C152" s="169" t="s">
        <v>574</v>
      </c>
    </row>
    <row r="153" spans="2:3" ht="15" x14ac:dyDescent="0.2">
      <c r="B153" s="173"/>
      <c r="C153" s="169" t="str">
        <f>_xlfn.CONCAT("vcm1=model['",$A$19,"']")</f>
        <v>vcm1=model['P7000048060']</v>
      </c>
    </row>
    <row r="155" spans="2:3" ht="15" x14ac:dyDescent="0.2">
      <c r="C155" s="169" t="s">
        <v>575</v>
      </c>
    </row>
    <row r="156" spans="2:3" ht="15" x14ac:dyDescent="0.2">
      <c r="B156" s="173"/>
      <c r="C156" s="169" t="str">
        <f>_xlfn.CONCAT("line1=model['",$A$17,"']")</f>
        <v>line1=model['Line']</v>
      </c>
    </row>
    <row r="157" spans="2:3" ht="15" x14ac:dyDescent="0.2">
      <c r="B157" s="173"/>
      <c r="C157" s="169" t="str">
        <f>_xlfn.CONCAT("att_lines=list(['",$A$18,"'])")</f>
        <v>att_lines=list(['Stiffener1'])</v>
      </c>
    </row>
    <row r="159" spans="2:3" ht="15" x14ac:dyDescent="0.2">
      <c r="C159" s="169" t="s">
        <v>576</v>
      </c>
    </row>
    <row r="160" spans="2:3" ht="15" x14ac:dyDescent="0.2">
      <c r="C160" s="169" t="s">
        <v>577</v>
      </c>
    </row>
    <row r="161" spans="3:3" ht="15" x14ac:dyDescent="0.2">
      <c r="C161" s="169" t="s">
        <v>578</v>
      </c>
    </row>
    <row r="162" spans="3:3" ht="15" x14ac:dyDescent="0.2">
      <c r="C162" s="169" t="s">
        <v>579</v>
      </c>
    </row>
    <row r="163" spans="3:3" ht="15" x14ac:dyDescent="0.2">
      <c r="C163" s="169" t="s">
        <v>580</v>
      </c>
    </row>
    <row r="164" spans="3:3" ht="15" x14ac:dyDescent="0.2">
      <c r="C164" s="169" t="s">
        <v>581</v>
      </c>
    </row>
    <row r="165" spans="3:3" ht="15" x14ac:dyDescent="0.2">
      <c r="C165" s="169" t="s">
        <v>582</v>
      </c>
    </row>
    <row r="167" spans="3:3" ht="15" x14ac:dyDescent="0.2">
      <c r="C167" s="169" t="s">
        <v>583</v>
      </c>
    </row>
    <row r="168" spans="3:3" ht="15" x14ac:dyDescent="0.2">
      <c r="C168" s="169" t="s">
        <v>584</v>
      </c>
    </row>
    <row r="169" spans="3:3" ht="15" x14ac:dyDescent="0.2">
      <c r="C169" s="169" t="s">
        <v>585</v>
      </c>
    </row>
    <row r="170" spans="3:3" ht="15" x14ac:dyDescent="0.2">
      <c r="C170" s="169" t="s">
        <v>586</v>
      </c>
    </row>
    <row r="171" spans="3:3" ht="15" x14ac:dyDescent="0.2">
      <c r="C171" s="169" t="s">
        <v>587</v>
      </c>
    </row>
    <row r="172" spans="3:3" ht="15" x14ac:dyDescent="0.2">
      <c r="C172" s="169" t="s">
        <v>588</v>
      </c>
    </row>
    <row r="173" spans="3:3" ht="15" x14ac:dyDescent="0.2">
      <c r="C173" s="169" t="s">
        <v>589</v>
      </c>
    </row>
    <row r="174" spans="3:3" ht="15" x14ac:dyDescent="0.2">
      <c r="C174" s="169" t="s">
        <v>590</v>
      </c>
    </row>
    <row r="175" spans="3:3" ht="15" x14ac:dyDescent="0.2">
      <c r="C175" s="169" t="s">
        <v>591</v>
      </c>
    </row>
    <row r="176" spans="3:3" ht="15" x14ac:dyDescent="0.2">
      <c r="C176" s="169" t="s">
        <v>592</v>
      </c>
    </row>
    <row r="177" spans="3:3" ht="15" x14ac:dyDescent="0.2">
      <c r="C177" s="169" t="s">
        <v>593</v>
      </c>
    </row>
    <row r="179" spans="3:3" ht="15" x14ac:dyDescent="0.2">
      <c r="C179" s="169" t="s">
        <v>594</v>
      </c>
    </row>
    <row r="180" spans="3:3" ht="15" x14ac:dyDescent="0.2">
      <c r="C180" s="169" t="s">
        <v>595</v>
      </c>
    </row>
    <row r="181" spans="3:3" ht="15" x14ac:dyDescent="0.2">
      <c r="C181" s="169" t="s">
        <v>596</v>
      </c>
    </row>
    <row r="182" spans="3:3" ht="15" x14ac:dyDescent="0.2">
      <c r="C182" s="169" t="s">
        <v>597</v>
      </c>
    </row>
    <row r="183" spans="3:3" ht="15" x14ac:dyDescent="0.2">
      <c r="C183" s="169" t="s">
        <v>598</v>
      </c>
    </row>
    <row r="184" spans="3:3" ht="15" x14ac:dyDescent="0.2">
      <c r="C184" s="169" t="s">
        <v>599</v>
      </c>
    </row>
    <row r="185" spans="3:3" ht="15" x14ac:dyDescent="0.2">
      <c r="C185" s="169" t="s">
        <v>800</v>
      </c>
    </row>
    <row r="186" spans="3:3" ht="15" x14ac:dyDescent="0.2">
      <c r="C186" s="169" t="s">
        <v>600</v>
      </c>
    </row>
    <row r="187" spans="3:3" ht="15" x14ac:dyDescent="0.2">
      <c r="C187" s="169" t="s">
        <v>588</v>
      </c>
    </row>
    <row r="188" spans="3:3" ht="15" x14ac:dyDescent="0.2">
      <c r="C188" s="169" t="s">
        <v>601</v>
      </c>
    </row>
    <row r="189" spans="3:3" ht="15" x14ac:dyDescent="0.2">
      <c r="C189" s="169" t="s">
        <v>1124</v>
      </c>
    </row>
    <row r="190" spans="3:3" ht="15" x14ac:dyDescent="0.2">
      <c r="C190" s="169" t="s">
        <v>1125</v>
      </c>
    </row>
    <row r="191" spans="3:3" ht="15" x14ac:dyDescent="0.2">
      <c r="C191" s="169" t="s">
        <v>1126</v>
      </c>
    </row>
    <row r="192" spans="3:3" ht="15" x14ac:dyDescent="0.2">
      <c r="C192" s="169" t="s">
        <v>1127</v>
      </c>
    </row>
    <row r="193" spans="3:3" ht="15" x14ac:dyDescent="0.2">
      <c r="C193" s="169" t="s">
        <v>1128</v>
      </c>
    </row>
    <row r="194" spans="3:3" ht="15" x14ac:dyDescent="0.2">
      <c r="C194" s="169" t="s">
        <v>605</v>
      </c>
    </row>
    <row r="195" spans="3:3" ht="15" x14ac:dyDescent="0.2">
      <c r="C195" s="169" t="s">
        <v>606</v>
      </c>
    </row>
    <row r="197" spans="3:3" ht="15" x14ac:dyDescent="0.2">
      <c r="C197" s="169" t="s">
        <v>607</v>
      </c>
    </row>
    <row r="198" spans="3:3" ht="15" x14ac:dyDescent="0.2">
      <c r="C198" s="169" t="s">
        <v>608</v>
      </c>
    </row>
    <row r="200" spans="3:3" ht="15" x14ac:dyDescent="0.2">
      <c r="C200" s="169" t="s">
        <v>609</v>
      </c>
    </row>
    <row r="201" spans="3:3" ht="15" x14ac:dyDescent="0.2">
      <c r="C201" s="169" t="s">
        <v>610</v>
      </c>
    </row>
    <row r="202" spans="3:3" ht="15" x14ac:dyDescent="0.2">
      <c r="C202" s="169" t="s">
        <v>611</v>
      </c>
    </row>
    <row r="203" spans="3:3" ht="15" x14ac:dyDescent="0.2">
      <c r="C203" s="169" t="s">
        <v>612</v>
      </c>
    </row>
    <row r="204" spans="3:3" ht="15" x14ac:dyDescent="0.2">
      <c r="C204" s="169" t="s">
        <v>613</v>
      </c>
    </row>
    <row r="205" spans="3:3" ht="15" x14ac:dyDescent="0.2">
      <c r="C205" s="169" t="s">
        <v>614</v>
      </c>
    </row>
    <row r="206" spans="3:3" ht="15" x14ac:dyDescent="0.2">
      <c r="C206" s="169" t="s">
        <v>615</v>
      </c>
    </row>
    <row r="207" spans="3:3" ht="15" x14ac:dyDescent="0.2">
      <c r="C207" s="169" t="s">
        <v>616</v>
      </c>
    </row>
    <row r="208" spans="3:3" ht="15" x14ac:dyDescent="0.2">
      <c r="C208" s="169" t="s">
        <v>617</v>
      </c>
    </row>
    <row r="209" spans="3:3" ht="15" x14ac:dyDescent="0.2">
      <c r="C209" s="169" t="s">
        <v>618</v>
      </c>
    </row>
    <row r="210" spans="3:3" ht="15" x14ac:dyDescent="0.2">
      <c r="C210" s="169" t="s">
        <v>619</v>
      </c>
    </row>
    <row r="211" spans="3:3" ht="15" x14ac:dyDescent="0.2">
      <c r="C211" s="169" t="s">
        <v>620</v>
      </c>
    </row>
    <row r="213" spans="3:3" ht="15" x14ac:dyDescent="0.2">
      <c r="C213" s="169" t="s">
        <v>621</v>
      </c>
    </row>
    <row r="214" spans="3:3" ht="15" x14ac:dyDescent="0.2">
      <c r="C214" s="169" t="s">
        <v>622</v>
      </c>
    </row>
    <row r="215" spans="3:3" ht="15" x14ac:dyDescent="0.2">
      <c r="C215" s="169" t="s">
        <v>623</v>
      </c>
    </row>
    <row r="216" spans="3:3" ht="15" x14ac:dyDescent="0.2">
      <c r="C216" s="169" t="s">
        <v>624</v>
      </c>
    </row>
    <row r="217" spans="3:3" ht="15" x14ac:dyDescent="0.2">
      <c r="C217" s="169" t="s">
        <v>625</v>
      </c>
    </row>
    <row r="218" spans="3:3" ht="15" x14ac:dyDescent="0.2">
      <c r="C218" s="169" t="s">
        <v>626</v>
      </c>
    </row>
    <row r="219" spans="3:3" ht="15" x14ac:dyDescent="0.2">
      <c r="C219" s="169" t="s">
        <v>627</v>
      </c>
    </row>
    <row r="220" spans="3:3" ht="15" x14ac:dyDescent="0.2">
      <c r="C220" s="169" t="s">
        <v>619</v>
      </c>
    </row>
    <row r="221" spans="3:3" ht="15" x14ac:dyDescent="0.2">
      <c r="C221" s="169" t="s">
        <v>628</v>
      </c>
    </row>
    <row r="222" spans="3:3" ht="15" x14ac:dyDescent="0.2">
      <c r="C222" s="169" t="s">
        <v>629</v>
      </c>
    </row>
    <row r="223" spans="3:3" ht="15" x14ac:dyDescent="0.2">
      <c r="C223" s="169" t="s">
        <v>630</v>
      </c>
    </row>
    <row r="224" spans="3:3" ht="15" x14ac:dyDescent="0.2">
      <c r="C224" s="169" t="s">
        <v>631</v>
      </c>
    </row>
    <row r="226" spans="3:3" ht="15" x14ac:dyDescent="0.2">
      <c r="C226" s="169" t="s">
        <v>632</v>
      </c>
    </row>
    <row r="227" spans="3:3" ht="15" x14ac:dyDescent="0.2">
      <c r="C227" s="169" t="s">
        <v>633</v>
      </c>
    </row>
    <row r="228" spans="3:3" ht="15" x14ac:dyDescent="0.2">
      <c r="C228" s="169" t="s">
        <v>634</v>
      </c>
    </row>
    <row r="229" spans="3:3" ht="15" x14ac:dyDescent="0.2">
      <c r="C229" s="169" t="s">
        <v>635</v>
      </c>
    </row>
    <row r="230" spans="3:3" ht="15" x14ac:dyDescent="0.2">
      <c r="C230" s="169" t="s">
        <v>636</v>
      </c>
    </row>
    <row r="231" spans="3:3" ht="15" x14ac:dyDescent="0.2">
      <c r="C231" s="169" t="s">
        <v>637</v>
      </c>
    </row>
    <row r="232" spans="3:3" ht="15" x14ac:dyDescent="0.2">
      <c r="C232" s="169" t="s">
        <v>638</v>
      </c>
    </row>
    <row r="234" spans="3:3" ht="15" x14ac:dyDescent="0.2">
      <c r="C234" s="169" t="s">
        <v>639</v>
      </c>
    </row>
    <row r="235" spans="3:3" ht="15" x14ac:dyDescent="0.2">
      <c r="C235" s="169" t="s">
        <v>640</v>
      </c>
    </row>
    <row r="236" spans="3:3" ht="15" x14ac:dyDescent="0.2">
      <c r="C236" s="169" t="s">
        <v>641</v>
      </c>
    </row>
    <row r="238" spans="3:3" ht="15" x14ac:dyDescent="0.2">
      <c r="C238" s="169" t="s">
        <v>642</v>
      </c>
    </row>
    <row r="239" spans="3:3" ht="15" x14ac:dyDescent="0.2">
      <c r="C239" s="169" t="s">
        <v>643</v>
      </c>
    </row>
    <row r="240" spans="3:3" ht="15" x14ac:dyDescent="0.2">
      <c r="C240" s="169" t="s">
        <v>644</v>
      </c>
    </row>
    <row r="241" spans="3:3" ht="15" x14ac:dyDescent="0.2">
      <c r="C241" s="169" t="s">
        <v>645</v>
      </c>
    </row>
    <row r="242" spans="3:3" ht="15" x14ac:dyDescent="0.2">
      <c r="C242" s="169" t="s">
        <v>646</v>
      </c>
    </row>
    <row r="243" spans="3:3" ht="15" x14ac:dyDescent="0.2">
      <c r="C243" s="169" t="s">
        <v>1129</v>
      </c>
    </row>
    <row r="244" spans="3:3" ht="15" x14ac:dyDescent="0.2">
      <c r="C244" s="169" t="s">
        <v>651</v>
      </c>
    </row>
    <row r="246" spans="3:3" ht="15" x14ac:dyDescent="0.2">
      <c r="C246" s="169" t="s">
        <v>652</v>
      </c>
    </row>
    <row r="247" spans="3:3" ht="15" x14ac:dyDescent="0.2">
      <c r="C247" s="169" t="s">
        <v>653</v>
      </c>
    </row>
    <row r="249" spans="3:3" ht="15" x14ac:dyDescent="0.2">
      <c r="C249" s="169" t="s">
        <v>654</v>
      </c>
    </row>
    <row r="250" spans="3:3" ht="15" x14ac:dyDescent="0.2">
      <c r="C250" s="169" t="s">
        <v>655</v>
      </c>
    </row>
    <row r="251" spans="3:3" ht="15" x14ac:dyDescent="0.2">
      <c r="C251" s="169" t="s">
        <v>656</v>
      </c>
    </row>
    <row r="253" spans="3:3" ht="15" x14ac:dyDescent="0.2">
      <c r="C253" s="169" t="s">
        <v>657</v>
      </c>
    </row>
    <row r="254" spans="3:3" ht="15" x14ac:dyDescent="0.2">
      <c r="C254" s="169" t="s">
        <v>658</v>
      </c>
    </row>
    <row r="255" spans="3:3" ht="15" x14ac:dyDescent="0.2">
      <c r="C255" s="169" t="s">
        <v>659</v>
      </c>
    </row>
    <row r="256" spans="3:3" ht="15" x14ac:dyDescent="0.2">
      <c r="C256" s="169" t="s">
        <v>660</v>
      </c>
    </row>
    <row r="258" spans="3:3" ht="15" x14ac:dyDescent="0.2">
      <c r="C258" s="169" t="s">
        <v>661</v>
      </c>
    </row>
    <row r="259" spans="3:3" ht="15" x14ac:dyDescent="0.2">
      <c r="C259" s="169" t="s">
        <v>662</v>
      </c>
    </row>
    <row r="260" spans="3:3" ht="15" x14ac:dyDescent="0.2">
      <c r="C260" s="169" t="s">
        <v>663</v>
      </c>
    </row>
    <row r="261" spans="3:3" ht="15" x14ac:dyDescent="0.2">
      <c r="C261" s="169" t="s">
        <v>664</v>
      </c>
    </row>
    <row r="262" spans="3:3" ht="15" x14ac:dyDescent="0.2">
      <c r="C262" s="169" t="s">
        <v>623</v>
      </c>
    </row>
    <row r="263" spans="3:3" ht="15" x14ac:dyDescent="0.2">
      <c r="C263" s="169" t="s">
        <v>624</v>
      </c>
    </row>
    <row r="264" spans="3:3" ht="15" x14ac:dyDescent="0.2">
      <c r="C264" s="169" t="s">
        <v>665</v>
      </c>
    </row>
    <row r="265" spans="3:3" ht="15" x14ac:dyDescent="0.2">
      <c r="C265" s="169" t="s">
        <v>666</v>
      </c>
    </row>
    <row r="266" spans="3:3" ht="15" x14ac:dyDescent="0.2">
      <c r="C266" s="169" t="s">
        <v>667</v>
      </c>
    </row>
    <row r="268" spans="3:3" ht="15" x14ac:dyDescent="0.2">
      <c r="C268" s="169" t="s">
        <v>668</v>
      </c>
    </row>
    <row r="269" spans="3:3" ht="15" x14ac:dyDescent="0.2">
      <c r="C269" s="169" t="s">
        <v>669</v>
      </c>
    </row>
    <row r="270" spans="3:3" ht="15" x14ac:dyDescent="0.2">
      <c r="C270" s="169" t="s">
        <v>670</v>
      </c>
    </row>
    <row r="271" spans="3:3" ht="15" x14ac:dyDescent="0.2">
      <c r="C271" s="169" t="s">
        <v>671</v>
      </c>
    </row>
    <row r="272" spans="3:3" ht="15" x14ac:dyDescent="0.2">
      <c r="C272" s="169" t="s">
        <v>672</v>
      </c>
    </row>
    <row r="274" spans="3:3" ht="15" x14ac:dyDescent="0.2">
      <c r="C274" s="169" t="s">
        <v>673</v>
      </c>
    </row>
    <row r="275" spans="3:3" ht="15" x14ac:dyDescent="0.2">
      <c r="C275" s="169" t="s">
        <v>674</v>
      </c>
    </row>
    <row r="276" spans="3:3" ht="15" x14ac:dyDescent="0.2">
      <c r="C276" s="169" t="s">
        <v>675</v>
      </c>
    </row>
    <row r="277" spans="3:3" ht="15" x14ac:dyDescent="0.2">
      <c r="C277" s="169" t="s">
        <v>676</v>
      </c>
    </row>
    <row r="278" spans="3:3" ht="15" x14ac:dyDescent="0.2">
      <c r="C278" s="169" t="s">
        <v>677</v>
      </c>
    </row>
    <row r="279" spans="3:3" ht="15" x14ac:dyDescent="0.2">
      <c r="C279" s="169" t="s">
        <v>678</v>
      </c>
    </row>
    <row r="280" spans="3:3" ht="15" x14ac:dyDescent="0.2">
      <c r="C280" s="169" t="s">
        <v>679</v>
      </c>
    </row>
    <row r="281" spans="3:3" ht="15" x14ac:dyDescent="0.2">
      <c r="C281" s="169" t="s">
        <v>680</v>
      </c>
    </row>
    <row r="282" spans="3:3" ht="15" x14ac:dyDescent="0.2">
      <c r="C282" s="169" t="s">
        <v>681</v>
      </c>
    </row>
    <row r="283" spans="3:3" ht="15" x14ac:dyDescent="0.2">
      <c r="C283" s="169" t="s">
        <v>682</v>
      </c>
    </row>
    <row r="284" spans="3:3" ht="15" x14ac:dyDescent="0.2">
      <c r="C284" s="169" t="s">
        <v>683</v>
      </c>
    </row>
    <row r="285" spans="3:3" ht="15" x14ac:dyDescent="0.2">
      <c r="C285" s="169" t="s">
        <v>684</v>
      </c>
    </row>
    <row r="286" spans="3:3" ht="15" x14ac:dyDescent="0.2">
      <c r="C286" s="169" t="s">
        <v>685</v>
      </c>
    </row>
    <row r="287" spans="3:3" ht="15" x14ac:dyDescent="0.2">
      <c r="C287" s="169" t="s">
        <v>686</v>
      </c>
    </row>
    <row r="288" spans="3:3" ht="15" x14ac:dyDescent="0.2">
      <c r="C288" s="169" t="s">
        <v>687</v>
      </c>
    </row>
    <row r="289" spans="3:3" ht="15" x14ac:dyDescent="0.2">
      <c r="C289" s="169" t="s">
        <v>688</v>
      </c>
    </row>
    <row r="290" spans="3:3" ht="15" x14ac:dyDescent="0.2">
      <c r="C290" s="169" t="s">
        <v>689</v>
      </c>
    </row>
    <row r="291" spans="3:3" ht="15" x14ac:dyDescent="0.2">
      <c r="C291" s="169" t="s">
        <v>690</v>
      </c>
    </row>
    <row r="292" spans="3:3" ht="15" x14ac:dyDescent="0.2">
      <c r="C292" s="169" t="s">
        <v>691</v>
      </c>
    </row>
    <row r="293" spans="3:3" ht="15" x14ac:dyDescent="0.2">
      <c r="C293" s="169" t="s">
        <v>692</v>
      </c>
    </row>
    <row r="294" spans="3:3" ht="15" x14ac:dyDescent="0.2">
      <c r="C294" s="169" t="s">
        <v>693</v>
      </c>
    </row>
    <row r="295" spans="3:3" ht="15" x14ac:dyDescent="0.2">
      <c r="C295" s="169" t="s">
        <v>694</v>
      </c>
    </row>
    <row r="296" spans="3:3" ht="15" x14ac:dyDescent="0.2">
      <c r="C296" s="169" t="s">
        <v>695</v>
      </c>
    </row>
    <row r="297" spans="3:3" ht="15" x14ac:dyDescent="0.2">
      <c r="C297" s="169" t="s">
        <v>568</v>
      </c>
    </row>
    <row r="298" spans="3:3" ht="15" x14ac:dyDescent="0.2">
      <c r="C298" s="169" t="s">
        <v>696</v>
      </c>
    </row>
    <row r="299" spans="3:3" ht="15" x14ac:dyDescent="0.2">
      <c r="C299" s="169" t="s">
        <v>697</v>
      </c>
    </row>
    <row r="300" spans="3:3" ht="15" x14ac:dyDescent="0.2">
      <c r="C300" s="169" t="s">
        <v>698</v>
      </c>
    </row>
    <row r="301" spans="3:3" ht="15" x14ac:dyDescent="0.2">
      <c r="C301" s="169" t="s">
        <v>699</v>
      </c>
    </row>
    <row r="302" spans="3:3" ht="15" x14ac:dyDescent="0.2">
      <c r="C302" s="169" t="s">
        <v>685</v>
      </c>
    </row>
    <row r="303" spans="3:3" ht="15" x14ac:dyDescent="0.2">
      <c r="C303" s="169" t="s">
        <v>686</v>
      </c>
    </row>
    <row r="304" spans="3:3" ht="15" x14ac:dyDescent="0.2">
      <c r="C304" s="169" t="s">
        <v>687</v>
      </c>
    </row>
    <row r="305" spans="3:3" ht="15" x14ac:dyDescent="0.2">
      <c r="C305" s="169" t="s">
        <v>700</v>
      </c>
    </row>
    <row r="306" spans="3:3" ht="15" x14ac:dyDescent="0.2">
      <c r="C306" s="169" t="s">
        <v>701</v>
      </c>
    </row>
    <row r="307" spans="3:3" ht="15" x14ac:dyDescent="0.2">
      <c r="C307" s="169" t="s">
        <v>702</v>
      </c>
    </row>
    <row r="308" spans="3:3" ht="15" x14ac:dyDescent="0.2">
      <c r="C308" s="169" t="s">
        <v>703</v>
      </c>
    </row>
    <row r="309" spans="3:3" ht="15" x14ac:dyDescent="0.2">
      <c r="C309" s="169" t="s">
        <v>704</v>
      </c>
    </row>
    <row r="310" spans="3:3" ht="15" x14ac:dyDescent="0.2">
      <c r="C310" s="169" t="s">
        <v>705</v>
      </c>
    </row>
    <row r="311" spans="3:3" ht="15" x14ac:dyDescent="0.2">
      <c r="C311" s="169" t="s">
        <v>706</v>
      </c>
    </row>
    <row r="312" spans="3:3" ht="15" x14ac:dyDescent="0.2">
      <c r="C312" s="169" t="s">
        <v>568</v>
      </c>
    </row>
    <row r="313" spans="3:3" ht="15" x14ac:dyDescent="0.2">
      <c r="C313" s="169" t="s">
        <v>707</v>
      </c>
    </row>
    <row r="314" spans="3:3" ht="15" x14ac:dyDescent="0.2">
      <c r="C314" s="169" t="s">
        <v>708</v>
      </c>
    </row>
    <row r="315" spans="3:3" ht="15" x14ac:dyDescent="0.2">
      <c r="C315" s="169" t="s">
        <v>709</v>
      </c>
    </row>
    <row r="316" spans="3:3" ht="15" x14ac:dyDescent="0.2">
      <c r="C316" s="169" t="s">
        <v>685</v>
      </c>
    </row>
    <row r="317" spans="3:3" ht="15" x14ac:dyDescent="0.2">
      <c r="C317" s="169" t="s">
        <v>686</v>
      </c>
    </row>
    <row r="318" spans="3:3" ht="15" x14ac:dyDescent="0.2">
      <c r="C318" s="169" t="s">
        <v>687</v>
      </c>
    </row>
    <row r="319" spans="3:3" ht="15" x14ac:dyDescent="0.2">
      <c r="C319" s="169" t="s">
        <v>710</v>
      </c>
    </row>
    <row r="320" spans="3:3" ht="15" x14ac:dyDescent="0.2">
      <c r="C320" s="169" t="s">
        <v>711</v>
      </c>
    </row>
    <row r="321" spans="3:3" ht="15" x14ac:dyDescent="0.2">
      <c r="C321" s="169" t="s">
        <v>568</v>
      </c>
    </row>
    <row r="322" spans="3:3" ht="15" x14ac:dyDescent="0.2">
      <c r="C322" s="169" t="s">
        <v>712</v>
      </c>
    </row>
    <row r="323" spans="3:3" ht="15" x14ac:dyDescent="0.2">
      <c r="C323" s="169" t="s">
        <v>713</v>
      </c>
    </row>
    <row r="324" spans="3:3" ht="15" x14ac:dyDescent="0.2">
      <c r="C324" s="169" t="s">
        <v>685</v>
      </c>
    </row>
    <row r="325" spans="3:3" ht="15" x14ac:dyDescent="0.2">
      <c r="C325" s="169" t="s">
        <v>686</v>
      </c>
    </row>
    <row r="326" spans="3:3" ht="15" x14ac:dyDescent="0.2">
      <c r="C326" s="169" t="s">
        <v>687</v>
      </c>
    </row>
    <row r="327" spans="3:3" ht="15" x14ac:dyDescent="0.2">
      <c r="C327" s="169" t="s">
        <v>701</v>
      </c>
    </row>
    <row r="328" spans="3:3" ht="15" x14ac:dyDescent="0.2">
      <c r="C328" s="169" t="s">
        <v>702</v>
      </c>
    </row>
    <row r="329" spans="3:3" ht="15" x14ac:dyDescent="0.2">
      <c r="C329" s="169" t="s">
        <v>703</v>
      </c>
    </row>
    <row r="330" spans="3:3" ht="15" x14ac:dyDescent="0.2">
      <c r="C330" s="169" t="s">
        <v>704</v>
      </c>
    </row>
    <row r="331" spans="3:3" ht="15" x14ac:dyDescent="0.2">
      <c r="C331" s="169" t="s">
        <v>705</v>
      </c>
    </row>
    <row r="332" spans="3:3" ht="15" x14ac:dyDescent="0.2">
      <c r="C332" s="169" t="s">
        <v>714</v>
      </c>
    </row>
    <row r="333" spans="3:3" ht="15" x14ac:dyDescent="0.2">
      <c r="C333" s="169" t="s">
        <v>715</v>
      </c>
    </row>
    <row r="334" spans="3:3" ht="15" x14ac:dyDescent="0.2">
      <c r="C334" s="169" t="s">
        <v>716</v>
      </c>
    </row>
    <row r="335" spans="3:3" ht="15" x14ac:dyDescent="0.2">
      <c r="C335" s="169" t="s">
        <v>717</v>
      </c>
    </row>
    <row r="336" spans="3:3" ht="15" x14ac:dyDescent="0.2">
      <c r="C336" s="169" t="s">
        <v>718</v>
      </c>
    </row>
    <row r="337" spans="3:3" ht="15" x14ac:dyDescent="0.2">
      <c r="C337" s="169" t="s">
        <v>719</v>
      </c>
    </row>
    <row r="338" spans="3:3" ht="15" x14ac:dyDescent="0.2">
      <c r="C338" s="169" t="s">
        <v>720</v>
      </c>
    </row>
    <row r="339" spans="3:3" ht="15" x14ac:dyDescent="0.2">
      <c r="C339" s="169" t="s">
        <v>721</v>
      </c>
    </row>
    <row r="340" spans="3:3" ht="15" x14ac:dyDescent="0.2">
      <c r="C340" s="169" t="s">
        <v>722</v>
      </c>
    </row>
    <row r="341" spans="3:3" ht="15" x14ac:dyDescent="0.2">
      <c r="C341" s="169" t="s">
        <v>723</v>
      </c>
    </row>
    <row r="342" spans="3:3" ht="15" x14ac:dyDescent="0.2">
      <c r="C342" s="169" t="s">
        <v>724</v>
      </c>
    </row>
    <row r="343" spans="3:3" ht="15" x14ac:dyDescent="0.2">
      <c r="C343" s="169" t="s">
        <v>725</v>
      </c>
    </row>
    <row r="344" spans="3:3" ht="15" x14ac:dyDescent="0.2">
      <c r="C344" s="169" t="s">
        <v>726</v>
      </c>
    </row>
    <row r="345" spans="3:3" ht="15" x14ac:dyDescent="0.2">
      <c r="C345" s="169" t="s">
        <v>727</v>
      </c>
    </row>
    <row r="346" spans="3:3" ht="15" x14ac:dyDescent="0.2">
      <c r="C346" s="169" t="s">
        <v>728</v>
      </c>
    </row>
    <row r="347" spans="3:3" ht="15" x14ac:dyDescent="0.2">
      <c r="C347" s="169" t="s">
        <v>729</v>
      </c>
    </row>
    <row r="348" spans="3:3" ht="15" x14ac:dyDescent="0.2">
      <c r="C348" s="169" t="s">
        <v>730</v>
      </c>
    </row>
    <row r="349" spans="3:3" ht="15" x14ac:dyDescent="0.2">
      <c r="C349" s="169" t="s">
        <v>731</v>
      </c>
    </row>
    <row r="350" spans="3:3" ht="15" x14ac:dyDescent="0.2">
      <c r="C350" s="169" t="s">
        <v>723</v>
      </c>
    </row>
    <row r="351" spans="3:3" ht="15" x14ac:dyDescent="0.2">
      <c r="C351" s="169" t="s">
        <v>732</v>
      </c>
    </row>
    <row r="352" spans="3:3" ht="15" x14ac:dyDescent="0.2">
      <c r="C352" s="169" t="s">
        <v>733</v>
      </c>
    </row>
    <row r="353" spans="3:3" ht="15" x14ac:dyDescent="0.2">
      <c r="C353" s="169" t="s">
        <v>734</v>
      </c>
    </row>
    <row r="354" spans="3:3" ht="15" x14ac:dyDescent="0.2">
      <c r="C354" s="169" t="s">
        <v>735</v>
      </c>
    </row>
    <row r="355" spans="3:3" ht="15" x14ac:dyDescent="0.2">
      <c r="C355" s="169" t="s">
        <v>568</v>
      </c>
    </row>
    <row r="356" spans="3:3" ht="15" x14ac:dyDescent="0.2">
      <c r="C356" s="169" t="s">
        <v>736</v>
      </c>
    </row>
    <row r="357" spans="3:3" ht="15" x14ac:dyDescent="0.2">
      <c r="C357" s="169" t="s">
        <v>737</v>
      </c>
    </row>
    <row r="358" spans="3:3" ht="15" x14ac:dyDescent="0.2">
      <c r="C358" s="169" t="s">
        <v>738</v>
      </c>
    </row>
    <row r="359" spans="3:3" ht="15" x14ac:dyDescent="0.2">
      <c r="C359" s="169" t="s">
        <v>723</v>
      </c>
    </row>
    <row r="360" spans="3:3" ht="15" x14ac:dyDescent="0.2">
      <c r="C360" s="169" t="s">
        <v>739</v>
      </c>
    </row>
    <row r="361" spans="3:3" ht="15" x14ac:dyDescent="0.2">
      <c r="C361" s="169" t="s">
        <v>740</v>
      </c>
    </row>
    <row r="362" spans="3:3" ht="15" x14ac:dyDescent="0.2">
      <c r="C362" s="169" t="s">
        <v>741</v>
      </c>
    </row>
    <row r="363" spans="3:3" ht="15" x14ac:dyDescent="0.2">
      <c r="C363" s="169" t="s">
        <v>742</v>
      </c>
    </row>
    <row r="364" spans="3:3" ht="15" x14ac:dyDescent="0.2">
      <c r="C364" s="169" t="s">
        <v>743</v>
      </c>
    </row>
    <row r="365" spans="3:3" ht="15" x14ac:dyDescent="0.2">
      <c r="C365" s="169" t="s">
        <v>744</v>
      </c>
    </row>
    <row r="366" spans="3:3" ht="15" x14ac:dyDescent="0.2">
      <c r="C366" s="169" t="s">
        <v>745</v>
      </c>
    </row>
    <row r="367" spans="3:3" ht="15" x14ac:dyDescent="0.2">
      <c r="C367" s="169" t="s">
        <v>746</v>
      </c>
    </row>
    <row r="368" spans="3:3" ht="15" x14ac:dyDescent="0.2">
      <c r="C368" s="169" t="s">
        <v>747</v>
      </c>
    </row>
    <row r="370" spans="3:3" ht="15" x14ac:dyDescent="0.2">
      <c r="C370" s="169" t="s">
        <v>748</v>
      </c>
    </row>
    <row r="371" spans="3:3" ht="15" x14ac:dyDescent="0.2">
      <c r="C371" s="169" t="s">
        <v>749</v>
      </c>
    </row>
    <row r="372" spans="3:3" ht="15" x14ac:dyDescent="0.2">
      <c r="C372" s="169" t="s">
        <v>750</v>
      </c>
    </row>
    <row r="373" spans="3:3" ht="15" x14ac:dyDescent="0.2">
      <c r="C373" s="169" t="s">
        <v>751</v>
      </c>
    </row>
    <row r="374" spans="3:3" ht="15" x14ac:dyDescent="0.2">
      <c r="C374" s="169" t="s">
        <v>752</v>
      </c>
    </row>
    <row r="375" spans="3:3" ht="15" x14ac:dyDescent="0.2">
      <c r="C375" s="169" t="s">
        <v>753</v>
      </c>
    </row>
    <row r="376" spans="3:3" ht="15" x14ac:dyDescent="0.2">
      <c r="C376" s="169" t="s">
        <v>754</v>
      </c>
    </row>
    <row r="377" spans="3:3" ht="15" x14ac:dyDescent="0.2">
      <c r="C377" s="169" t="s">
        <v>755</v>
      </c>
    </row>
    <row r="378" spans="3:3" ht="15" x14ac:dyDescent="0.2">
      <c r="C378" s="169" t="s">
        <v>623</v>
      </c>
    </row>
    <row r="379" spans="3:3" ht="15" x14ac:dyDescent="0.2">
      <c r="C379" s="169" t="s">
        <v>624</v>
      </c>
    </row>
    <row r="380" spans="3:3" ht="15" x14ac:dyDescent="0.2">
      <c r="C380" s="169" t="s">
        <v>756</v>
      </c>
    </row>
    <row r="381" spans="3:3" ht="15" x14ac:dyDescent="0.2">
      <c r="C381" s="169" t="s">
        <v>757</v>
      </c>
    </row>
    <row r="382" spans="3:3" ht="15" x14ac:dyDescent="0.2">
      <c r="C382" s="169" t="s">
        <v>758</v>
      </c>
    </row>
    <row r="383" spans="3:3" ht="15" x14ac:dyDescent="0.2">
      <c r="C383" s="169" t="s">
        <v>759</v>
      </c>
    </row>
    <row r="384" spans="3:3" ht="15" x14ac:dyDescent="0.2">
      <c r="C384" s="169" t="s">
        <v>760</v>
      </c>
    </row>
    <row r="385" spans="3:3" ht="15" x14ac:dyDescent="0.2">
      <c r="C385" s="169" t="s">
        <v>761</v>
      </c>
    </row>
    <row r="386" spans="3:3" ht="15" x14ac:dyDescent="0.2">
      <c r="C386" s="169" t="s">
        <v>762</v>
      </c>
    </row>
    <row r="387" spans="3:3" ht="15" x14ac:dyDescent="0.2">
      <c r="C387" s="169" t="s">
        <v>763</v>
      </c>
    </row>
    <row r="388" spans="3:3" ht="15" x14ac:dyDescent="0.2">
      <c r="C388" s="169" t="s">
        <v>764</v>
      </c>
    </row>
    <row r="389" spans="3:3" ht="15" x14ac:dyDescent="0.2">
      <c r="C389" s="169" t="s">
        <v>765</v>
      </c>
    </row>
    <row r="390" spans="3:3" ht="15" x14ac:dyDescent="0.2">
      <c r="C390" s="169" t="s">
        <v>766</v>
      </c>
    </row>
    <row r="391" spans="3:3" ht="15" x14ac:dyDescent="0.2">
      <c r="C391" s="169" t="s">
        <v>767</v>
      </c>
    </row>
    <row r="392" spans="3:3" ht="15" x14ac:dyDescent="0.2">
      <c r="C392" s="169" t="s">
        <v>597</v>
      </c>
    </row>
    <row r="393" spans="3:3" ht="15" x14ac:dyDescent="0.2">
      <c r="C393" s="169" t="s">
        <v>768</v>
      </c>
    </row>
    <row r="394" spans="3:3" ht="15" x14ac:dyDescent="0.2">
      <c r="C394" s="169" t="s">
        <v>769</v>
      </c>
    </row>
    <row r="395" spans="3:3" ht="15" x14ac:dyDescent="0.2">
      <c r="C395" s="169" t="s">
        <v>770</v>
      </c>
    </row>
    <row r="396" spans="3:3" ht="15" x14ac:dyDescent="0.2">
      <c r="C396" s="169" t="s">
        <v>771</v>
      </c>
    </row>
    <row r="397" spans="3:3" ht="15" x14ac:dyDescent="0.2">
      <c r="C397" s="169" t="s">
        <v>772</v>
      </c>
    </row>
    <row r="398" spans="3:3" ht="15" x14ac:dyDescent="0.2">
      <c r="C398" s="169" t="s">
        <v>773</v>
      </c>
    </row>
    <row r="399" spans="3:3" ht="15" x14ac:dyDescent="0.2">
      <c r="C399" s="169" t="s">
        <v>1130</v>
      </c>
    </row>
    <row r="400" spans="3:3" ht="15" x14ac:dyDescent="0.2">
      <c r="C400" s="169" t="s">
        <v>774</v>
      </c>
    </row>
    <row r="401" spans="3:3" ht="15" x14ac:dyDescent="0.2">
      <c r="C401" s="169" t="s">
        <v>775</v>
      </c>
    </row>
    <row r="402" spans="3:3" ht="15" x14ac:dyDescent="0.2">
      <c r="C402" s="169" t="s">
        <v>776</v>
      </c>
    </row>
    <row r="403" spans="3:3" ht="15" x14ac:dyDescent="0.2">
      <c r="C403" s="169" t="s">
        <v>777</v>
      </c>
    </row>
    <row r="404" spans="3:3" ht="15" x14ac:dyDescent="0.2">
      <c r="C404" s="169" t="s">
        <v>778</v>
      </c>
    </row>
    <row r="405" spans="3:3" ht="15" x14ac:dyDescent="0.2">
      <c r="C405" s="169" t="s">
        <v>779</v>
      </c>
    </row>
    <row r="406" spans="3:3" ht="15" x14ac:dyDescent="0.2">
      <c r="C406" s="169" t="s">
        <v>780</v>
      </c>
    </row>
    <row r="407" spans="3:3" ht="15" x14ac:dyDescent="0.2">
      <c r="C407" s="169" t="s">
        <v>774</v>
      </c>
    </row>
    <row r="408" spans="3:3" ht="15" x14ac:dyDescent="0.2">
      <c r="C408" s="169" t="s">
        <v>775</v>
      </c>
    </row>
    <row r="409" spans="3:3" ht="15" x14ac:dyDescent="0.2">
      <c r="C409" s="169" t="s">
        <v>776</v>
      </c>
    </row>
    <row r="410" spans="3:3" ht="15" x14ac:dyDescent="0.2">
      <c r="C410" s="169" t="s">
        <v>777</v>
      </c>
    </row>
    <row r="411" spans="3:3" ht="15" x14ac:dyDescent="0.2">
      <c r="C411" s="169" t="s">
        <v>778</v>
      </c>
    </row>
    <row r="412" spans="3:3" ht="15" x14ac:dyDescent="0.2">
      <c r="C412" s="169" t="s">
        <v>781</v>
      </c>
    </row>
    <row r="413" spans="3:3" ht="15" x14ac:dyDescent="0.2">
      <c r="C413" s="169" t="s">
        <v>782</v>
      </c>
    </row>
    <row r="415" spans="3:3" ht="15" x14ac:dyDescent="0.2">
      <c r="C415" s="169" t="s">
        <v>783</v>
      </c>
    </row>
    <row r="416" spans="3:3" ht="15" x14ac:dyDescent="0.2">
      <c r="C416" s="169" t="s">
        <v>784</v>
      </c>
    </row>
    <row r="417" spans="3:3" ht="15" x14ac:dyDescent="0.2">
      <c r="C417" s="169" t="s">
        <v>785</v>
      </c>
    </row>
    <row r="419" spans="3:3" ht="15" x14ac:dyDescent="0.2">
      <c r="C419" s="169" t="s">
        <v>786</v>
      </c>
    </row>
    <row r="420" spans="3:3" ht="15" x14ac:dyDescent="0.2">
      <c r="C420" s="169" t="s">
        <v>787</v>
      </c>
    </row>
    <row r="421" spans="3:3" ht="15" x14ac:dyDescent="0.2">
      <c r="C421" s="169" t="s">
        <v>788</v>
      </c>
    </row>
    <row r="422" spans="3:3" ht="15" x14ac:dyDescent="0.2">
      <c r="C422" s="169" t="s">
        <v>789</v>
      </c>
    </row>
    <row r="423" spans="3:3" ht="15" x14ac:dyDescent="0.2">
      <c r="C423" s="169" t="s">
        <v>790</v>
      </c>
    </row>
    <row r="424" spans="3:3" ht="15" x14ac:dyDescent="0.2">
      <c r="C424" s="169" t="s">
        <v>791</v>
      </c>
    </row>
    <row r="425" spans="3:3" ht="15" x14ac:dyDescent="0.2">
      <c r="C425" s="169" t="s">
        <v>792</v>
      </c>
    </row>
    <row r="427" spans="3:3" ht="15" x14ac:dyDescent="0.2">
      <c r="C427" s="169" t="s">
        <v>793</v>
      </c>
    </row>
    <row r="428" spans="3:3" ht="15" x14ac:dyDescent="0.2">
      <c r="C428" s="169" t="s">
        <v>794</v>
      </c>
    </row>
    <row r="429" spans="3:3" ht="15" x14ac:dyDescent="0.2">
      <c r="C429" s="169" t="s">
        <v>795</v>
      </c>
    </row>
    <row r="430" spans="3:3" ht="15" x14ac:dyDescent="0.2">
      <c r="C430" s="169" t="s">
        <v>796</v>
      </c>
    </row>
    <row r="431" spans="3:3" ht="15" x14ac:dyDescent="0.2">
      <c r="C431" s="169" t="s">
        <v>797</v>
      </c>
    </row>
    <row r="432" spans="3:3" ht="15" x14ac:dyDescent="0.2">
      <c r="C432" s="169" t="s">
        <v>798</v>
      </c>
    </row>
    <row r="433" spans="3:3" ht="15" x14ac:dyDescent="0.2">
      <c r="C433" s="169" t="s">
        <v>799</v>
      </c>
    </row>
    <row r="434" spans="3:3" ht="15" x14ac:dyDescent="0.2">
      <c r="C434" s="169" t="s">
        <v>795</v>
      </c>
    </row>
    <row r="435" spans="3:3" ht="15" x14ac:dyDescent="0.2">
      <c r="C435" s="169" t="s">
        <v>796</v>
      </c>
    </row>
    <row r="436" spans="3:3" ht="15" x14ac:dyDescent="0.2">
      <c r="C436" s="169" t="s">
        <v>797</v>
      </c>
    </row>
    <row r="438" spans="3:3" ht="15" x14ac:dyDescent="0.2">
      <c r="C438" s="169" t="s">
        <v>787</v>
      </c>
    </row>
    <row r="439" spans="3:3" ht="15" x14ac:dyDescent="0.2">
      <c r="C439" s="169" t="s">
        <v>801</v>
      </c>
    </row>
    <row r="440" spans="3:3" ht="15" x14ac:dyDescent="0.2">
      <c r="C440" s="169" t="s">
        <v>802</v>
      </c>
    </row>
    <row r="441" spans="3:3" ht="15" x14ac:dyDescent="0.2">
      <c r="C441" s="169" t="s">
        <v>790</v>
      </c>
    </row>
    <row r="442" spans="3:3" ht="15" x14ac:dyDescent="0.2">
      <c r="C442" s="169" t="s">
        <v>803</v>
      </c>
    </row>
    <row r="443" spans="3:3" ht="15" x14ac:dyDescent="0.2">
      <c r="C443" s="169" t="s">
        <v>1037</v>
      </c>
    </row>
    <row r="445" spans="3:3" ht="15" x14ac:dyDescent="0.2">
      <c r="C445" s="169" t="s">
        <v>805</v>
      </c>
    </row>
    <row r="446" spans="3:3" ht="15" x14ac:dyDescent="0.2">
      <c r="C446" s="169" t="s">
        <v>806</v>
      </c>
    </row>
    <row r="447" spans="3:3" ht="15" x14ac:dyDescent="0.2">
      <c r="C447" s="169" t="s">
        <v>807</v>
      </c>
    </row>
    <row r="448" spans="3:3" ht="15" x14ac:dyDescent="0.2">
      <c r="C448" s="169" t="s">
        <v>808</v>
      </c>
    </row>
    <row r="449" spans="3:3" ht="15" x14ac:dyDescent="0.2">
      <c r="C449" s="169" t="s">
        <v>809</v>
      </c>
    </row>
    <row r="451" spans="3:3" ht="15" x14ac:dyDescent="0.2">
      <c r="C451" s="169" t="s">
        <v>810</v>
      </c>
    </row>
    <row r="452" spans="3:3" ht="15" x14ac:dyDescent="0.2">
      <c r="C452" s="169" t="s">
        <v>811</v>
      </c>
    </row>
    <row r="453" spans="3:3" ht="15" x14ac:dyDescent="0.2">
      <c r="C453" s="169" t="s">
        <v>613</v>
      </c>
    </row>
    <row r="454" spans="3:3" ht="15" x14ac:dyDescent="0.2">
      <c r="C454" s="169" t="s">
        <v>812</v>
      </c>
    </row>
    <row r="455" spans="3:3" ht="15" x14ac:dyDescent="0.2">
      <c r="C455" s="169" t="s">
        <v>813</v>
      </c>
    </row>
    <row r="456" spans="3:3" ht="15" x14ac:dyDescent="0.2">
      <c r="C456" s="169" t="s">
        <v>814</v>
      </c>
    </row>
    <row r="457" spans="3:3" ht="15" x14ac:dyDescent="0.2">
      <c r="C457" s="169" t="s">
        <v>815</v>
      </c>
    </row>
    <row r="458" spans="3:3" ht="15" x14ac:dyDescent="0.2">
      <c r="C458" s="169" t="s">
        <v>816</v>
      </c>
    </row>
    <row r="459" spans="3:3" ht="15" x14ac:dyDescent="0.2">
      <c r="C459" s="169" t="s">
        <v>817</v>
      </c>
    </row>
    <row r="460" spans="3:3" ht="15" x14ac:dyDescent="0.2">
      <c r="C460" s="169" t="s">
        <v>818</v>
      </c>
    </row>
    <row r="461" spans="3:3" ht="15" x14ac:dyDescent="0.2">
      <c r="C461" s="169" t="s">
        <v>819</v>
      </c>
    </row>
    <row r="462" spans="3:3" ht="15" x14ac:dyDescent="0.2">
      <c r="C462" s="169" t="s">
        <v>820</v>
      </c>
    </row>
    <row r="463" spans="3:3" ht="15" x14ac:dyDescent="0.2">
      <c r="C463" s="169" t="s">
        <v>821</v>
      </c>
    </row>
    <row r="464" spans="3:3" ht="15" x14ac:dyDescent="0.2">
      <c r="C464" s="169" t="s">
        <v>815</v>
      </c>
    </row>
    <row r="465" spans="3:3" ht="15" x14ac:dyDescent="0.2">
      <c r="C465" s="169" t="s">
        <v>816</v>
      </c>
    </row>
    <row r="466" spans="3:3" ht="15" x14ac:dyDescent="0.2">
      <c r="C466" s="169" t="s">
        <v>817</v>
      </c>
    </row>
    <row r="467" spans="3:3" ht="15" x14ac:dyDescent="0.2">
      <c r="C467" s="169" t="s">
        <v>818</v>
      </c>
    </row>
    <row r="468" spans="3:3" ht="15" x14ac:dyDescent="0.2">
      <c r="C468" s="169" t="s">
        <v>819</v>
      </c>
    </row>
    <row r="469" spans="3:3" ht="15" x14ac:dyDescent="0.2">
      <c r="C469" s="169" t="s">
        <v>1131</v>
      </c>
    </row>
    <row r="470" spans="3:3" ht="15" x14ac:dyDescent="0.2">
      <c r="C470" s="169" t="s">
        <v>1132</v>
      </c>
    </row>
    <row r="471" spans="3:3" ht="15" x14ac:dyDescent="0.2">
      <c r="C471" s="169" t="s">
        <v>1133</v>
      </c>
    </row>
    <row r="473" spans="3:3" ht="15" x14ac:dyDescent="0.2">
      <c r="C473" s="169" t="s">
        <v>1149</v>
      </c>
    </row>
    <row r="474" spans="3:3" ht="15" x14ac:dyDescent="0.2">
      <c r="C474" s="169" t="s">
        <v>826</v>
      </c>
    </row>
    <row r="475" spans="3:3" ht="15" x14ac:dyDescent="0.2">
      <c r="C475" s="169" t="s">
        <v>827</v>
      </c>
    </row>
    <row r="477" spans="3:3" ht="15" x14ac:dyDescent="0.2">
      <c r="C477" s="169" t="s">
        <v>845</v>
      </c>
    </row>
    <row r="479" spans="3:3" ht="15" x14ac:dyDescent="0.2">
      <c r="C479" s="169" t="s">
        <v>846</v>
      </c>
    </row>
    <row r="480" spans="3:3" ht="15" x14ac:dyDescent="0.2">
      <c r="C480" s="169" t="s">
        <v>1135</v>
      </c>
    </row>
    <row r="481" spans="3:3" ht="15" x14ac:dyDescent="0.2">
      <c r="C481" s="169" t="s">
        <v>1136</v>
      </c>
    </row>
    <row r="482" spans="3:3" ht="15" x14ac:dyDescent="0.2">
      <c r="C482" s="169" t="s">
        <v>849</v>
      </c>
    </row>
    <row r="483" spans="3:3" ht="15" x14ac:dyDescent="0.2">
      <c r="C483" s="169" t="s">
        <v>850</v>
      </c>
    </row>
    <row r="485" spans="3:3" ht="15" x14ac:dyDescent="0.2">
      <c r="C485" s="169" t="s">
        <v>851</v>
      </c>
    </row>
    <row r="486" spans="3:3" ht="15" x14ac:dyDescent="0.2">
      <c r="C486" s="169" t="s">
        <v>852</v>
      </c>
    </row>
    <row r="487" spans="3:3" ht="15" x14ac:dyDescent="0.2">
      <c r="C487" s="169" t="s">
        <v>853</v>
      </c>
    </row>
    <row r="488" spans="3:3" ht="15" x14ac:dyDescent="0.2">
      <c r="C488" s="169" t="s">
        <v>854</v>
      </c>
    </row>
    <row r="489" spans="3:3" ht="15" x14ac:dyDescent="0.2">
      <c r="C489" s="169" t="s">
        <v>855</v>
      </c>
    </row>
    <row r="490" spans="3:3" ht="15" x14ac:dyDescent="0.2">
      <c r="C490" s="169" t="s">
        <v>856</v>
      </c>
    </row>
    <row r="491" spans="3:3" ht="15" x14ac:dyDescent="0.2">
      <c r="C491" s="169" t="s">
        <v>857</v>
      </c>
    </row>
    <row r="492" spans="3:3" ht="15" x14ac:dyDescent="0.2">
      <c r="C492" s="169" t="s">
        <v>858</v>
      </c>
    </row>
    <row r="493" spans="3:3" ht="15" x14ac:dyDescent="0.2">
      <c r="C493" s="169" t="s">
        <v>859</v>
      </c>
    </row>
    <row r="494" spans="3:3" ht="15" x14ac:dyDescent="0.2">
      <c r="C494" s="169" t="s">
        <v>860</v>
      </c>
    </row>
    <row r="495" spans="3:3" ht="15" x14ac:dyDescent="0.2">
      <c r="C495" s="169" t="s">
        <v>861</v>
      </c>
    </row>
    <row r="496" spans="3:3" ht="15" x14ac:dyDescent="0.2">
      <c r="C496" s="169" t="s">
        <v>862</v>
      </c>
    </row>
    <row r="497" spans="3:3" ht="15" x14ac:dyDescent="0.2">
      <c r="C497" s="169" t="s">
        <v>863</v>
      </c>
    </row>
    <row r="499" spans="3:3" ht="15" x14ac:dyDescent="0.2">
      <c r="C499" s="169" t="s">
        <v>864</v>
      </c>
    </row>
    <row r="501" spans="3:3" ht="15" x14ac:dyDescent="0.2">
      <c r="C501" s="169" t="s">
        <v>865</v>
      </c>
    </row>
    <row r="502" spans="3:3" ht="15" x14ac:dyDescent="0.2">
      <c r="C502" s="169" t="s">
        <v>866</v>
      </c>
    </row>
    <row r="503" spans="3:3" ht="15" x14ac:dyDescent="0.2">
      <c r="C503" s="169" t="s">
        <v>867</v>
      </c>
    </row>
    <row r="504" spans="3:3" ht="15" x14ac:dyDescent="0.2">
      <c r="C504" s="169" t="s">
        <v>868</v>
      </c>
    </row>
    <row r="505" spans="3:3" ht="15" x14ac:dyDescent="0.2">
      <c r="C505" s="169" t="s">
        <v>869</v>
      </c>
    </row>
    <row r="506" spans="3:3" ht="15" x14ac:dyDescent="0.2">
      <c r="C506" s="169" t="s">
        <v>870</v>
      </c>
    </row>
    <row r="507" spans="3:3" ht="15" x14ac:dyDescent="0.2">
      <c r="C507" s="169" t="s">
        <v>849</v>
      </c>
    </row>
    <row r="509" spans="3:3" ht="15" x14ac:dyDescent="0.2">
      <c r="C509" s="169" t="s">
        <v>871</v>
      </c>
    </row>
    <row r="510" spans="3:3" ht="15" x14ac:dyDescent="0.2">
      <c r="C510" s="169" t="s">
        <v>872</v>
      </c>
    </row>
    <row r="512" spans="3:3" ht="15" x14ac:dyDescent="0.2">
      <c r="C512" s="169" t="s">
        <v>873</v>
      </c>
    </row>
    <row r="513" spans="3:3" ht="15" x14ac:dyDescent="0.2">
      <c r="C513" s="169" t="s">
        <v>874</v>
      </c>
    </row>
    <row r="514" spans="3:3" ht="15" x14ac:dyDescent="0.2">
      <c r="C514" s="169" t="s">
        <v>875</v>
      </c>
    </row>
    <row r="515" spans="3:3" ht="15" x14ac:dyDescent="0.2">
      <c r="C515" s="169" t="s">
        <v>876</v>
      </c>
    </row>
    <row r="516" spans="3:3" ht="15" x14ac:dyDescent="0.2">
      <c r="C516" s="169" t="s">
        <v>877</v>
      </c>
    </row>
    <row r="517" spans="3:3" ht="15" x14ac:dyDescent="0.2">
      <c r="C517" s="169" t="s">
        <v>878</v>
      </c>
    </row>
    <row r="519" spans="3:3" ht="15" x14ac:dyDescent="0.2">
      <c r="C519" s="169" t="s">
        <v>873</v>
      </c>
    </row>
    <row r="520" spans="3:3" ht="15" x14ac:dyDescent="0.2">
      <c r="C520" s="169" t="s">
        <v>879</v>
      </c>
    </row>
    <row r="521" spans="3:3" ht="15" x14ac:dyDescent="0.2">
      <c r="C521" s="169" t="s">
        <v>880</v>
      </c>
    </row>
    <row r="522" spans="3:3" ht="15" x14ac:dyDescent="0.2">
      <c r="C522" s="169" t="s">
        <v>881</v>
      </c>
    </row>
    <row r="523" spans="3:3" ht="15" x14ac:dyDescent="0.2">
      <c r="C523" s="169" t="s">
        <v>882</v>
      </c>
    </row>
    <row r="525" spans="3:3" ht="15" x14ac:dyDescent="0.2">
      <c r="C525" s="169" t="s">
        <v>883</v>
      </c>
    </row>
    <row r="526" spans="3:3" ht="15" x14ac:dyDescent="0.2">
      <c r="C526" s="169" t="s">
        <v>884</v>
      </c>
    </row>
    <row r="527" spans="3:3" ht="15" x14ac:dyDescent="0.2">
      <c r="C527" s="169" t="s">
        <v>885</v>
      </c>
    </row>
    <row r="528" spans="3:3" ht="15" x14ac:dyDescent="0.2">
      <c r="C528" s="169" t="s">
        <v>886</v>
      </c>
    </row>
    <row r="529" spans="3:3" ht="15" x14ac:dyDescent="0.2">
      <c r="C529" s="169" t="s">
        <v>887</v>
      </c>
    </row>
    <row r="531" spans="3:3" ht="15" x14ac:dyDescent="0.2">
      <c r="C531" s="169" t="s">
        <v>888</v>
      </c>
    </row>
    <row r="532" spans="3:3" ht="15" x14ac:dyDescent="0.2">
      <c r="C532" s="169" t="s">
        <v>889</v>
      </c>
    </row>
    <row r="533" spans="3:3" ht="15" x14ac:dyDescent="0.2">
      <c r="C533" s="169" t="s">
        <v>623</v>
      </c>
    </row>
    <row r="534" spans="3:3" ht="15" x14ac:dyDescent="0.2">
      <c r="C534" s="169" t="s">
        <v>624</v>
      </c>
    </row>
    <row r="535" spans="3:3" ht="15" x14ac:dyDescent="0.2">
      <c r="C535" s="169" t="s">
        <v>890</v>
      </c>
    </row>
    <row r="536" spans="3:3" ht="15" x14ac:dyDescent="0.2">
      <c r="C536" s="169" t="s">
        <v>891</v>
      </c>
    </row>
    <row r="537" spans="3:3" ht="15" x14ac:dyDescent="0.2">
      <c r="C537" s="169" t="s">
        <v>892</v>
      </c>
    </row>
    <row r="539" spans="3:3" ht="15" x14ac:dyDescent="0.2">
      <c r="C539" s="169" t="s">
        <v>893</v>
      </c>
    </row>
    <row r="540" spans="3:3" ht="15" x14ac:dyDescent="0.2">
      <c r="C540" s="169" t="s">
        <v>624</v>
      </c>
    </row>
    <row r="542" spans="3:3" ht="15" x14ac:dyDescent="0.2">
      <c r="C542" s="169" t="s">
        <v>894</v>
      </c>
    </row>
    <row r="543" spans="3:3" ht="15" x14ac:dyDescent="0.2">
      <c r="C543" s="169" t="s">
        <v>895</v>
      </c>
    </row>
    <row r="544" spans="3:3" ht="15" x14ac:dyDescent="0.2">
      <c r="C544" s="169" t="s">
        <v>896</v>
      </c>
    </row>
    <row r="546" spans="3:3" ht="15" x14ac:dyDescent="0.2">
      <c r="C546" s="169" t="s">
        <v>897</v>
      </c>
    </row>
    <row r="547" spans="3:3" ht="15" x14ac:dyDescent="0.2">
      <c r="C547" s="169" t="s">
        <v>898</v>
      </c>
    </row>
    <row r="548" spans="3:3" ht="15" x14ac:dyDescent="0.2">
      <c r="C548" s="169" t="s">
        <v>899</v>
      </c>
    </row>
    <row r="549" spans="3:3" ht="15" x14ac:dyDescent="0.2">
      <c r="C549" s="169" t="s">
        <v>900</v>
      </c>
    </row>
    <row r="550" spans="3:3" ht="15" x14ac:dyDescent="0.2">
      <c r="C550" s="169" t="s">
        <v>901</v>
      </c>
    </row>
    <row r="552" spans="3:3" ht="15" x14ac:dyDescent="0.2">
      <c r="C552" s="169" t="s">
        <v>919</v>
      </c>
    </row>
    <row r="553" spans="3:3" ht="15" x14ac:dyDescent="0.2">
      <c r="C553" s="169" t="s">
        <v>920</v>
      </c>
    </row>
    <row r="554" spans="3:3" ht="15" x14ac:dyDescent="0.2">
      <c r="C554" s="169" t="s">
        <v>921</v>
      </c>
    </row>
    <row r="555" spans="3:3" ht="15" x14ac:dyDescent="0.2">
      <c r="C555" s="169" t="s">
        <v>922</v>
      </c>
    </row>
    <row r="556" spans="3:3" ht="15" x14ac:dyDescent="0.2">
      <c r="C556" s="169" t="s">
        <v>923</v>
      </c>
    </row>
    <row r="557" spans="3:3" ht="15" x14ac:dyDescent="0.2">
      <c r="C557" s="169" t="s">
        <v>924</v>
      </c>
    </row>
    <row r="558" spans="3:3" ht="15" x14ac:dyDescent="0.2">
      <c r="C558" s="169" t="s">
        <v>925</v>
      </c>
    </row>
    <row r="559" spans="3:3" ht="15" x14ac:dyDescent="0.2">
      <c r="C559" s="169" t="s">
        <v>926</v>
      </c>
    </row>
    <row r="560" spans="3:3" ht="15" x14ac:dyDescent="0.2">
      <c r="C560" s="169" t="s">
        <v>927</v>
      </c>
    </row>
    <row r="561" spans="3:3" ht="15" x14ac:dyDescent="0.2">
      <c r="C561" s="169" t="s">
        <v>1137</v>
      </c>
    </row>
    <row r="562" spans="3:3" ht="15" x14ac:dyDescent="0.2">
      <c r="C562" s="169" t="s">
        <v>1138</v>
      </c>
    </row>
    <row r="563" spans="3:3" ht="15" x14ac:dyDescent="0.2">
      <c r="C563" s="169" t="s">
        <v>1139</v>
      </c>
    </row>
    <row r="564" spans="3:3" ht="15" x14ac:dyDescent="0.2">
      <c r="C564" s="169" t="s">
        <v>1140</v>
      </c>
    </row>
    <row r="565" spans="3:3" ht="15" x14ac:dyDescent="0.2">
      <c r="C565" s="169" t="s">
        <v>1141</v>
      </c>
    </row>
    <row r="566" spans="3:3" ht="15" x14ac:dyDescent="0.2">
      <c r="C566" s="169" t="s">
        <v>1142</v>
      </c>
    </row>
    <row r="567" spans="3:3" ht="15" x14ac:dyDescent="0.2">
      <c r="C567" s="169" t="s">
        <v>1143</v>
      </c>
    </row>
    <row r="568" spans="3:3" ht="15" x14ac:dyDescent="0.2">
      <c r="C568" s="169" t="s">
        <v>1144</v>
      </c>
    </row>
    <row r="569" spans="3:3" ht="15" x14ac:dyDescent="0.2">
      <c r="C569" s="169" t="s">
        <v>928</v>
      </c>
    </row>
    <row r="570" spans="3:3" ht="15" x14ac:dyDescent="0.2">
      <c r="C570" s="169" t="s">
        <v>929</v>
      </c>
    </row>
    <row r="571" spans="3:3" ht="15" x14ac:dyDescent="0.2">
      <c r="C571" s="169" t="s">
        <v>930</v>
      </c>
    </row>
    <row r="572" spans="3:3" ht="15" x14ac:dyDescent="0.2">
      <c r="C572" s="169" t="s">
        <v>931</v>
      </c>
    </row>
    <row r="573" spans="3:3" ht="15" x14ac:dyDescent="0.2">
      <c r="C573" s="169" t="s">
        <v>932</v>
      </c>
    </row>
    <row r="574" spans="3:3" ht="15" x14ac:dyDescent="0.2">
      <c r="C574" s="169" t="s">
        <v>933</v>
      </c>
    </row>
    <row r="575" spans="3:3" ht="15" x14ac:dyDescent="0.2">
      <c r="C575" s="169" t="s">
        <v>934</v>
      </c>
    </row>
    <row r="576" spans="3:3" ht="15" x14ac:dyDescent="0.2">
      <c r="C576" s="169" t="s">
        <v>935</v>
      </c>
    </row>
    <row r="577" spans="3:3" ht="15" x14ac:dyDescent="0.2">
      <c r="C577" s="169" t="s">
        <v>936</v>
      </c>
    </row>
    <row r="578" spans="3:3" ht="15" x14ac:dyDescent="0.2">
      <c r="C578" s="169" t="s">
        <v>937</v>
      </c>
    </row>
    <row r="579" spans="3:3" ht="15" x14ac:dyDescent="0.2">
      <c r="C579" s="169" t="s">
        <v>938</v>
      </c>
    </row>
    <row r="580" spans="3:3" ht="15" x14ac:dyDescent="0.2">
      <c r="C580" s="169" t="s">
        <v>939</v>
      </c>
    </row>
    <row r="581" spans="3:3" ht="15" x14ac:dyDescent="0.2">
      <c r="C581" s="169" t="s">
        <v>940</v>
      </c>
    </row>
    <row r="582" spans="3:3" ht="15" x14ac:dyDescent="0.2">
      <c r="C582" s="169" t="s">
        <v>777</v>
      </c>
    </row>
    <row r="583" spans="3:3" ht="15" x14ac:dyDescent="0.2">
      <c r="C583" s="169" t="s">
        <v>941</v>
      </c>
    </row>
    <row r="584" spans="3:3" ht="15" x14ac:dyDescent="0.2">
      <c r="C584" s="169" t="s">
        <v>1145</v>
      </c>
    </row>
    <row r="585" spans="3:3" ht="15" x14ac:dyDescent="0.2">
      <c r="C585" s="169" t="s">
        <v>1146</v>
      </c>
    </row>
    <row r="586" spans="3:3" ht="15" x14ac:dyDescent="0.2">
      <c r="C586" s="169" t="s">
        <v>943</v>
      </c>
    </row>
    <row r="587" spans="3:3" ht="15" x14ac:dyDescent="0.2">
      <c r="C587" s="169" t="s">
        <v>944</v>
      </c>
    </row>
    <row r="588" spans="3:3" ht="15" x14ac:dyDescent="0.2">
      <c r="C588" s="169" t="s">
        <v>945</v>
      </c>
    </row>
    <row r="589" spans="3:3" ht="15" x14ac:dyDescent="0.2">
      <c r="C589" s="169" t="s">
        <v>946</v>
      </c>
    </row>
    <row r="590" spans="3:3" ht="15" x14ac:dyDescent="0.2">
      <c r="C590" s="169" t="s">
        <v>947</v>
      </c>
    </row>
    <row r="592" spans="3:3" ht="15" x14ac:dyDescent="0.2">
      <c r="C592" s="169" t="s">
        <v>948</v>
      </c>
    </row>
    <row r="593" spans="3:3" ht="15" x14ac:dyDescent="0.2">
      <c r="C593" s="169" t="s">
        <v>949</v>
      </c>
    </row>
    <row r="595" spans="3:3" ht="15" x14ac:dyDescent="0.2">
      <c r="C595" s="169" t="s">
        <v>950</v>
      </c>
    </row>
    <row r="596" spans="3:3" ht="15" x14ac:dyDescent="0.2">
      <c r="C596" s="169" t="s">
        <v>951</v>
      </c>
    </row>
    <row r="597" spans="3:3" ht="15" x14ac:dyDescent="0.2">
      <c r="C597" s="169" t="s">
        <v>1147</v>
      </c>
    </row>
    <row r="598" spans="3:3" ht="15" x14ac:dyDescent="0.2">
      <c r="C598" s="169" t="s">
        <v>976</v>
      </c>
    </row>
    <row r="599" spans="3:3" ht="15" x14ac:dyDescent="0.2">
      <c r="C599" s="169" t="s">
        <v>977</v>
      </c>
    </row>
    <row r="600" spans="3:3" ht="15" x14ac:dyDescent="0.2">
      <c r="C600" s="169" t="s">
        <v>978</v>
      </c>
    </row>
    <row r="602" spans="3:3" ht="15" x14ac:dyDescent="0.2">
      <c r="C602" s="169" t="s">
        <v>903</v>
      </c>
    </row>
    <row r="603" spans="3:3" ht="15" x14ac:dyDescent="0.2">
      <c r="C603" s="169" t="s">
        <v>979</v>
      </c>
    </row>
    <row r="604" spans="3:3" ht="15" x14ac:dyDescent="0.2">
      <c r="C604" s="169" t="s">
        <v>980</v>
      </c>
    </row>
    <row r="605" spans="3:3" ht="15" x14ac:dyDescent="0.2">
      <c r="C605" s="169" t="s">
        <v>906</v>
      </c>
    </row>
    <row r="606" spans="3:3" ht="15" x14ac:dyDescent="0.2">
      <c r="C606" s="169" t="s">
        <v>914</v>
      </c>
    </row>
    <row r="607" spans="3:3" ht="15" x14ac:dyDescent="0.2">
      <c r="C607" s="169" t="s">
        <v>981</v>
      </c>
    </row>
    <row r="608" spans="3:3" ht="15" x14ac:dyDescent="0.2">
      <c r="C608" s="169" t="s">
        <v>917</v>
      </c>
    </row>
    <row r="609" spans="3:3" ht="15" x14ac:dyDescent="0.2">
      <c r="C609" s="169" t="s">
        <v>849</v>
      </c>
    </row>
    <row r="611" spans="3:3" ht="15" x14ac:dyDescent="0.2">
      <c r="C611" s="169" t="s">
        <v>845</v>
      </c>
    </row>
    <row r="612" spans="3:3" ht="15" x14ac:dyDescent="0.2">
      <c r="C612" s="169" t="s">
        <v>1019</v>
      </c>
    </row>
    <row r="613" spans="3:3" ht="15" x14ac:dyDescent="0.2">
      <c r="C613" s="169" t="s">
        <v>1020</v>
      </c>
    </row>
    <row r="615" spans="3:3" ht="15" x14ac:dyDescent="0.2">
      <c r="C615" s="169" t="s">
        <v>1021</v>
      </c>
    </row>
    <row r="616" spans="3:3" ht="15" x14ac:dyDescent="0.2">
      <c r="C616" s="169" t="s">
        <v>1022</v>
      </c>
    </row>
    <row r="617" spans="3:3" ht="15" x14ac:dyDescent="0.2">
      <c r="C617" s="169" t="s">
        <v>1023</v>
      </c>
    </row>
    <row r="619" spans="3:3" ht="15" x14ac:dyDescent="0.2">
      <c r="C619" s="169" t="s">
        <v>1024</v>
      </c>
    </row>
    <row r="620" spans="3:3" ht="15" x14ac:dyDescent="0.2">
      <c r="C620" s="169" t="s">
        <v>1025</v>
      </c>
    </row>
    <row r="621" spans="3:3" ht="15" x14ac:dyDescent="0.2">
      <c r="C621" s="169" t="s">
        <v>1026</v>
      </c>
    </row>
    <row r="622" spans="3:3" ht="15" x14ac:dyDescent="0.2">
      <c r="C622" s="169" t="s">
        <v>1027</v>
      </c>
    </row>
    <row r="624" spans="3:3" ht="15" x14ac:dyDescent="0.2">
      <c r="C624" s="169" t="s">
        <v>1028</v>
      </c>
    </row>
    <row r="625" spans="3:3" x14ac:dyDescent="0.2">
      <c r="C625" s="170" t="s">
        <v>1029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">
    <tabColor rgb="FF512D6D"/>
  </sheetPr>
  <dimension ref="A1:D752"/>
  <sheetViews>
    <sheetView workbookViewId="0"/>
  </sheetViews>
  <sheetFormatPr defaultColWidth="0" defaultRowHeight="12.75" x14ac:dyDescent="0.2"/>
  <cols>
    <col min="1" max="1" width="24.7109375" style="50" customWidth="1"/>
    <col min="2" max="2" width="9.140625" style="50" customWidth="1"/>
    <col min="3" max="3" width="120.7109375" style="170" customWidth="1"/>
    <col min="4" max="4" width="1.7109375" style="50" customWidth="1"/>
    <col min="5" max="16384" width="9.140625" style="50" hidden="1"/>
  </cols>
  <sheetData>
    <row r="1" spans="1:3" ht="15.75" thickBot="1" x14ac:dyDescent="0.25">
      <c r="A1" s="171" t="s">
        <v>1631</v>
      </c>
      <c r="C1" s="169" t="s">
        <v>490</v>
      </c>
    </row>
    <row r="2" spans="1:3" ht="16.5" thickTop="1" thickBot="1" x14ac:dyDescent="0.25">
      <c r="A2" s="172" t="str">
        <f>_xlfn.CONCAT(Results!$C$32,".sim")</f>
        <v>Estatico.sim</v>
      </c>
      <c r="C2" s="169" t="s">
        <v>491</v>
      </c>
    </row>
    <row r="3" spans="1:3" ht="13.5" thickBot="1" x14ac:dyDescent="0.25"/>
    <row r="4" spans="1:3" ht="15.75" thickBot="1" x14ac:dyDescent="0.25">
      <c r="A4" s="171" t="s">
        <v>1633</v>
      </c>
      <c r="C4" s="169" t="s">
        <v>2135</v>
      </c>
    </row>
    <row r="5" spans="1:3" ht="16.5" thickTop="1" thickBot="1" x14ac:dyDescent="0.25">
      <c r="A5" s="166" t="str">
        <f>CONCATENATE(Results!C42,".png")</f>
        <v>IGNORAR.png</v>
      </c>
      <c r="C5" s="169" t="s">
        <v>2136</v>
      </c>
    </row>
    <row r="6" spans="1:3" ht="15.75" thickBot="1" x14ac:dyDescent="0.25">
      <c r="C6" s="169" t="s">
        <v>492</v>
      </c>
    </row>
    <row r="7" spans="1:3" ht="15.75" thickBot="1" x14ac:dyDescent="0.25">
      <c r="A7" s="171" t="s">
        <v>1634</v>
      </c>
      <c r="C7" s="169" t="s">
        <v>493</v>
      </c>
    </row>
    <row r="8" spans="1:3" ht="16.5" thickTop="1" thickBot="1" x14ac:dyDescent="0.25">
      <c r="A8" s="166" t="str">
        <f>CONCATENATE("Figuras\", Results!C42,".py")</f>
        <v>Figuras\IGNORAR.py</v>
      </c>
      <c r="C8" s="169" t="s">
        <v>494</v>
      </c>
    </row>
    <row r="9" spans="1:3" ht="15.75" thickBot="1" x14ac:dyDescent="0.25">
      <c r="C9" s="169" t="s">
        <v>495</v>
      </c>
    </row>
    <row r="10" spans="1:3" ht="15.75" thickBot="1" x14ac:dyDescent="0.25">
      <c r="A10" s="171" t="s">
        <v>1632</v>
      </c>
      <c r="C10" s="169" t="s">
        <v>496</v>
      </c>
    </row>
    <row r="11" spans="1:3" ht="16.5" thickTop="1" thickBot="1" x14ac:dyDescent="0.25">
      <c r="A11" s="166" t="str">
        <f>_xlfn.CONCAT(Results!C42,".sim")</f>
        <v>IGNORAR.sim</v>
      </c>
      <c r="C11" s="169" t="s">
        <v>497</v>
      </c>
    </row>
    <row r="12" spans="1:3" ht="13.5" thickBot="1" x14ac:dyDescent="0.25"/>
    <row r="13" spans="1:3" ht="15.75" thickBot="1" x14ac:dyDescent="0.25">
      <c r="A13" s="171" t="s">
        <v>498</v>
      </c>
      <c r="C13" s="169" t="s">
        <v>499</v>
      </c>
    </row>
    <row r="14" spans="1:3" s="33" customFormat="1" ht="16.5" thickTop="1" thickBot="1" x14ac:dyDescent="0.25">
      <c r="A14" s="166" t="str">
        <f>Results!C51</f>
        <v>IGNORAR</v>
      </c>
      <c r="C14" s="647" t="s">
        <v>2152</v>
      </c>
    </row>
    <row r="15" spans="1:3" s="33" customFormat="1" ht="15.75" thickBot="1" x14ac:dyDescent="0.25">
      <c r="A15" s="165"/>
      <c r="C15" s="647" t="s">
        <v>2195</v>
      </c>
    </row>
    <row r="16" spans="1:3" s="33" customFormat="1" ht="15.75" thickBot="1" x14ac:dyDescent="0.25">
      <c r="A16" s="167" t="s">
        <v>500</v>
      </c>
      <c r="C16" s="647" t="s">
        <v>2196</v>
      </c>
    </row>
    <row r="17" spans="1:3" ht="13.5" thickTop="1" x14ac:dyDescent="0.2">
      <c r="A17" s="174" t="str">
        <f>'2nd_Post_Processing'!$L$6</f>
        <v>Line</v>
      </c>
      <c r="B17" s="33"/>
      <c r="C17" s="649"/>
    </row>
    <row r="18" spans="1:3" ht="15" x14ac:dyDescent="0.2">
      <c r="A18" s="163" t="str">
        <f>'2nd_Post_Processing'!$L$7</f>
        <v>Stiffener1</v>
      </c>
      <c r="B18" s="33"/>
      <c r="C18" s="647" t="s">
        <v>501</v>
      </c>
    </row>
    <row r="19" spans="1:3" ht="15.75" thickBot="1" x14ac:dyDescent="0.25">
      <c r="A19" s="175" t="str">
        <f>'2nd_Post_Processing'!$L$8</f>
        <v>P7000048060</v>
      </c>
      <c r="B19" s="650"/>
      <c r="C19" s="647" t="str">
        <f>_xlfn.CONCAT("filename_static = glob.glob(fr'{workspace_dir}\",$A$2,"')[0]")</f>
        <v>filename_static = glob.glob(fr'{workspace_dir}\Estatico.sim')[0]</v>
      </c>
    </row>
    <row r="20" spans="1:3" x14ac:dyDescent="0.2">
      <c r="B20" s="33"/>
      <c r="C20" s="649"/>
    </row>
    <row r="21" spans="1:3" ht="15" x14ac:dyDescent="0.2">
      <c r="B21" s="33"/>
      <c r="C21" s="647" t="s">
        <v>1150</v>
      </c>
    </row>
    <row r="22" spans="1:3" ht="15" x14ac:dyDescent="0.2">
      <c r="B22" s="650"/>
      <c r="C22" s="647" t="str">
        <f>_xlfn.CONCAT("filename_hmax = glob.glob(fr'{workspace_dir}\",$A$11,"')[0]")</f>
        <v>filename_hmax = glob.glob(fr'{workspace_dir}\IGNORAR.sim')[0]</v>
      </c>
    </row>
    <row r="23" spans="1:3" x14ac:dyDescent="0.2">
      <c r="B23" s="33"/>
      <c r="C23" s="649"/>
    </row>
    <row r="24" spans="1:3" ht="15" x14ac:dyDescent="0.2">
      <c r="B24" s="33"/>
      <c r="C24" s="647" t="s">
        <v>502</v>
      </c>
    </row>
    <row r="25" spans="1:3" ht="15" x14ac:dyDescent="0.2">
      <c r="B25" s="650"/>
      <c r="C25" s="647" t="str">
        <f>_xlfn.CONCAT("pngname = fr'{figure_dir}\",$A$5,"'")</f>
        <v>pngname = fr'{figure_dir}\IGNORAR.png'</v>
      </c>
    </row>
    <row r="28" spans="1:3" ht="15" x14ac:dyDescent="0.2">
      <c r="C28" s="169" t="s">
        <v>504</v>
      </c>
    </row>
    <row r="30" spans="1:3" ht="15" x14ac:dyDescent="0.2">
      <c r="C30" s="169" t="s">
        <v>505</v>
      </c>
    </row>
    <row r="31" spans="1:3" ht="15" x14ac:dyDescent="0.2">
      <c r="C31" s="169" t="s">
        <v>506</v>
      </c>
    </row>
    <row r="32" spans="1:3" ht="15" x14ac:dyDescent="0.2">
      <c r="C32" s="169" t="s">
        <v>507</v>
      </c>
    </row>
    <row r="34" spans="3:3" ht="15" x14ac:dyDescent="0.2">
      <c r="C34" s="169" t="s">
        <v>508</v>
      </c>
    </row>
    <row r="35" spans="3:3" ht="15" x14ac:dyDescent="0.2">
      <c r="C35" s="169" t="s">
        <v>509</v>
      </c>
    </row>
    <row r="36" spans="3:3" ht="15" x14ac:dyDescent="0.2">
      <c r="C36" s="169" t="s">
        <v>510</v>
      </c>
    </row>
    <row r="37" spans="3:3" ht="15" x14ac:dyDescent="0.2">
      <c r="C37" s="169" t="s">
        <v>511</v>
      </c>
    </row>
    <row r="38" spans="3:3" ht="15" x14ac:dyDescent="0.2">
      <c r="C38" s="169" t="s">
        <v>512</v>
      </c>
    </row>
    <row r="40" spans="3:3" ht="15" x14ac:dyDescent="0.2">
      <c r="C40" s="169" t="s">
        <v>513</v>
      </c>
    </row>
    <row r="41" spans="3:3" ht="15" x14ac:dyDescent="0.2">
      <c r="C41" s="169" t="s">
        <v>514</v>
      </c>
    </row>
    <row r="43" spans="3:3" ht="15" x14ac:dyDescent="0.2">
      <c r="C43" s="169" t="s">
        <v>515</v>
      </c>
    </row>
    <row r="44" spans="3:3" ht="15" x14ac:dyDescent="0.2">
      <c r="C44" s="169" t="s">
        <v>516</v>
      </c>
    </row>
    <row r="46" spans="3:3" ht="15" x14ac:dyDescent="0.2">
      <c r="C46" s="169" t="s">
        <v>517</v>
      </c>
    </row>
    <row r="47" spans="3:3" ht="15" x14ac:dyDescent="0.2">
      <c r="C47" s="169" t="s">
        <v>518</v>
      </c>
    </row>
    <row r="49" spans="3:3" ht="15" x14ac:dyDescent="0.2">
      <c r="C49" s="169" t="s">
        <v>519</v>
      </c>
    </row>
    <row r="50" spans="3:3" ht="15" x14ac:dyDescent="0.2">
      <c r="C50" s="169" t="s">
        <v>520</v>
      </c>
    </row>
    <row r="52" spans="3:3" ht="15" x14ac:dyDescent="0.2">
      <c r="C52" s="169" t="s">
        <v>521</v>
      </c>
    </row>
    <row r="53" spans="3:3" ht="15" x14ac:dyDescent="0.2">
      <c r="C53" s="169" t="s">
        <v>522</v>
      </c>
    </row>
    <row r="55" spans="3:3" ht="15" x14ac:dyDescent="0.2">
      <c r="C55" s="169" t="s">
        <v>523</v>
      </c>
    </row>
    <row r="56" spans="3:3" ht="15" x14ac:dyDescent="0.2">
      <c r="C56" s="169" t="s">
        <v>524</v>
      </c>
    </row>
    <row r="58" spans="3:3" ht="15" x14ac:dyDescent="0.2">
      <c r="C58" s="169" t="s">
        <v>525</v>
      </c>
    </row>
    <row r="59" spans="3:3" ht="15" x14ac:dyDescent="0.2">
      <c r="C59" s="169" t="s">
        <v>526</v>
      </c>
    </row>
    <row r="61" spans="3:3" ht="15" x14ac:dyDescent="0.2">
      <c r="C61" s="169" t="s">
        <v>527</v>
      </c>
    </row>
    <row r="62" spans="3:3" ht="15" x14ac:dyDescent="0.2">
      <c r="C62" s="169" t="s">
        <v>528</v>
      </c>
    </row>
    <row r="64" spans="3:3" ht="15" x14ac:dyDescent="0.2">
      <c r="C64" s="169" t="s">
        <v>529</v>
      </c>
    </row>
    <row r="65" spans="2:3" ht="15" x14ac:dyDescent="0.2">
      <c r="C65" s="169" t="s">
        <v>530</v>
      </c>
    </row>
    <row r="67" spans="2:3" ht="15" x14ac:dyDescent="0.2">
      <c r="C67" s="169" t="s">
        <v>531</v>
      </c>
    </row>
    <row r="68" spans="2:3" ht="15" x14ac:dyDescent="0.2">
      <c r="C68" s="169" t="s">
        <v>532</v>
      </c>
    </row>
    <row r="70" spans="2:3" ht="15" x14ac:dyDescent="0.2">
      <c r="C70" s="169" t="s">
        <v>545</v>
      </c>
    </row>
    <row r="71" spans="2:3" ht="15" x14ac:dyDescent="0.2">
      <c r="B71" s="173"/>
      <c r="C71" s="169" t="str">
        <f>_xlfn.CONCAT("font_size = '",$A$14,"'")</f>
        <v>font_size = 'IGNORAR'</v>
      </c>
    </row>
    <row r="73" spans="2:3" ht="15" x14ac:dyDescent="0.2">
      <c r="C73" s="169" t="s">
        <v>547</v>
      </c>
    </row>
    <row r="75" spans="2:3" ht="15" x14ac:dyDescent="0.2">
      <c r="C75" s="169" t="s">
        <v>551</v>
      </c>
    </row>
    <row r="76" spans="2:3" ht="15" x14ac:dyDescent="0.2">
      <c r="C76" s="169" t="s">
        <v>552</v>
      </c>
    </row>
    <row r="77" spans="2:3" ht="15" x14ac:dyDescent="0.2">
      <c r="C77" s="169" t="s">
        <v>553</v>
      </c>
    </row>
    <row r="78" spans="2:3" ht="15" x14ac:dyDescent="0.2">
      <c r="C78" s="169" t="s">
        <v>552</v>
      </c>
    </row>
    <row r="79" spans="2:3" ht="15" x14ac:dyDescent="0.2">
      <c r="C79" s="169" t="s">
        <v>554</v>
      </c>
    </row>
    <row r="80" spans="2:3" ht="15" x14ac:dyDescent="0.2">
      <c r="C80" s="169" t="s">
        <v>555</v>
      </c>
    </row>
    <row r="81" spans="3:3" ht="15" x14ac:dyDescent="0.2">
      <c r="C81" s="169" t="s">
        <v>556</v>
      </c>
    </row>
    <row r="82" spans="3:3" ht="15" x14ac:dyDescent="0.2">
      <c r="C82" s="169" t="s">
        <v>557</v>
      </c>
    </row>
    <row r="83" spans="3:3" ht="15" x14ac:dyDescent="0.2">
      <c r="C83" s="169" t="s">
        <v>558</v>
      </c>
    </row>
    <row r="84" spans="3:3" ht="15" x14ac:dyDescent="0.2">
      <c r="C84" s="169" t="s">
        <v>559</v>
      </c>
    </row>
    <row r="85" spans="3:3" ht="15" x14ac:dyDescent="0.2">
      <c r="C85" s="169" t="s">
        <v>560</v>
      </c>
    </row>
    <row r="86" spans="3:3" ht="15" x14ac:dyDescent="0.2">
      <c r="C86" s="169" t="s">
        <v>561</v>
      </c>
    </row>
    <row r="87" spans="3:3" ht="15" x14ac:dyDescent="0.2">
      <c r="C87" s="169" t="s">
        <v>559</v>
      </c>
    </row>
    <row r="88" spans="3:3" ht="15" x14ac:dyDescent="0.2">
      <c r="C88" s="169" t="s">
        <v>562</v>
      </c>
    </row>
    <row r="89" spans="3:3" ht="15" x14ac:dyDescent="0.2">
      <c r="C89" s="169" t="s">
        <v>563</v>
      </c>
    </row>
    <row r="90" spans="3:3" ht="15" x14ac:dyDescent="0.2">
      <c r="C90" s="169" t="s">
        <v>564</v>
      </c>
    </row>
    <row r="91" spans="3:3" ht="15" x14ac:dyDescent="0.2">
      <c r="C91" s="169" t="s">
        <v>565</v>
      </c>
    </row>
    <row r="92" spans="3:3" ht="15" x14ac:dyDescent="0.2">
      <c r="C92" s="169" t="s">
        <v>566</v>
      </c>
    </row>
    <row r="93" spans="3:3" ht="15" x14ac:dyDescent="0.2">
      <c r="C93" s="169" t="s">
        <v>567</v>
      </c>
    </row>
    <row r="94" spans="3:3" ht="15" x14ac:dyDescent="0.2">
      <c r="C94" s="169" t="s">
        <v>568</v>
      </c>
    </row>
    <row r="95" spans="3:3" ht="15" x14ac:dyDescent="0.2">
      <c r="C95" s="169" t="s">
        <v>569</v>
      </c>
    </row>
    <row r="96" spans="3:3" ht="15" x14ac:dyDescent="0.2">
      <c r="C96" s="169" t="s">
        <v>570</v>
      </c>
    </row>
    <row r="97" spans="2:3" ht="15" x14ac:dyDescent="0.2">
      <c r="C97" s="169" t="s">
        <v>571</v>
      </c>
    </row>
    <row r="99" spans="2:3" ht="15" x14ac:dyDescent="0.2">
      <c r="C99" s="169" t="s">
        <v>572</v>
      </c>
    </row>
    <row r="100" spans="2:3" ht="15" x14ac:dyDescent="0.2">
      <c r="C100" s="169" t="s">
        <v>1151</v>
      </c>
    </row>
    <row r="102" spans="2:3" ht="15" x14ac:dyDescent="0.2">
      <c r="C102" s="169" t="s">
        <v>1152</v>
      </c>
    </row>
    <row r="103" spans="2:3" ht="15" x14ac:dyDescent="0.2">
      <c r="C103" s="169" t="s">
        <v>1153</v>
      </c>
    </row>
    <row r="105" spans="2:3" ht="15" x14ac:dyDescent="0.2">
      <c r="C105" s="169" t="s">
        <v>574</v>
      </c>
    </row>
    <row r="106" spans="2:3" ht="15" x14ac:dyDescent="0.2">
      <c r="B106" s="173"/>
      <c r="C106" s="169" t="str">
        <f>_xlfn.CONCAT("vcm1=model['",$A$19,"']")</f>
        <v>vcm1=model['P7000048060']</v>
      </c>
    </row>
    <row r="108" spans="2:3" ht="15" x14ac:dyDescent="0.2">
      <c r="C108" s="169" t="s">
        <v>575</v>
      </c>
    </row>
    <row r="109" spans="2:3" ht="15" x14ac:dyDescent="0.2">
      <c r="B109" s="173"/>
      <c r="C109" s="169" t="str">
        <f>_xlfn.CONCAT("line1=model['",$A$17,"']")</f>
        <v>line1=model['Line']</v>
      </c>
    </row>
    <row r="110" spans="2:3" ht="15" x14ac:dyDescent="0.2">
      <c r="B110" s="173"/>
      <c r="C110" s="169" t="str">
        <f>_xlfn.CONCAT("att_lines=list(['",$A$18,"'])")</f>
        <v>att_lines=list(['Stiffener1'])</v>
      </c>
    </row>
    <row r="112" spans="2:3" ht="15" x14ac:dyDescent="0.2">
      <c r="C112" s="169" t="s">
        <v>576</v>
      </c>
    </row>
    <row r="113" spans="3:3" ht="15" x14ac:dyDescent="0.2">
      <c r="C113" s="169" t="s">
        <v>577</v>
      </c>
    </row>
    <row r="114" spans="3:3" ht="15" x14ac:dyDescent="0.2">
      <c r="C114" s="169" t="s">
        <v>578</v>
      </c>
    </row>
    <row r="115" spans="3:3" ht="15" x14ac:dyDescent="0.2">
      <c r="C115" s="169" t="s">
        <v>579</v>
      </c>
    </row>
    <row r="116" spans="3:3" ht="15" x14ac:dyDescent="0.2">
      <c r="C116" s="169" t="s">
        <v>580</v>
      </c>
    </row>
    <row r="117" spans="3:3" ht="15" x14ac:dyDescent="0.2">
      <c r="C117" s="169" t="s">
        <v>581</v>
      </c>
    </row>
    <row r="118" spans="3:3" ht="15" x14ac:dyDescent="0.2">
      <c r="C118" s="169" t="s">
        <v>582</v>
      </c>
    </row>
    <row r="120" spans="3:3" ht="15" x14ac:dyDescent="0.2">
      <c r="C120" s="169" t="s">
        <v>583</v>
      </c>
    </row>
    <row r="121" spans="3:3" ht="15" x14ac:dyDescent="0.2">
      <c r="C121" s="169" t="s">
        <v>584</v>
      </c>
    </row>
    <row r="122" spans="3:3" ht="15" x14ac:dyDescent="0.2">
      <c r="C122" s="169" t="s">
        <v>585</v>
      </c>
    </row>
    <row r="123" spans="3:3" ht="15" x14ac:dyDescent="0.2">
      <c r="C123" s="169" t="s">
        <v>586</v>
      </c>
    </row>
    <row r="124" spans="3:3" ht="15" x14ac:dyDescent="0.2">
      <c r="C124" s="169" t="s">
        <v>587</v>
      </c>
    </row>
    <row r="125" spans="3:3" ht="15" x14ac:dyDescent="0.2">
      <c r="C125" s="169" t="s">
        <v>588</v>
      </c>
    </row>
    <row r="126" spans="3:3" ht="15" x14ac:dyDescent="0.2">
      <c r="C126" s="169" t="s">
        <v>589</v>
      </c>
    </row>
    <row r="127" spans="3:3" ht="15" x14ac:dyDescent="0.2">
      <c r="C127" s="169" t="s">
        <v>590</v>
      </c>
    </row>
    <row r="128" spans="3:3" ht="15" x14ac:dyDescent="0.2">
      <c r="C128" s="169" t="s">
        <v>591</v>
      </c>
    </row>
    <row r="129" spans="3:3" ht="15" x14ac:dyDescent="0.2">
      <c r="C129" s="169" t="s">
        <v>592</v>
      </c>
    </row>
    <row r="130" spans="3:3" ht="15" x14ac:dyDescent="0.2">
      <c r="C130" s="169" t="s">
        <v>593</v>
      </c>
    </row>
    <row r="132" spans="3:3" ht="15" x14ac:dyDescent="0.2">
      <c r="C132" s="169" t="s">
        <v>594</v>
      </c>
    </row>
    <row r="133" spans="3:3" ht="15" x14ac:dyDescent="0.2">
      <c r="C133" s="169" t="s">
        <v>595</v>
      </c>
    </row>
    <row r="134" spans="3:3" ht="15" x14ac:dyDescent="0.2">
      <c r="C134" s="169" t="s">
        <v>596</v>
      </c>
    </row>
    <row r="135" spans="3:3" ht="15" x14ac:dyDescent="0.2">
      <c r="C135" s="169" t="s">
        <v>597</v>
      </c>
    </row>
    <row r="136" spans="3:3" ht="15" x14ac:dyDescent="0.2">
      <c r="C136" s="169" t="s">
        <v>598</v>
      </c>
    </row>
    <row r="137" spans="3:3" ht="15" x14ac:dyDescent="0.2">
      <c r="C137" s="169" t="s">
        <v>599</v>
      </c>
    </row>
    <row r="139" spans="3:3" ht="15" x14ac:dyDescent="0.2">
      <c r="C139" s="169" t="s">
        <v>600</v>
      </c>
    </row>
    <row r="140" spans="3:3" ht="15" x14ac:dyDescent="0.2">
      <c r="C140" s="169" t="s">
        <v>588</v>
      </c>
    </row>
    <row r="141" spans="3:3" ht="15" x14ac:dyDescent="0.2">
      <c r="C141" s="169" t="s">
        <v>601</v>
      </c>
    </row>
    <row r="142" spans="3:3" ht="15" x14ac:dyDescent="0.2">
      <c r="C142" s="169" t="s">
        <v>602</v>
      </c>
    </row>
    <row r="143" spans="3:3" ht="15" x14ac:dyDescent="0.2">
      <c r="C143" s="169" t="s">
        <v>603</v>
      </c>
    </row>
    <row r="144" spans="3:3" ht="15" x14ac:dyDescent="0.2">
      <c r="C144" s="169" t="s">
        <v>604</v>
      </c>
    </row>
    <row r="145" spans="3:3" ht="15" x14ac:dyDescent="0.2">
      <c r="C145" s="169" t="s">
        <v>605</v>
      </c>
    </row>
    <row r="146" spans="3:3" ht="15" x14ac:dyDescent="0.2">
      <c r="C146" s="169" t="s">
        <v>606</v>
      </c>
    </row>
    <row r="148" spans="3:3" ht="15" x14ac:dyDescent="0.2">
      <c r="C148" s="169" t="s">
        <v>607</v>
      </c>
    </row>
    <row r="149" spans="3:3" ht="15" x14ac:dyDescent="0.2">
      <c r="C149" s="169" t="s">
        <v>608</v>
      </c>
    </row>
    <row r="151" spans="3:3" ht="15" x14ac:dyDescent="0.2">
      <c r="C151" s="169" t="s">
        <v>609</v>
      </c>
    </row>
    <row r="152" spans="3:3" ht="15" x14ac:dyDescent="0.2">
      <c r="C152" s="169" t="s">
        <v>610</v>
      </c>
    </row>
    <row r="153" spans="3:3" ht="15" x14ac:dyDescent="0.2">
      <c r="C153" s="169" t="s">
        <v>611</v>
      </c>
    </row>
    <row r="154" spans="3:3" ht="15" x14ac:dyDescent="0.2">
      <c r="C154" s="169" t="s">
        <v>612</v>
      </c>
    </row>
    <row r="155" spans="3:3" ht="15" x14ac:dyDescent="0.2">
      <c r="C155" s="169" t="s">
        <v>613</v>
      </c>
    </row>
    <row r="156" spans="3:3" ht="15" x14ac:dyDescent="0.2">
      <c r="C156" s="169" t="s">
        <v>614</v>
      </c>
    </row>
    <row r="157" spans="3:3" ht="15" x14ac:dyDescent="0.2">
      <c r="C157" s="169" t="s">
        <v>615</v>
      </c>
    </row>
    <row r="158" spans="3:3" ht="15" x14ac:dyDescent="0.2">
      <c r="C158" s="169" t="s">
        <v>616</v>
      </c>
    </row>
    <row r="159" spans="3:3" ht="15" x14ac:dyDescent="0.2">
      <c r="C159" s="169" t="s">
        <v>617</v>
      </c>
    </row>
    <row r="160" spans="3:3" ht="15" x14ac:dyDescent="0.2">
      <c r="C160" s="169" t="s">
        <v>618</v>
      </c>
    </row>
    <row r="161" spans="3:3" ht="15" x14ac:dyDescent="0.2">
      <c r="C161" s="169" t="s">
        <v>619</v>
      </c>
    </row>
    <row r="162" spans="3:3" ht="15" x14ac:dyDescent="0.2">
      <c r="C162" s="169" t="s">
        <v>620</v>
      </c>
    </row>
    <row r="164" spans="3:3" ht="15" x14ac:dyDescent="0.2">
      <c r="C164" s="169" t="s">
        <v>621</v>
      </c>
    </row>
    <row r="165" spans="3:3" ht="15" x14ac:dyDescent="0.2">
      <c r="C165" s="169" t="s">
        <v>622</v>
      </c>
    </row>
    <row r="166" spans="3:3" ht="15" x14ac:dyDescent="0.2">
      <c r="C166" s="169" t="s">
        <v>623</v>
      </c>
    </row>
    <row r="167" spans="3:3" ht="15" x14ac:dyDescent="0.2">
      <c r="C167" s="169" t="s">
        <v>624</v>
      </c>
    </row>
    <row r="168" spans="3:3" ht="15" x14ac:dyDescent="0.2">
      <c r="C168" s="169" t="s">
        <v>625</v>
      </c>
    </row>
    <row r="169" spans="3:3" ht="15" x14ac:dyDescent="0.2">
      <c r="C169" s="169" t="s">
        <v>626</v>
      </c>
    </row>
    <row r="170" spans="3:3" ht="15" x14ac:dyDescent="0.2">
      <c r="C170" s="169" t="s">
        <v>627</v>
      </c>
    </row>
    <row r="171" spans="3:3" ht="15" x14ac:dyDescent="0.2">
      <c r="C171" s="169" t="s">
        <v>619</v>
      </c>
    </row>
    <row r="172" spans="3:3" ht="15" x14ac:dyDescent="0.2">
      <c r="C172" s="169" t="s">
        <v>628</v>
      </c>
    </row>
    <row r="173" spans="3:3" ht="15" x14ac:dyDescent="0.2">
      <c r="C173" s="169" t="s">
        <v>629</v>
      </c>
    </row>
    <row r="174" spans="3:3" ht="15" x14ac:dyDescent="0.2">
      <c r="C174" s="169" t="s">
        <v>630</v>
      </c>
    </row>
    <row r="175" spans="3:3" ht="15" x14ac:dyDescent="0.2">
      <c r="C175" s="169" t="s">
        <v>1154</v>
      </c>
    </row>
    <row r="177" spans="3:3" ht="15" x14ac:dyDescent="0.2">
      <c r="C177" s="169" t="s">
        <v>632</v>
      </c>
    </row>
    <row r="178" spans="3:3" ht="15" x14ac:dyDescent="0.2">
      <c r="C178" s="169" t="s">
        <v>633</v>
      </c>
    </row>
    <row r="179" spans="3:3" ht="15" x14ac:dyDescent="0.2">
      <c r="C179" s="169" t="s">
        <v>634</v>
      </c>
    </row>
    <row r="180" spans="3:3" ht="15" x14ac:dyDescent="0.2">
      <c r="C180" s="169" t="s">
        <v>635</v>
      </c>
    </row>
    <row r="181" spans="3:3" ht="15" x14ac:dyDescent="0.2">
      <c r="C181" s="169" t="s">
        <v>636</v>
      </c>
    </row>
    <row r="182" spans="3:3" ht="15" x14ac:dyDescent="0.2">
      <c r="C182" s="169" t="s">
        <v>637</v>
      </c>
    </row>
    <row r="183" spans="3:3" ht="15" x14ac:dyDescent="0.2">
      <c r="C183" s="169" t="s">
        <v>638</v>
      </c>
    </row>
    <row r="185" spans="3:3" ht="15" x14ac:dyDescent="0.2">
      <c r="C185" s="169" t="s">
        <v>639</v>
      </c>
    </row>
    <row r="186" spans="3:3" ht="15" x14ac:dyDescent="0.2">
      <c r="C186" s="169" t="s">
        <v>640</v>
      </c>
    </row>
    <row r="187" spans="3:3" ht="15" x14ac:dyDescent="0.2">
      <c r="C187" s="169" t="s">
        <v>641</v>
      </c>
    </row>
    <row r="189" spans="3:3" ht="15" x14ac:dyDescent="0.2">
      <c r="C189" s="169" t="s">
        <v>642</v>
      </c>
    </row>
    <row r="190" spans="3:3" ht="15" x14ac:dyDescent="0.2">
      <c r="C190" s="169" t="s">
        <v>643</v>
      </c>
    </row>
    <row r="191" spans="3:3" ht="15" x14ac:dyDescent="0.2">
      <c r="C191" s="169" t="s">
        <v>644</v>
      </c>
    </row>
    <row r="192" spans="3:3" ht="15" x14ac:dyDescent="0.2">
      <c r="C192" s="169" t="s">
        <v>645</v>
      </c>
    </row>
    <row r="193" spans="3:3" ht="15" x14ac:dyDescent="0.2">
      <c r="C193" s="169" t="s">
        <v>646</v>
      </c>
    </row>
    <row r="194" spans="3:3" ht="15" x14ac:dyDescent="0.2">
      <c r="C194" s="169" t="s">
        <v>1129</v>
      </c>
    </row>
    <row r="195" spans="3:3" ht="15" x14ac:dyDescent="0.2">
      <c r="C195" s="169" t="s">
        <v>651</v>
      </c>
    </row>
    <row r="197" spans="3:3" ht="15" x14ac:dyDescent="0.2">
      <c r="C197" s="169" t="s">
        <v>652</v>
      </c>
    </row>
    <row r="198" spans="3:3" ht="15" x14ac:dyDescent="0.2">
      <c r="C198" s="169" t="s">
        <v>653</v>
      </c>
    </row>
    <row r="200" spans="3:3" ht="15" x14ac:dyDescent="0.2">
      <c r="C200" s="169" t="s">
        <v>654</v>
      </c>
    </row>
    <row r="201" spans="3:3" ht="15" x14ac:dyDescent="0.2">
      <c r="C201" s="169" t="s">
        <v>655</v>
      </c>
    </row>
    <row r="203" spans="3:3" ht="15" x14ac:dyDescent="0.2">
      <c r="C203" s="169" t="s">
        <v>656</v>
      </c>
    </row>
    <row r="205" spans="3:3" ht="15" x14ac:dyDescent="0.2">
      <c r="C205" s="169" t="s">
        <v>657</v>
      </c>
    </row>
    <row r="206" spans="3:3" ht="15" x14ac:dyDescent="0.2">
      <c r="C206" s="169" t="s">
        <v>658</v>
      </c>
    </row>
    <row r="207" spans="3:3" ht="15" x14ac:dyDescent="0.2">
      <c r="C207" s="169" t="s">
        <v>659</v>
      </c>
    </row>
    <row r="208" spans="3:3" ht="15" x14ac:dyDescent="0.2">
      <c r="C208" s="169" t="s">
        <v>660</v>
      </c>
    </row>
    <row r="210" spans="3:3" ht="15" x14ac:dyDescent="0.2">
      <c r="C210" s="169" t="s">
        <v>661</v>
      </c>
    </row>
    <row r="211" spans="3:3" ht="15" x14ac:dyDescent="0.2">
      <c r="C211" s="169" t="s">
        <v>662</v>
      </c>
    </row>
    <row r="212" spans="3:3" ht="15" x14ac:dyDescent="0.2">
      <c r="C212" s="169" t="s">
        <v>663</v>
      </c>
    </row>
    <row r="213" spans="3:3" ht="15" x14ac:dyDescent="0.2">
      <c r="C213" s="169" t="s">
        <v>664</v>
      </c>
    </row>
    <row r="214" spans="3:3" ht="15" x14ac:dyDescent="0.2">
      <c r="C214" s="169" t="s">
        <v>623</v>
      </c>
    </row>
    <row r="215" spans="3:3" ht="15" x14ac:dyDescent="0.2">
      <c r="C215" s="169" t="s">
        <v>624</v>
      </c>
    </row>
    <row r="216" spans="3:3" ht="15" x14ac:dyDescent="0.2">
      <c r="C216" s="169" t="s">
        <v>665</v>
      </c>
    </row>
    <row r="217" spans="3:3" ht="15" x14ac:dyDescent="0.2">
      <c r="C217" s="169" t="s">
        <v>666</v>
      </c>
    </row>
    <row r="218" spans="3:3" ht="15" x14ac:dyDescent="0.2">
      <c r="C218" s="169" t="s">
        <v>667</v>
      </c>
    </row>
    <row r="220" spans="3:3" ht="15" x14ac:dyDescent="0.2">
      <c r="C220" s="169" t="s">
        <v>668</v>
      </c>
    </row>
    <row r="221" spans="3:3" ht="15" x14ac:dyDescent="0.2">
      <c r="C221" s="169" t="s">
        <v>669</v>
      </c>
    </row>
    <row r="222" spans="3:3" ht="15" x14ac:dyDescent="0.2">
      <c r="C222" s="169" t="s">
        <v>670</v>
      </c>
    </row>
    <row r="223" spans="3:3" ht="15" x14ac:dyDescent="0.2">
      <c r="C223" s="169" t="s">
        <v>671</v>
      </c>
    </row>
    <row r="224" spans="3:3" ht="15" x14ac:dyDescent="0.2">
      <c r="C224" s="169" t="s">
        <v>672</v>
      </c>
    </row>
    <row r="226" spans="3:3" ht="15" x14ac:dyDescent="0.2">
      <c r="C226" s="169" t="s">
        <v>673</v>
      </c>
    </row>
    <row r="227" spans="3:3" ht="15" x14ac:dyDescent="0.2">
      <c r="C227" s="169" t="s">
        <v>674</v>
      </c>
    </row>
    <row r="228" spans="3:3" ht="15" x14ac:dyDescent="0.2">
      <c r="C228" s="169" t="s">
        <v>675</v>
      </c>
    </row>
    <row r="229" spans="3:3" ht="15" x14ac:dyDescent="0.2">
      <c r="C229" s="169" t="s">
        <v>676</v>
      </c>
    </row>
    <row r="230" spans="3:3" ht="15" x14ac:dyDescent="0.2">
      <c r="C230" s="169" t="s">
        <v>677</v>
      </c>
    </row>
    <row r="231" spans="3:3" ht="15" x14ac:dyDescent="0.2">
      <c r="C231" s="169" t="s">
        <v>678</v>
      </c>
    </row>
    <row r="232" spans="3:3" ht="15" x14ac:dyDescent="0.2">
      <c r="C232" s="169" t="s">
        <v>679</v>
      </c>
    </row>
    <row r="233" spans="3:3" ht="15" x14ac:dyDescent="0.2">
      <c r="C233" s="169" t="s">
        <v>680</v>
      </c>
    </row>
    <row r="234" spans="3:3" ht="15" x14ac:dyDescent="0.2">
      <c r="C234" s="169" t="s">
        <v>684</v>
      </c>
    </row>
    <row r="235" spans="3:3" ht="15" x14ac:dyDescent="0.2">
      <c r="C235" s="169" t="s">
        <v>685</v>
      </c>
    </row>
    <row r="236" spans="3:3" ht="15" x14ac:dyDescent="0.2">
      <c r="C236" s="169" t="s">
        <v>686</v>
      </c>
    </row>
    <row r="237" spans="3:3" ht="15" x14ac:dyDescent="0.2">
      <c r="C237" s="169" t="s">
        <v>687</v>
      </c>
    </row>
    <row r="238" spans="3:3" ht="15" x14ac:dyDescent="0.2">
      <c r="C238" s="169" t="s">
        <v>688</v>
      </c>
    </row>
    <row r="239" spans="3:3" ht="15" x14ac:dyDescent="0.2">
      <c r="C239" s="169" t="s">
        <v>689</v>
      </c>
    </row>
    <row r="240" spans="3:3" ht="15" x14ac:dyDescent="0.2">
      <c r="C240" s="169" t="s">
        <v>568</v>
      </c>
    </row>
    <row r="241" spans="3:3" ht="15" x14ac:dyDescent="0.2">
      <c r="C241" s="169" t="s">
        <v>696</v>
      </c>
    </row>
    <row r="242" spans="3:3" ht="15" x14ac:dyDescent="0.2">
      <c r="C242" s="169" t="s">
        <v>697</v>
      </c>
    </row>
    <row r="243" spans="3:3" ht="15" x14ac:dyDescent="0.2">
      <c r="C243" s="169" t="s">
        <v>698</v>
      </c>
    </row>
    <row r="244" spans="3:3" ht="15" x14ac:dyDescent="0.2">
      <c r="C244" s="169" t="s">
        <v>699</v>
      </c>
    </row>
    <row r="245" spans="3:3" ht="15" x14ac:dyDescent="0.2">
      <c r="C245" s="169" t="s">
        <v>685</v>
      </c>
    </row>
    <row r="246" spans="3:3" ht="15" x14ac:dyDescent="0.2">
      <c r="C246" s="169" t="s">
        <v>686</v>
      </c>
    </row>
    <row r="247" spans="3:3" ht="15" x14ac:dyDescent="0.2">
      <c r="C247" s="169" t="s">
        <v>687</v>
      </c>
    </row>
    <row r="248" spans="3:3" ht="15" x14ac:dyDescent="0.2">
      <c r="C248" s="169" t="s">
        <v>700</v>
      </c>
    </row>
    <row r="249" spans="3:3" ht="15" x14ac:dyDescent="0.2">
      <c r="C249" s="169" t="s">
        <v>701</v>
      </c>
    </row>
    <row r="250" spans="3:3" ht="15" x14ac:dyDescent="0.2">
      <c r="C250" s="169" t="s">
        <v>702</v>
      </c>
    </row>
    <row r="251" spans="3:3" ht="15" x14ac:dyDescent="0.2">
      <c r="C251" s="169" t="s">
        <v>1155</v>
      </c>
    </row>
    <row r="252" spans="3:3" ht="15" x14ac:dyDescent="0.2">
      <c r="C252" s="169" t="s">
        <v>1156</v>
      </c>
    </row>
    <row r="253" spans="3:3" ht="15" x14ac:dyDescent="0.2">
      <c r="C253" s="169" t="s">
        <v>568</v>
      </c>
    </row>
    <row r="254" spans="3:3" ht="15" x14ac:dyDescent="0.2">
      <c r="C254" s="169" t="s">
        <v>707</v>
      </c>
    </row>
    <row r="255" spans="3:3" ht="15" x14ac:dyDescent="0.2">
      <c r="C255" s="169" t="s">
        <v>708</v>
      </c>
    </row>
    <row r="256" spans="3:3" ht="15" x14ac:dyDescent="0.2">
      <c r="C256" s="169" t="s">
        <v>709</v>
      </c>
    </row>
    <row r="257" spans="3:3" ht="15" x14ac:dyDescent="0.2">
      <c r="C257" s="169" t="s">
        <v>685</v>
      </c>
    </row>
    <row r="258" spans="3:3" ht="15" x14ac:dyDescent="0.2">
      <c r="C258" s="169" t="s">
        <v>686</v>
      </c>
    </row>
    <row r="259" spans="3:3" ht="15" x14ac:dyDescent="0.2">
      <c r="C259" s="169" t="s">
        <v>687</v>
      </c>
    </row>
    <row r="260" spans="3:3" ht="15" x14ac:dyDescent="0.2">
      <c r="C260" s="169" t="s">
        <v>710</v>
      </c>
    </row>
    <row r="261" spans="3:3" ht="15" x14ac:dyDescent="0.2">
      <c r="C261" s="169" t="s">
        <v>711</v>
      </c>
    </row>
    <row r="262" spans="3:3" ht="15" x14ac:dyDescent="0.2">
      <c r="C262" s="169" t="s">
        <v>568</v>
      </c>
    </row>
    <row r="263" spans="3:3" ht="15" x14ac:dyDescent="0.2">
      <c r="C263" s="169" t="s">
        <v>712</v>
      </c>
    </row>
    <row r="264" spans="3:3" ht="15" x14ac:dyDescent="0.2">
      <c r="C264" s="169" t="s">
        <v>713</v>
      </c>
    </row>
    <row r="265" spans="3:3" ht="15" x14ac:dyDescent="0.2">
      <c r="C265" s="169" t="s">
        <v>685</v>
      </c>
    </row>
    <row r="266" spans="3:3" ht="15" x14ac:dyDescent="0.2">
      <c r="C266" s="169" t="s">
        <v>686</v>
      </c>
    </row>
    <row r="267" spans="3:3" ht="15" x14ac:dyDescent="0.2">
      <c r="C267" s="169" t="s">
        <v>687</v>
      </c>
    </row>
    <row r="268" spans="3:3" ht="15" x14ac:dyDescent="0.2">
      <c r="C268" s="169" t="s">
        <v>701</v>
      </c>
    </row>
    <row r="269" spans="3:3" ht="15" x14ac:dyDescent="0.2">
      <c r="C269" s="169" t="s">
        <v>702</v>
      </c>
    </row>
    <row r="270" spans="3:3" ht="15" x14ac:dyDescent="0.2">
      <c r="C270" s="169" t="s">
        <v>1155</v>
      </c>
    </row>
    <row r="271" spans="3:3" ht="15" x14ac:dyDescent="0.2">
      <c r="C271" s="169" t="s">
        <v>1157</v>
      </c>
    </row>
    <row r="272" spans="3:3" ht="15" x14ac:dyDescent="0.2">
      <c r="C272" s="169" t="s">
        <v>1158</v>
      </c>
    </row>
    <row r="273" spans="3:3" ht="15" x14ac:dyDescent="0.2">
      <c r="C273" s="169" t="s">
        <v>1159</v>
      </c>
    </row>
    <row r="274" spans="3:3" ht="15" x14ac:dyDescent="0.2">
      <c r="C274" s="169" t="s">
        <v>1160</v>
      </c>
    </row>
    <row r="275" spans="3:3" ht="15" x14ac:dyDescent="0.2">
      <c r="C275" s="169" t="s">
        <v>718</v>
      </c>
    </row>
    <row r="276" spans="3:3" ht="15" x14ac:dyDescent="0.2">
      <c r="C276" s="169" t="s">
        <v>719</v>
      </c>
    </row>
    <row r="277" spans="3:3" ht="15" x14ac:dyDescent="0.2">
      <c r="C277" s="169" t="s">
        <v>720</v>
      </c>
    </row>
    <row r="278" spans="3:3" ht="15" x14ac:dyDescent="0.2">
      <c r="C278" s="169" t="s">
        <v>721</v>
      </c>
    </row>
    <row r="279" spans="3:3" ht="15" x14ac:dyDescent="0.2">
      <c r="C279" s="169" t="s">
        <v>722</v>
      </c>
    </row>
    <row r="280" spans="3:3" ht="15" x14ac:dyDescent="0.2">
      <c r="C280" s="169" t="s">
        <v>723</v>
      </c>
    </row>
    <row r="281" spans="3:3" ht="15" x14ac:dyDescent="0.2">
      <c r="C281" s="169" t="s">
        <v>724</v>
      </c>
    </row>
    <row r="282" spans="3:3" ht="15" x14ac:dyDescent="0.2">
      <c r="C282" s="169" t="s">
        <v>725</v>
      </c>
    </row>
    <row r="283" spans="3:3" ht="15" x14ac:dyDescent="0.2">
      <c r="C283" s="169" t="s">
        <v>726</v>
      </c>
    </row>
    <row r="284" spans="3:3" ht="15" x14ac:dyDescent="0.2">
      <c r="C284" s="169" t="s">
        <v>727</v>
      </c>
    </row>
    <row r="285" spans="3:3" ht="15" x14ac:dyDescent="0.2">
      <c r="C285" s="169" t="s">
        <v>728</v>
      </c>
    </row>
    <row r="286" spans="3:3" ht="15" x14ac:dyDescent="0.2">
      <c r="C286" s="169" t="s">
        <v>729</v>
      </c>
    </row>
    <row r="287" spans="3:3" ht="15" x14ac:dyDescent="0.2">
      <c r="C287" s="169" t="s">
        <v>730</v>
      </c>
    </row>
    <row r="288" spans="3:3" ht="15" x14ac:dyDescent="0.2">
      <c r="C288" s="169" t="s">
        <v>731</v>
      </c>
    </row>
    <row r="289" spans="3:3" ht="15" x14ac:dyDescent="0.2">
      <c r="C289" s="169" t="s">
        <v>723</v>
      </c>
    </row>
    <row r="290" spans="3:3" ht="15" x14ac:dyDescent="0.2">
      <c r="C290" s="169" t="s">
        <v>732</v>
      </c>
    </row>
    <row r="291" spans="3:3" ht="15" x14ac:dyDescent="0.2">
      <c r="C291" s="169" t="s">
        <v>733</v>
      </c>
    </row>
    <row r="292" spans="3:3" ht="15" x14ac:dyDescent="0.2">
      <c r="C292" s="169" t="s">
        <v>734</v>
      </c>
    </row>
    <row r="293" spans="3:3" ht="15" x14ac:dyDescent="0.2">
      <c r="C293" s="169" t="s">
        <v>735</v>
      </c>
    </row>
    <row r="294" spans="3:3" ht="15" x14ac:dyDescent="0.2">
      <c r="C294" s="169" t="s">
        <v>568</v>
      </c>
    </row>
    <row r="295" spans="3:3" ht="15" x14ac:dyDescent="0.2">
      <c r="C295" s="169" t="s">
        <v>736</v>
      </c>
    </row>
    <row r="296" spans="3:3" ht="15" x14ac:dyDescent="0.2">
      <c r="C296" s="169" t="s">
        <v>737</v>
      </c>
    </row>
    <row r="297" spans="3:3" ht="15" x14ac:dyDescent="0.2">
      <c r="C297" s="169" t="s">
        <v>738</v>
      </c>
    </row>
    <row r="298" spans="3:3" ht="15" x14ac:dyDescent="0.2">
      <c r="C298" s="169" t="s">
        <v>723</v>
      </c>
    </row>
    <row r="299" spans="3:3" ht="15" x14ac:dyDescent="0.2">
      <c r="C299" s="169" t="s">
        <v>739</v>
      </c>
    </row>
    <row r="300" spans="3:3" ht="15" x14ac:dyDescent="0.2">
      <c r="C300" s="169" t="s">
        <v>740</v>
      </c>
    </row>
    <row r="301" spans="3:3" ht="15" x14ac:dyDescent="0.2">
      <c r="C301" s="169" t="s">
        <v>741</v>
      </c>
    </row>
    <row r="302" spans="3:3" ht="15" x14ac:dyDescent="0.2">
      <c r="C302" s="169" t="s">
        <v>742</v>
      </c>
    </row>
    <row r="303" spans="3:3" ht="15" x14ac:dyDescent="0.2">
      <c r="C303" s="169" t="s">
        <v>743</v>
      </c>
    </row>
    <row r="304" spans="3:3" ht="15" x14ac:dyDescent="0.2">
      <c r="C304" s="169" t="s">
        <v>744</v>
      </c>
    </row>
    <row r="305" spans="3:3" ht="15" x14ac:dyDescent="0.2">
      <c r="C305" s="169" t="s">
        <v>745</v>
      </c>
    </row>
    <row r="306" spans="3:3" ht="15" x14ac:dyDescent="0.2">
      <c r="C306" s="169" t="s">
        <v>746</v>
      </c>
    </row>
    <row r="307" spans="3:3" ht="15" x14ac:dyDescent="0.2">
      <c r="C307" s="169" t="s">
        <v>747</v>
      </c>
    </row>
    <row r="309" spans="3:3" ht="15" x14ac:dyDescent="0.2">
      <c r="C309" s="169" t="s">
        <v>748</v>
      </c>
    </row>
    <row r="310" spans="3:3" ht="15" x14ac:dyDescent="0.2">
      <c r="C310" s="169" t="s">
        <v>749</v>
      </c>
    </row>
    <row r="311" spans="3:3" ht="15" x14ac:dyDescent="0.2">
      <c r="C311" s="169" t="s">
        <v>750</v>
      </c>
    </row>
    <row r="312" spans="3:3" ht="15" x14ac:dyDescent="0.2">
      <c r="C312" s="169" t="s">
        <v>751</v>
      </c>
    </row>
    <row r="313" spans="3:3" ht="15" x14ac:dyDescent="0.2">
      <c r="C313" s="169" t="s">
        <v>752</v>
      </c>
    </row>
    <row r="314" spans="3:3" ht="15" x14ac:dyDescent="0.2">
      <c r="C314" s="169" t="s">
        <v>753</v>
      </c>
    </row>
    <row r="315" spans="3:3" ht="15" x14ac:dyDescent="0.2">
      <c r="C315" s="169" t="s">
        <v>754</v>
      </c>
    </row>
    <row r="316" spans="3:3" ht="15" x14ac:dyDescent="0.2">
      <c r="C316" s="169" t="s">
        <v>755</v>
      </c>
    </row>
    <row r="317" spans="3:3" ht="15" x14ac:dyDescent="0.2">
      <c r="C317" s="169" t="s">
        <v>623</v>
      </c>
    </row>
    <row r="318" spans="3:3" ht="15" x14ac:dyDescent="0.2">
      <c r="C318" s="169" t="s">
        <v>624</v>
      </c>
    </row>
    <row r="319" spans="3:3" ht="15" x14ac:dyDescent="0.2">
      <c r="C319" s="169" t="s">
        <v>756</v>
      </c>
    </row>
    <row r="320" spans="3:3" ht="15" x14ac:dyDescent="0.2">
      <c r="C320" s="169" t="s">
        <v>757</v>
      </c>
    </row>
    <row r="321" spans="3:3" ht="15" x14ac:dyDescent="0.2">
      <c r="C321" s="169" t="s">
        <v>758</v>
      </c>
    </row>
    <row r="322" spans="3:3" ht="15" x14ac:dyDescent="0.2">
      <c r="C322" s="169" t="s">
        <v>759</v>
      </c>
    </row>
    <row r="323" spans="3:3" ht="15" x14ac:dyDescent="0.2">
      <c r="C323" s="169" t="s">
        <v>760</v>
      </c>
    </row>
    <row r="324" spans="3:3" ht="15" x14ac:dyDescent="0.2">
      <c r="C324" s="169" t="s">
        <v>761</v>
      </c>
    </row>
    <row r="325" spans="3:3" ht="15" x14ac:dyDescent="0.2">
      <c r="C325" s="169" t="s">
        <v>762</v>
      </c>
    </row>
    <row r="326" spans="3:3" ht="15" x14ac:dyDescent="0.2">
      <c r="C326" s="169" t="s">
        <v>763</v>
      </c>
    </row>
    <row r="327" spans="3:3" ht="15" x14ac:dyDescent="0.2">
      <c r="C327" s="169" t="s">
        <v>764</v>
      </c>
    </row>
    <row r="328" spans="3:3" ht="15" x14ac:dyDescent="0.2">
      <c r="C328" s="169" t="s">
        <v>765</v>
      </c>
    </row>
    <row r="329" spans="3:3" ht="15" x14ac:dyDescent="0.2">
      <c r="C329" s="169" t="s">
        <v>766</v>
      </c>
    </row>
    <row r="330" spans="3:3" ht="15" x14ac:dyDescent="0.2">
      <c r="C330" s="169" t="s">
        <v>767</v>
      </c>
    </row>
    <row r="331" spans="3:3" ht="15" x14ac:dyDescent="0.2">
      <c r="C331" s="169" t="s">
        <v>597</v>
      </c>
    </row>
    <row r="332" spans="3:3" ht="15" x14ac:dyDescent="0.2">
      <c r="C332" s="169" t="s">
        <v>768</v>
      </c>
    </row>
    <row r="333" spans="3:3" ht="15" x14ac:dyDescent="0.2">
      <c r="C333" s="169" t="s">
        <v>769</v>
      </c>
    </row>
    <row r="334" spans="3:3" ht="15" x14ac:dyDescent="0.2">
      <c r="C334" s="169" t="s">
        <v>770</v>
      </c>
    </row>
    <row r="335" spans="3:3" ht="15" x14ac:dyDescent="0.2">
      <c r="C335" s="169" t="s">
        <v>771</v>
      </c>
    </row>
    <row r="336" spans="3:3" ht="15" x14ac:dyDescent="0.2">
      <c r="C336" s="169" t="s">
        <v>772</v>
      </c>
    </row>
    <row r="337" spans="3:3" ht="15" x14ac:dyDescent="0.2">
      <c r="C337" s="169" t="s">
        <v>773</v>
      </c>
    </row>
    <row r="338" spans="3:3" ht="15" x14ac:dyDescent="0.2">
      <c r="C338" s="169" t="s">
        <v>774</v>
      </c>
    </row>
    <row r="339" spans="3:3" ht="15" x14ac:dyDescent="0.2">
      <c r="C339" s="169" t="s">
        <v>775</v>
      </c>
    </row>
    <row r="340" spans="3:3" ht="15" x14ac:dyDescent="0.2">
      <c r="C340" s="169" t="s">
        <v>776</v>
      </c>
    </row>
    <row r="341" spans="3:3" ht="15" x14ac:dyDescent="0.2">
      <c r="C341" s="169" t="s">
        <v>777</v>
      </c>
    </row>
    <row r="342" spans="3:3" ht="15" x14ac:dyDescent="0.2">
      <c r="C342" s="169" t="s">
        <v>778</v>
      </c>
    </row>
    <row r="343" spans="3:3" ht="15" x14ac:dyDescent="0.2">
      <c r="C343" s="169" t="s">
        <v>779</v>
      </c>
    </row>
    <row r="344" spans="3:3" ht="15" x14ac:dyDescent="0.2">
      <c r="C344" s="169" t="s">
        <v>780</v>
      </c>
    </row>
    <row r="345" spans="3:3" ht="15" x14ac:dyDescent="0.2">
      <c r="C345" s="169" t="s">
        <v>774</v>
      </c>
    </row>
    <row r="346" spans="3:3" ht="15" x14ac:dyDescent="0.2">
      <c r="C346" s="169" t="s">
        <v>775</v>
      </c>
    </row>
    <row r="347" spans="3:3" ht="15" x14ac:dyDescent="0.2">
      <c r="C347" s="169" t="s">
        <v>776</v>
      </c>
    </row>
    <row r="348" spans="3:3" ht="15" x14ac:dyDescent="0.2">
      <c r="C348" s="169" t="s">
        <v>777</v>
      </c>
    </row>
    <row r="349" spans="3:3" ht="15" x14ac:dyDescent="0.2">
      <c r="C349" s="169" t="s">
        <v>778</v>
      </c>
    </row>
    <row r="350" spans="3:3" ht="15" x14ac:dyDescent="0.2">
      <c r="C350" s="169" t="s">
        <v>781</v>
      </c>
    </row>
    <row r="351" spans="3:3" ht="15" x14ac:dyDescent="0.2">
      <c r="C351" s="169" t="s">
        <v>782</v>
      </c>
    </row>
    <row r="353" spans="3:3" ht="15" x14ac:dyDescent="0.2">
      <c r="C353" s="169" t="s">
        <v>783</v>
      </c>
    </row>
    <row r="354" spans="3:3" ht="15" x14ac:dyDescent="0.2">
      <c r="C354" s="169" t="s">
        <v>784</v>
      </c>
    </row>
    <row r="355" spans="3:3" ht="15" x14ac:dyDescent="0.2">
      <c r="C355" s="169" t="s">
        <v>785</v>
      </c>
    </row>
    <row r="357" spans="3:3" ht="15" x14ac:dyDescent="0.2">
      <c r="C357" s="169" t="s">
        <v>786</v>
      </c>
    </row>
    <row r="358" spans="3:3" ht="15" x14ac:dyDescent="0.2">
      <c r="C358" s="169" t="s">
        <v>787</v>
      </c>
    </row>
    <row r="359" spans="3:3" ht="15" x14ac:dyDescent="0.2">
      <c r="C359" s="169" t="s">
        <v>788</v>
      </c>
    </row>
    <row r="360" spans="3:3" ht="15" x14ac:dyDescent="0.2">
      <c r="C360" s="169" t="s">
        <v>789</v>
      </c>
    </row>
    <row r="361" spans="3:3" ht="15" x14ac:dyDescent="0.2">
      <c r="C361" s="169" t="s">
        <v>790</v>
      </c>
    </row>
    <row r="362" spans="3:3" ht="15" x14ac:dyDescent="0.2">
      <c r="C362" s="169" t="s">
        <v>791</v>
      </c>
    </row>
    <row r="363" spans="3:3" ht="15" x14ac:dyDescent="0.2">
      <c r="C363" s="169" t="s">
        <v>792</v>
      </c>
    </row>
    <row r="365" spans="3:3" ht="15" x14ac:dyDescent="0.2">
      <c r="C365" s="169" t="s">
        <v>793</v>
      </c>
    </row>
    <row r="366" spans="3:3" ht="15" x14ac:dyDescent="0.2">
      <c r="C366" s="169" t="s">
        <v>794</v>
      </c>
    </row>
    <row r="367" spans="3:3" ht="15" x14ac:dyDescent="0.2">
      <c r="C367" s="169" t="s">
        <v>795</v>
      </c>
    </row>
    <row r="368" spans="3:3" ht="15" x14ac:dyDescent="0.2">
      <c r="C368" s="169" t="s">
        <v>796</v>
      </c>
    </row>
    <row r="369" spans="3:3" ht="15" x14ac:dyDescent="0.2">
      <c r="C369" s="169" t="s">
        <v>797</v>
      </c>
    </row>
    <row r="370" spans="3:3" ht="15" x14ac:dyDescent="0.2">
      <c r="C370" s="169" t="s">
        <v>798</v>
      </c>
    </row>
    <row r="371" spans="3:3" ht="15" x14ac:dyDescent="0.2">
      <c r="C371" s="169" t="s">
        <v>799</v>
      </c>
    </row>
    <row r="372" spans="3:3" ht="15" x14ac:dyDescent="0.2">
      <c r="C372" s="169" t="s">
        <v>795</v>
      </c>
    </row>
    <row r="373" spans="3:3" ht="15" x14ac:dyDescent="0.2">
      <c r="C373" s="169" t="s">
        <v>796</v>
      </c>
    </row>
    <row r="374" spans="3:3" ht="15" x14ac:dyDescent="0.2">
      <c r="C374" s="169" t="s">
        <v>797</v>
      </c>
    </row>
    <row r="375" spans="3:3" ht="15" x14ac:dyDescent="0.2">
      <c r="C375" s="169" t="s">
        <v>800</v>
      </c>
    </row>
    <row r="376" spans="3:3" ht="15" x14ac:dyDescent="0.2">
      <c r="C376" s="169" t="s">
        <v>787</v>
      </c>
    </row>
    <row r="377" spans="3:3" ht="15" x14ac:dyDescent="0.2">
      <c r="C377" s="169" t="s">
        <v>801</v>
      </c>
    </row>
    <row r="378" spans="3:3" ht="15" x14ac:dyDescent="0.2">
      <c r="C378" s="169" t="s">
        <v>802</v>
      </c>
    </row>
    <row r="379" spans="3:3" ht="15" x14ac:dyDescent="0.2">
      <c r="C379" s="169" t="s">
        <v>790</v>
      </c>
    </row>
    <row r="380" spans="3:3" ht="15" x14ac:dyDescent="0.2">
      <c r="C380" s="169" t="s">
        <v>803</v>
      </c>
    </row>
    <row r="381" spans="3:3" ht="15" x14ac:dyDescent="0.2">
      <c r="C381" s="169" t="s">
        <v>1037</v>
      </c>
    </row>
    <row r="382" spans="3:3" ht="15" x14ac:dyDescent="0.2">
      <c r="C382" s="169"/>
    </row>
    <row r="383" spans="3:3" ht="15" x14ac:dyDescent="0.2">
      <c r="C383" s="169" t="s">
        <v>805</v>
      </c>
    </row>
    <row r="384" spans="3:3" ht="15" x14ac:dyDescent="0.2">
      <c r="C384" s="169" t="s">
        <v>806</v>
      </c>
    </row>
    <row r="385" spans="3:3" ht="15" x14ac:dyDescent="0.2">
      <c r="C385" s="169" t="s">
        <v>807</v>
      </c>
    </row>
    <row r="386" spans="3:3" ht="15" x14ac:dyDescent="0.2">
      <c r="C386" s="169" t="s">
        <v>808</v>
      </c>
    </row>
    <row r="387" spans="3:3" ht="15" x14ac:dyDescent="0.2">
      <c r="C387" s="169" t="s">
        <v>809</v>
      </c>
    </row>
    <row r="389" spans="3:3" ht="15" x14ac:dyDescent="0.2">
      <c r="C389" s="169" t="s">
        <v>810</v>
      </c>
    </row>
    <row r="390" spans="3:3" ht="15" x14ac:dyDescent="0.2">
      <c r="C390" s="169" t="s">
        <v>811</v>
      </c>
    </row>
    <row r="391" spans="3:3" ht="15" x14ac:dyDescent="0.2">
      <c r="C391" s="169" t="s">
        <v>613</v>
      </c>
    </row>
    <row r="392" spans="3:3" ht="15" x14ac:dyDescent="0.2">
      <c r="C392" s="169" t="s">
        <v>812</v>
      </c>
    </row>
    <row r="393" spans="3:3" ht="15" x14ac:dyDescent="0.2">
      <c r="C393" s="169" t="s">
        <v>813</v>
      </c>
    </row>
    <row r="394" spans="3:3" ht="15" x14ac:dyDescent="0.2">
      <c r="C394" s="169" t="s">
        <v>814</v>
      </c>
    </row>
    <row r="395" spans="3:3" ht="15" x14ac:dyDescent="0.2">
      <c r="C395" s="169" t="s">
        <v>815</v>
      </c>
    </row>
    <row r="396" spans="3:3" ht="15" x14ac:dyDescent="0.2">
      <c r="C396" s="169" t="s">
        <v>816</v>
      </c>
    </row>
    <row r="397" spans="3:3" ht="15" x14ac:dyDescent="0.2">
      <c r="C397" s="169" t="s">
        <v>817</v>
      </c>
    </row>
    <row r="398" spans="3:3" ht="15" x14ac:dyDescent="0.2">
      <c r="C398" s="169" t="s">
        <v>818</v>
      </c>
    </row>
    <row r="399" spans="3:3" ht="15" x14ac:dyDescent="0.2">
      <c r="C399" s="169" t="s">
        <v>819</v>
      </c>
    </row>
    <row r="400" spans="3:3" ht="15" x14ac:dyDescent="0.2">
      <c r="C400" s="169" t="s">
        <v>820</v>
      </c>
    </row>
    <row r="401" spans="3:3" ht="15" x14ac:dyDescent="0.2">
      <c r="C401" s="169" t="s">
        <v>821</v>
      </c>
    </row>
    <row r="402" spans="3:3" ht="15" x14ac:dyDescent="0.2">
      <c r="C402" s="169" t="s">
        <v>815</v>
      </c>
    </row>
    <row r="403" spans="3:3" ht="15" x14ac:dyDescent="0.2">
      <c r="C403" s="169" t="s">
        <v>816</v>
      </c>
    </row>
    <row r="404" spans="3:3" ht="15" x14ac:dyDescent="0.2">
      <c r="C404" s="169" t="s">
        <v>817</v>
      </c>
    </row>
    <row r="405" spans="3:3" ht="15" x14ac:dyDescent="0.2">
      <c r="C405" s="169" t="s">
        <v>818</v>
      </c>
    </row>
    <row r="406" spans="3:3" ht="15" x14ac:dyDescent="0.2">
      <c r="C406" s="169" t="s">
        <v>819</v>
      </c>
    </row>
    <row r="408" spans="3:3" ht="15" x14ac:dyDescent="0.2">
      <c r="C408" s="169" t="s">
        <v>822</v>
      </c>
    </row>
    <row r="409" spans="3:3" ht="15" x14ac:dyDescent="0.2">
      <c r="C409" s="169" t="s">
        <v>823</v>
      </c>
    </row>
    <row r="410" spans="3:3" ht="15" x14ac:dyDescent="0.2">
      <c r="C410" s="169" t="s">
        <v>824</v>
      </c>
    </row>
    <row r="412" spans="3:3" ht="15" x14ac:dyDescent="0.2">
      <c r="C412" s="169" t="s">
        <v>1134</v>
      </c>
    </row>
    <row r="413" spans="3:3" ht="15" x14ac:dyDescent="0.2">
      <c r="C413" s="169" t="s">
        <v>826</v>
      </c>
    </row>
    <row r="414" spans="3:3" ht="15" x14ac:dyDescent="0.2">
      <c r="C414" s="169" t="s">
        <v>827</v>
      </c>
    </row>
    <row r="416" spans="3:3" ht="15" x14ac:dyDescent="0.2">
      <c r="C416" s="169" t="s">
        <v>574</v>
      </c>
    </row>
    <row r="417" spans="2:3" ht="15" x14ac:dyDescent="0.2">
      <c r="B417" s="173"/>
      <c r="C417" s="169" t="str">
        <f>_xlfn.CONCAT("vcm1_static=model_static['",$A$19,"']")</f>
        <v>vcm1_static=model_static['P7000048060']</v>
      </c>
    </row>
    <row r="419" spans="2:3" ht="15" x14ac:dyDescent="0.2">
      <c r="C419" s="169" t="s">
        <v>575</v>
      </c>
    </row>
    <row r="420" spans="2:3" ht="15" x14ac:dyDescent="0.2">
      <c r="B420" s="173"/>
      <c r="C420" s="169" t="str">
        <f>_xlfn.CONCAT("line1_static=model_static['",$A$17,"']")</f>
        <v>line1_static=model_static['Line']</v>
      </c>
    </row>
    <row r="421" spans="2:3" ht="15" x14ac:dyDescent="0.2">
      <c r="B421" s="173"/>
      <c r="C421" s="169" t="str">
        <f>_xlfn.CONCAT("att_lines_static=list(['",$A$18,"'])")</f>
        <v>att_lines_static=list(['Stiffener1'])</v>
      </c>
    </row>
    <row r="423" spans="2:3" ht="15" x14ac:dyDescent="0.2">
      <c r="C423" s="169" t="s">
        <v>1161</v>
      </c>
    </row>
    <row r="424" spans="2:3" ht="15" x14ac:dyDescent="0.2">
      <c r="C424" s="169" t="s">
        <v>1162</v>
      </c>
    </row>
    <row r="425" spans="2:3" ht="15" x14ac:dyDescent="0.2">
      <c r="C425" s="169" t="s">
        <v>1163</v>
      </c>
    </row>
    <row r="426" spans="2:3" ht="15" x14ac:dyDescent="0.2">
      <c r="C426" s="169" t="s">
        <v>1164</v>
      </c>
    </row>
    <row r="427" spans="2:3" ht="15" x14ac:dyDescent="0.2">
      <c r="C427" s="169" t="s">
        <v>1165</v>
      </c>
    </row>
    <row r="428" spans="2:3" ht="15" x14ac:dyDescent="0.2">
      <c r="C428" s="169" t="s">
        <v>1166</v>
      </c>
    </row>
    <row r="429" spans="2:3" ht="15" x14ac:dyDescent="0.2">
      <c r="C429" s="169" t="s">
        <v>1167</v>
      </c>
    </row>
    <row r="430" spans="2:3" ht="15" x14ac:dyDescent="0.2">
      <c r="C430" s="169" t="s">
        <v>1168</v>
      </c>
    </row>
    <row r="431" spans="2:3" ht="15" x14ac:dyDescent="0.2">
      <c r="C431" s="169" t="s">
        <v>1169</v>
      </c>
    </row>
    <row r="432" spans="2:3" ht="15" x14ac:dyDescent="0.2">
      <c r="C432" s="169" t="s">
        <v>1170</v>
      </c>
    </row>
    <row r="433" spans="3:3" ht="15" x14ac:dyDescent="0.2">
      <c r="C433" s="169" t="s">
        <v>1171</v>
      </c>
    </row>
    <row r="434" spans="3:3" ht="15" x14ac:dyDescent="0.2">
      <c r="C434" s="169" t="s">
        <v>1172</v>
      </c>
    </row>
    <row r="435" spans="3:3" ht="15" x14ac:dyDescent="0.2">
      <c r="C435" s="169" t="s">
        <v>1173</v>
      </c>
    </row>
    <row r="436" spans="3:3" ht="15" x14ac:dyDescent="0.2">
      <c r="C436" s="169" t="s">
        <v>1174</v>
      </c>
    </row>
    <row r="437" spans="3:3" ht="15" x14ac:dyDescent="0.2">
      <c r="C437" s="169" t="s">
        <v>1175</v>
      </c>
    </row>
    <row r="438" spans="3:3" ht="15" x14ac:dyDescent="0.2">
      <c r="C438" s="169" t="s">
        <v>1176</v>
      </c>
    </row>
    <row r="439" spans="3:3" ht="15" x14ac:dyDescent="0.2">
      <c r="C439" s="169" t="s">
        <v>609</v>
      </c>
    </row>
    <row r="440" spans="3:3" ht="15" x14ac:dyDescent="0.2">
      <c r="C440" s="169" t="s">
        <v>1177</v>
      </c>
    </row>
    <row r="441" spans="3:3" ht="15" x14ac:dyDescent="0.2">
      <c r="C441" s="169" t="s">
        <v>1178</v>
      </c>
    </row>
    <row r="442" spans="3:3" ht="15" x14ac:dyDescent="0.2">
      <c r="C442" s="169" t="s">
        <v>1179</v>
      </c>
    </row>
    <row r="443" spans="3:3" ht="15" x14ac:dyDescent="0.2">
      <c r="C443" s="169" t="s">
        <v>1180</v>
      </c>
    </row>
    <row r="444" spans="3:3" ht="15" x14ac:dyDescent="0.2">
      <c r="C444" s="169" t="s">
        <v>1181</v>
      </c>
    </row>
    <row r="445" spans="3:3" ht="15" x14ac:dyDescent="0.2">
      <c r="C445" s="169" t="s">
        <v>1182</v>
      </c>
    </row>
    <row r="446" spans="3:3" ht="15" x14ac:dyDescent="0.2">
      <c r="C446" s="169" t="s">
        <v>1183</v>
      </c>
    </row>
    <row r="447" spans="3:3" ht="15" x14ac:dyDescent="0.2">
      <c r="C447" s="169" t="s">
        <v>1184</v>
      </c>
    </row>
    <row r="448" spans="3:3" ht="15" x14ac:dyDescent="0.2">
      <c r="C448" s="169" t="s">
        <v>1185</v>
      </c>
    </row>
    <row r="449" spans="3:3" ht="15" x14ac:dyDescent="0.2">
      <c r="C449" s="169" t="s">
        <v>619</v>
      </c>
    </row>
    <row r="450" spans="3:3" ht="15" x14ac:dyDescent="0.2">
      <c r="C450" s="169" t="s">
        <v>1186</v>
      </c>
    </row>
    <row r="451" spans="3:3" ht="15" x14ac:dyDescent="0.2">
      <c r="C451" s="169" t="s">
        <v>621</v>
      </c>
    </row>
    <row r="452" spans="3:3" ht="15" x14ac:dyDescent="0.2">
      <c r="C452" s="169" t="s">
        <v>1187</v>
      </c>
    </row>
    <row r="453" spans="3:3" ht="15" x14ac:dyDescent="0.2">
      <c r="C453" s="169" t="s">
        <v>1172</v>
      </c>
    </row>
    <row r="454" spans="3:3" ht="15" x14ac:dyDescent="0.2">
      <c r="C454" s="169" t="s">
        <v>1173</v>
      </c>
    </row>
    <row r="455" spans="3:3" ht="15" x14ac:dyDescent="0.2">
      <c r="C455" s="169" t="s">
        <v>1188</v>
      </c>
    </row>
    <row r="456" spans="3:3" ht="15" x14ac:dyDescent="0.2">
      <c r="C456" s="169" t="s">
        <v>1189</v>
      </c>
    </row>
    <row r="457" spans="3:3" ht="15" x14ac:dyDescent="0.2">
      <c r="C457" s="169" t="s">
        <v>1190</v>
      </c>
    </row>
    <row r="458" spans="3:3" ht="15" x14ac:dyDescent="0.2">
      <c r="C458" s="169" t="s">
        <v>619</v>
      </c>
    </row>
    <row r="459" spans="3:3" ht="15" x14ac:dyDescent="0.2">
      <c r="C459" s="169" t="s">
        <v>1191</v>
      </c>
    </row>
    <row r="460" spans="3:3" ht="15" x14ac:dyDescent="0.2">
      <c r="C460" s="169" t="s">
        <v>1192</v>
      </c>
    </row>
    <row r="461" spans="3:3" ht="15" x14ac:dyDescent="0.2">
      <c r="C461" s="169" t="s">
        <v>1193</v>
      </c>
    </row>
    <row r="462" spans="3:3" ht="15" x14ac:dyDescent="0.2">
      <c r="C462" s="169" t="s">
        <v>1194</v>
      </c>
    </row>
    <row r="464" spans="3:3" ht="15" x14ac:dyDescent="0.2">
      <c r="C464" s="169" t="s">
        <v>845</v>
      </c>
    </row>
    <row r="466" spans="3:3" ht="15" x14ac:dyDescent="0.2">
      <c r="C466" s="169" t="s">
        <v>846</v>
      </c>
    </row>
    <row r="467" spans="3:3" ht="15" x14ac:dyDescent="0.2">
      <c r="C467" s="169" t="s">
        <v>1195</v>
      </c>
    </row>
    <row r="468" spans="3:3" ht="15" x14ac:dyDescent="0.2">
      <c r="C468" s="169" t="s">
        <v>848</v>
      </c>
    </row>
    <row r="469" spans="3:3" ht="15" x14ac:dyDescent="0.2">
      <c r="C469" s="169" t="s">
        <v>849</v>
      </c>
    </row>
    <row r="470" spans="3:3" ht="15" x14ac:dyDescent="0.2">
      <c r="C470" s="169" t="s">
        <v>850</v>
      </c>
    </row>
    <row r="472" spans="3:3" ht="15" x14ac:dyDescent="0.2">
      <c r="C472" s="169" t="s">
        <v>851</v>
      </c>
    </row>
    <row r="473" spans="3:3" ht="15" x14ac:dyDescent="0.2">
      <c r="C473" s="169" t="s">
        <v>852</v>
      </c>
    </row>
    <row r="474" spans="3:3" ht="15" x14ac:dyDescent="0.2">
      <c r="C474" s="169" t="s">
        <v>1196</v>
      </c>
    </row>
    <row r="475" spans="3:3" ht="15" x14ac:dyDescent="0.2">
      <c r="C475" s="169" t="s">
        <v>1197</v>
      </c>
    </row>
    <row r="476" spans="3:3" ht="15" x14ac:dyDescent="0.2">
      <c r="C476" s="169" t="s">
        <v>1198</v>
      </c>
    </row>
    <row r="477" spans="3:3" ht="15" x14ac:dyDescent="0.2">
      <c r="C477" s="169" t="s">
        <v>1199</v>
      </c>
    </row>
    <row r="478" spans="3:3" ht="15" x14ac:dyDescent="0.2">
      <c r="C478" s="169" t="s">
        <v>1200</v>
      </c>
    </row>
    <row r="479" spans="3:3" ht="15" x14ac:dyDescent="0.2">
      <c r="C479" s="169" t="s">
        <v>858</v>
      </c>
    </row>
    <row r="480" spans="3:3" ht="15" x14ac:dyDescent="0.2">
      <c r="C480" s="169" t="s">
        <v>859</v>
      </c>
    </row>
    <row r="481" spans="3:3" ht="15" x14ac:dyDescent="0.2">
      <c r="C481" s="169" t="s">
        <v>860</v>
      </c>
    </row>
    <row r="482" spans="3:3" ht="15" x14ac:dyDescent="0.2">
      <c r="C482" s="169" t="s">
        <v>861</v>
      </c>
    </row>
    <row r="483" spans="3:3" ht="15" x14ac:dyDescent="0.2">
      <c r="C483" s="169" t="s">
        <v>1201</v>
      </c>
    </row>
    <row r="484" spans="3:3" ht="15" x14ac:dyDescent="0.2">
      <c r="C484" s="169" t="s">
        <v>1202</v>
      </c>
    </row>
    <row r="486" spans="3:3" ht="15" x14ac:dyDescent="0.2">
      <c r="C486" s="169" t="s">
        <v>1203</v>
      </c>
    </row>
    <row r="488" spans="3:3" ht="15" x14ac:dyDescent="0.2">
      <c r="C488" s="169" t="s">
        <v>1204</v>
      </c>
    </row>
    <row r="489" spans="3:3" ht="15" x14ac:dyDescent="0.2">
      <c r="C489" s="169" t="s">
        <v>1205</v>
      </c>
    </row>
    <row r="490" spans="3:3" ht="15" x14ac:dyDescent="0.2">
      <c r="C490" s="169" t="s">
        <v>1206</v>
      </c>
    </row>
    <row r="491" spans="3:3" ht="15" x14ac:dyDescent="0.2">
      <c r="C491" s="169" t="s">
        <v>1207</v>
      </c>
    </row>
    <row r="492" spans="3:3" ht="15" x14ac:dyDescent="0.2">
      <c r="C492" s="169" t="s">
        <v>1208</v>
      </c>
    </row>
    <row r="493" spans="3:3" ht="15" x14ac:dyDescent="0.2">
      <c r="C493" s="169" t="s">
        <v>1209</v>
      </c>
    </row>
    <row r="495" spans="3:3" ht="15" x14ac:dyDescent="0.2">
      <c r="C495" s="169" t="s">
        <v>1210</v>
      </c>
    </row>
    <row r="496" spans="3:3" ht="15" x14ac:dyDescent="0.2">
      <c r="C496" s="169" t="s">
        <v>1211</v>
      </c>
    </row>
    <row r="497" spans="3:3" ht="15" x14ac:dyDescent="0.2">
      <c r="C497" s="169" t="s">
        <v>1212</v>
      </c>
    </row>
    <row r="498" spans="3:3" ht="15" x14ac:dyDescent="0.2">
      <c r="C498" s="169" t="s">
        <v>1213</v>
      </c>
    </row>
    <row r="499" spans="3:3" ht="15" x14ac:dyDescent="0.2">
      <c r="C499" s="169" t="s">
        <v>1214</v>
      </c>
    </row>
    <row r="501" spans="3:3" ht="15" x14ac:dyDescent="0.2">
      <c r="C501" s="169" t="s">
        <v>1215</v>
      </c>
    </row>
    <row r="502" spans="3:3" ht="15" x14ac:dyDescent="0.2">
      <c r="C502" s="169" t="s">
        <v>884</v>
      </c>
    </row>
    <row r="503" spans="3:3" ht="15" x14ac:dyDescent="0.2">
      <c r="C503" s="169" t="s">
        <v>885</v>
      </c>
    </row>
    <row r="504" spans="3:3" ht="15" x14ac:dyDescent="0.2">
      <c r="C504" s="169" t="s">
        <v>1216</v>
      </c>
    </row>
    <row r="505" spans="3:3" ht="15" x14ac:dyDescent="0.2">
      <c r="C505" s="169" t="s">
        <v>887</v>
      </c>
    </row>
    <row r="507" spans="3:3" ht="15" x14ac:dyDescent="0.2">
      <c r="C507" s="169" t="s">
        <v>1217</v>
      </c>
    </row>
    <row r="508" spans="3:3" ht="15" x14ac:dyDescent="0.2">
      <c r="C508" s="169" t="s">
        <v>1218</v>
      </c>
    </row>
    <row r="509" spans="3:3" ht="15" x14ac:dyDescent="0.2">
      <c r="C509" s="169" t="s">
        <v>1172</v>
      </c>
    </row>
    <row r="510" spans="3:3" ht="15" x14ac:dyDescent="0.2">
      <c r="C510" s="169" t="s">
        <v>1173</v>
      </c>
    </row>
    <row r="511" spans="3:3" ht="15" x14ac:dyDescent="0.2">
      <c r="C511" s="169" t="s">
        <v>1219</v>
      </c>
    </row>
    <row r="512" spans="3:3" ht="15" x14ac:dyDescent="0.2">
      <c r="C512" s="169" t="s">
        <v>1220</v>
      </c>
    </row>
    <row r="513" spans="3:3" ht="15" x14ac:dyDescent="0.2">
      <c r="C513" s="169" t="s">
        <v>1221</v>
      </c>
    </row>
    <row r="515" spans="3:3" ht="15" x14ac:dyDescent="0.2">
      <c r="C515" s="169" t="s">
        <v>1222</v>
      </c>
    </row>
    <row r="516" spans="3:3" ht="15" x14ac:dyDescent="0.2">
      <c r="C516" s="169" t="s">
        <v>1173</v>
      </c>
    </row>
    <row r="517" spans="3:3" ht="15" x14ac:dyDescent="0.2">
      <c r="C517" s="169" t="s">
        <v>1223</v>
      </c>
    </row>
    <row r="518" spans="3:3" ht="15" x14ac:dyDescent="0.2">
      <c r="C518" s="169" t="s">
        <v>1224</v>
      </c>
    </row>
    <row r="519" spans="3:3" ht="15" x14ac:dyDescent="0.2">
      <c r="C519" s="169" t="s">
        <v>1225</v>
      </c>
    </row>
    <row r="521" spans="3:3" ht="15" x14ac:dyDescent="0.2">
      <c r="C521" s="169" t="s">
        <v>1226</v>
      </c>
    </row>
    <row r="522" spans="3:3" ht="15" x14ac:dyDescent="0.2">
      <c r="C522" s="169" t="s">
        <v>898</v>
      </c>
    </row>
    <row r="523" spans="3:3" ht="15" x14ac:dyDescent="0.2">
      <c r="C523" s="169" t="s">
        <v>899</v>
      </c>
    </row>
    <row r="524" spans="3:3" ht="15" x14ac:dyDescent="0.2">
      <c r="C524" s="169" t="s">
        <v>1227</v>
      </c>
    </row>
    <row r="525" spans="3:3" ht="15" x14ac:dyDescent="0.2">
      <c r="C525" s="169" t="s">
        <v>901</v>
      </c>
    </row>
    <row r="527" spans="3:3" ht="15" x14ac:dyDescent="0.2">
      <c r="C527" s="169" t="s">
        <v>851</v>
      </c>
    </row>
    <row r="528" spans="3:3" ht="15" x14ac:dyDescent="0.2">
      <c r="C528" s="169" t="s">
        <v>1228</v>
      </c>
    </row>
    <row r="529" spans="3:3" ht="15" x14ac:dyDescent="0.2">
      <c r="C529" s="169" t="s">
        <v>853</v>
      </c>
    </row>
    <row r="530" spans="3:3" ht="15" x14ac:dyDescent="0.2">
      <c r="C530" s="169" t="s">
        <v>854</v>
      </c>
    </row>
    <row r="531" spans="3:3" ht="15" x14ac:dyDescent="0.2">
      <c r="C531" s="169" t="s">
        <v>855</v>
      </c>
    </row>
    <row r="532" spans="3:3" ht="15" x14ac:dyDescent="0.2">
      <c r="C532" s="169" t="s">
        <v>856</v>
      </c>
    </row>
    <row r="533" spans="3:3" ht="15" x14ac:dyDescent="0.2">
      <c r="C533" s="169" t="s">
        <v>857</v>
      </c>
    </row>
    <row r="534" spans="3:3" ht="15" x14ac:dyDescent="0.2">
      <c r="C534" s="169" t="s">
        <v>858</v>
      </c>
    </row>
    <row r="535" spans="3:3" ht="15" x14ac:dyDescent="0.2">
      <c r="C535" s="169" t="s">
        <v>859</v>
      </c>
    </row>
    <row r="536" spans="3:3" ht="15" x14ac:dyDescent="0.2">
      <c r="C536" s="169" t="s">
        <v>860</v>
      </c>
    </row>
    <row r="537" spans="3:3" ht="15" x14ac:dyDescent="0.2">
      <c r="C537" s="169" t="s">
        <v>861</v>
      </c>
    </row>
    <row r="538" spans="3:3" ht="15" x14ac:dyDescent="0.2">
      <c r="C538" s="169" t="s">
        <v>862</v>
      </c>
    </row>
    <row r="539" spans="3:3" ht="15" x14ac:dyDescent="0.2">
      <c r="C539" s="169" t="s">
        <v>1229</v>
      </c>
    </row>
    <row r="541" spans="3:3" ht="15" x14ac:dyDescent="0.2">
      <c r="C541" s="169" t="s">
        <v>864</v>
      </c>
    </row>
    <row r="543" spans="3:3" ht="15" x14ac:dyDescent="0.2">
      <c r="C543" s="169" t="s">
        <v>865</v>
      </c>
    </row>
    <row r="544" spans="3:3" ht="15" x14ac:dyDescent="0.2">
      <c r="C544" s="169" t="s">
        <v>1230</v>
      </c>
    </row>
    <row r="545" spans="3:3" ht="15" x14ac:dyDescent="0.2">
      <c r="C545" s="169" t="s">
        <v>1231</v>
      </c>
    </row>
    <row r="546" spans="3:3" ht="15" x14ac:dyDescent="0.2">
      <c r="C546" s="169" t="s">
        <v>1232</v>
      </c>
    </row>
    <row r="547" spans="3:3" ht="15" x14ac:dyDescent="0.2">
      <c r="C547" s="169" t="s">
        <v>849</v>
      </c>
    </row>
    <row r="549" spans="3:3" ht="15" x14ac:dyDescent="0.2">
      <c r="C549" s="169" t="s">
        <v>871</v>
      </c>
    </row>
    <row r="550" spans="3:3" ht="15" x14ac:dyDescent="0.2">
      <c r="C550" s="169" t="s">
        <v>872</v>
      </c>
    </row>
    <row r="552" spans="3:3" ht="15" x14ac:dyDescent="0.2">
      <c r="C552" s="169" t="s">
        <v>873</v>
      </c>
    </row>
    <row r="553" spans="3:3" ht="15" x14ac:dyDescent="0.2">
      <c r="C553" s="169" t="s">
        <v>874</v>
      </c>
    </row>
    <row r="554" spans="3:3" ht="15" x14ac:dyDescent="0.2">
      <c r="C554" s="169" t="s">
        <v>875</v>
      </c>
    </row>
    <row r="555" spans="3:3" ht="15" x14ac:dyDescent="0.2">
      <c r="C555" s="169" t="s">
        <v>876</v>
      </c>
    </row>
    <row r="556" spans="3:3" ht="15" x14ac:dyDescent="0.2">
      <c r="C556" s="169" t="s">
        <v>877</v>
      </c>
    </row>
    <row r="557" spans="3:3" ht="15" x14ac:dyDescent="0.2">
      <c r="C557" s="169" t="s">
        <v>878</v>
      </c>
    </row>
    <row r="559" spans="3:3" ht="15" x14ac:dyDescent="0.2">
      <c r="C559" s="169" t="s">
        <v>873</v>
      </c>
    </row>
    <row r="560" spans="3:3" ht="15" x14ac:dyDescent="0.2">
      <c r="C560" s="169" t="s">
        <v>879</v>
      </c>
    </row>
    <row r="561" spans="3:3" ht="15" x14ac:dyDescent="0.2">
      <c r="C561" s="169" t="s">
        <v>880</v>
      </c>
    </row>
    <row r="562" spans="3:3" ht="15" x14ac:dyDescent="0.2">
      <c r="C562" s="169" t="s">
        <v>881</v>
      </c>
    </row>
    <row r="563" spans="3:3" ht="15" x14ac:dyDescent="0.2">
      <c r="C563" s="169" t="s">
        <v>882</v>
      </c>
    </row>
    <row r="565" spans="3:3" ht="15" x14ac:dyDescent="0.2">
      <c r="C565" s="169" t="s">
        <v>883</v>
      </c>
    </row>
    <row r="566" spans="3:3" ht="15" x14ac:dyDescent="0.2">
      <c r="C566" s="169" t="s">
        <v>884</v>
      </c>
    </row>
    <row r="567" spans="3:3" ht="15" x14ac:dyDescent="0.2">
      <c r="C567" s="169" t="s">
        <v>885</v>
      </c>
    </row>
    <row r="568" spans="3:3" ht="15" x14ac:dyDescent="0.2">
      <c r="C568" s="169" t="s">
        <v>886</v>
      </c>
    </row>
    <row r="569" spans="3:3" ht="15" x14ac:dyDescent="0.2">
      <c r="C569" s="169" t="s">
        <v>887</v>
      </c>
    </row>
    <row r="571" spans="3:3" ht="15" x14ac:dyDescent="0.2">
      <c r="C571" s="169" t="s">
        <v>888</v>
      </c>
    </row>
    <row r="572" spans="3:3" ht="15" x14ac:dyDescent="0.2">
      <c r="C572" s="169" t="s">
        <v>889</v>
      </c>
    </row>
    <row r="573" spans="3:3" ht="15" x14ac:dyDescent="0.2">
      <c r="C573" s="169" t="s">
        <v>623</v>
      </c>
    </row>
    <row r="574" spans="3:3" ht="15" x14ac:dyDescent="0.2">
      <c r="C574" s="169" t="s">
        <v>624</v>
      </c>
    </row>
    <row r="575" spans="3:3" ht="15" x14ac:dyDescent="0.2">
      <c r="C575" s="169" t="s">
        <v>890</v>
      </c>
    </row>
    <row r="576" spans="3:3" ht="15" x14ac:dyDescent="0.2">
      <c r="C576" s="169" t="s">
        <v>891</v>
      </c>
    </row>
    <row r="577" spans="3:3" ht="15" x14ac:dyDescent="0.2">
      <c r="C577" s="169" t="s">
        <v>892</v>
      </c>
    </row>
    <row r="579" spans="3:3" ht="15" x14ac:dyDescent="0.2">
      <c r="C579" s="169" t="s">
        <v>893</v>
      </c>
    </row>
    <row r="580" spans="3:3" ht="15" x14ac:dyDescent="0.2">
      <c r="C580" s="169" t="s">
        <v>624</v>
      </c>
    </row>
    <row r="582" spans="3:3" ht="15" x14ac:dyDescent="0.2">
      <c r="C582" s="169" t="s">
        <v>894</v>
      </c>
    </row>
    <row r="583" spans="3:3" ht="15" x14ac:dyDescent="0.2">
      <c r="C583" s="169" t="s">
        <v>895</v>
      </c>
    </row>
    <row r="584" spans="3:3" ht="15" x14ac:dyDescent="0.2">
      <c r="C584" s="169" t="s">
        <v>896</v>
      </c>
    </row>
    <row r="586" spans="3:3" ht="15" x14ac:dyDescent="0.2">
      <c r="C586" s="169" t="s">
        <v>897</v>
      </c>
    </row>
    <row r="587" spans="3:3" ht="15" x14ac:dyDescent="0.2">
      <c r="C587" s="169" t="s">
        <v>898</v>
      </c>
    </row>
    <row r="588" spans="3:3" ht="15" x14ac:dyDescent="0.2">
      <c r="C588" s="169" t="s">
        <v>899</v>
      </c>
    </row>
    <row r="589" spans="3:3" ht="15" x14ac:dyDescent="0.2">
      <c r="C589" s="169" t="s">
        <v>900</v>
      </c>
    </row>
    <row r="590" spans="3:3" ht="15" x14ac:dyDescent="0.2">
      <c r="C590" s="169" t="s">
        <v>901</v>
      </c>
    </row>
    <row r="592" spans="3:3" ht="15" x14ac:dyDescent="0.2">
      <c r="C592" s="169" t="s">
        <v>902</v>
      </c>
    </row>
    <row r="593" spans="3:3" ht="15" x14ac:dyDescent="0.2">
      <c r="C593" s="169" t="s">
        <v>903</v>
      </c>
    </row>
    <row r="594" spans="3:3" ht="15" x14ac:dyDescent="0.2">
      <c r="C594" s="169" t="s">
        <v>904</v>
      </c>
    </row>
    <row r="595" spans="3:3" ht="15" x14ac:dyDescent="0.2">
      <c r="C595" s="169" t="s">
        <v>905</v>
      </c>
    </row>
    <row r="596" spans="3:3" ht="15" x14ac:dyDescent="0.2">
      <c r="C596" s="169" t="s">
        <v>906</v>
      </c>
    </row>
    <row r="597" spans="3:3" ht="15" x14ac:dyDescent="0.2">
      <c r="C597" s="169" t="s">
        <v>907</v>
      </c>
    </row>
    <row r="598" spans="3:3" ht="15" x14ac:dyDescent="0.2">
      <c r="C598" s="169" t="s">
        <v>908</v>
      </c>
    </row>
    <row r="599" spans="3:3" ht="15" x14ac:dyDescent="0.2">
      <c r="C599" s="169" t="s">
        <v>909</v>
      </c>
    </row>
    <row r="600" spans="3:3" ht="15" x14ac:dyDescent="0.2">
      <c r="C600" s="169" t="s">
        <v>849</v>
      </c>
    </row>
    <row r="602" spans="3:3" ht="15" x14ac:dyDescent="0.2">
      <c r="C602" s="169" t="s">
        <v>910</v>
      </c>
    </row>
    <row r="603" spans="3:3" ht="15" x14ac:dyDescent="0.2">
      <c r="C603" s="169" t="s">
        <v>911</v>
      </c>
    </row>
    <row r="605" spans="3:3" ht="15" x14ac:dyDescent="0.2">
      <c r="C605" s="169" t="s">
        <v>903</v>
      </c>
    </row>
    <row r="606" spans="3:3" ht="15" x14ac:dyDescent="0.2">
      <c r="C606" s="169" t="s">
        <v>1233</v>
      </c>
    </row>
    <row r="607" spans="3:3" ht="15" x14ac:dyDescent="0.2">
      <c r="C607" s="169" t="s">
        <v>1234</v>
      </c>
    </row>
    <row r="608" spans="3:3" ht="15" x14ac:dyDescent="0.2">
      <c r="C608" s="169" t="s">
        <v>906</v>
      </c>
    </row>
    <row r="609" spans="3:3" ht="15" x14ac:dyDescent="0.2">
      <c r="C609" s="169" t="s">
        <v>914</v>
      </c>
    </row>
    <row r="610" spans="3:3" ht="15" x14ac:dyDescent="0.2">
      <c r="C610" s="169" t="s">
        <v>915</v>
      </c>
    </row>
    <row r="611" spans="3:3" ht="15" x14ac:dyDescent="0.2">
      <c r="C611" s="169" t="s">
        <v>916</v>
      </c>
    </row>
    <row r="612" spans="3:3" ht="15" x14ac:dyDescent="0.2">
      <c r="C612" s="169" t="s">
        <v>917</v>
      </c>
    </row>
    <row r="613" spans="3:3" ht="15" x14ac:dyDescent="0.2">
      <c r="C613" s="169" t="s">
        <v>1235</v>
      </c>
    </row>
    <row r="615" spans="3:3" ht="15" x14ac:dyDescent="0.2">
      <c r="C615" s="169" t="s">
        <v>919</v>
      </c>
    </row>
    <row r="616" spans="3:3" ht="15" x14ac:dyDescent="0.2">
      <c r="C616" s="169" t="s">
        <v>920</v>
      </c>
    </row>
    <row r="617" spans="3:3" ht="15" x14ac:dyDescent="0.2">
      <c r="C617" s="169" t="s">
        <v>921</v>
      </c>
    </row>
    <row r="618" spans="3:3" ht="15" x14ac:dyDescent="0.2">
      <c r="C618" s="169" t="s">
        <v>922</v>
      </c>
    </row>
    <row r="619" spans="3:3" ht="15" x14ac:dyDescent="0.2">
      <c r="C619" s="169" t="s">
        <v>923</v>
      </c>
    </row>
    <row r="620" spans="3:3" ht="15" x14ac:dyDescent="0.2">
      <c r="C620" s="169" t="s">
        <v>924</v>
      </c>
    </row>
    <row r="621" spans="3:3" ht="15" x14ac:dyDescent="0.2">
      <c r="C621" s="169" t="s">
        <v>925</v>
      </c>
    </row>
    <row r="622" spans="3:3" ht="15" x14ac:dyDescent="0.2">
      <c r="C622" s="169" t="s">
        <v>926</v>
      </c>
    </row>
    <row r="623" spans="3:3" ht="15" x14ac:dyDescent="0.2">
      <c r="C623" s="169" t="s">
        <v>927</v>
      </c>
    </row>
    <row r="624" spans="3:3" ht="15" x14ac:dyDescent="0.2">
      <c r="C624" s="169" t="s">
        <v>928</v>
      </c>
    </row>
    <row r="625" spans="3:3" ht="15" x14ac:dyDescent="0.2">
      <c r="C625" s="169" t="s">
        <v>929</v>
      </c>
    </row>
    <row r="626" spans="3:3" ht="15" x14ac:dyDescent="0.2">
      <c r="C626" s="169" t="s">
        <v>930</v>
      </c>
    </row>
    <row r="627" spans="3:3" ht="15" x14ac:dyDescent="0.2">
      <c r="C627" s="169" t="s">
        <v>931</v>
      </c>
    </row>
    <row r="628" spans="3:3" ht="15" x14ac:dyDescent="0.2">
      <c r="C628" s="169" t="s">
        <v>932</v>
      </c>
    </row>
    <row r="629" spans="3:3" ht="15" x14ac:dyDescent="0.2">
      <c r="C629" s="169" t="s">
        <v>933</v>
      </c>
    </row>
    <row r="630" spans="3:3" ht="15" x14ac:dyDescent="0.2">
      <c r="C630" s="169" t="s">
        <v>934</v>
      </c>
    </row>
    <row r="631" spans="3:3" ht="15" x14ac:dyDescent="0.2">
      <c r="C631" s="169" t="s">
        <v>935</v>
      </c>
    </row>
    <row r="632" spans="3:3" ht="15" x14ac:dyDescent="0.2">
      <c r="C632" s="169" t="s">
        <v>936</v>
      </c>
    </row>
    <row r="633" spans="3:3" ht="15" x14ac:dyDescent="0.2">
      <c r="C633" s="169" t="s">
        <v>937</v>
      </c>
    </row>
    <row r="634" spans="3:3" ht="15" x14ac:dyDescent="0.2">
      <c r="C634" s="169" t="s">
        <v>938</v>
      </c>
    </row>
    <row r="635" spans="3:3" ht="15" x14ac:dyDescent="0.2">
      <c r="C635" s="169" t="s">
        <v>939</v>
      </c>
    </row>
    <row r="636" spans="3:3" ht="15" x14ac:dyDescent="0.2">
      <c r="C636" s="169" t="s">
        <v>940</v>
      </c>
    </row>
    <row r="637" spans="3:3" ht="15" x14ac:dyDescent="0.2">
      <c r="C637" s="169" t="s">
        <v>777</v>
      </c>
    </row>
    <row r="638" spans="3:3" ht="15" x14ac:dyDescent="0.2">
      <c r="C638" s="169" t="s">
        <v>941</v>
      </c>
    </row>
    <row r="639" spans="3:3" ht="15" x14ac:dyDescent="0.2">
      <c r="C639" s="169" t="s">
        <v>942</v>
      </c>
    </row>
    <row r="640" spans="3:3" ht="15" x14ac:dyDescent="0.2">
      <c r="C640" s="169" t="s">
        <v>943</v>
      </c>
    </row>
    <row r="641" spans="3:3" ht="15" x14ac:dyDescent="0.2">
      <c r="C641" s="169" t="s">
        <v>944</v>
      </c>
    </row>
    <row r="642" spans="3:3" ht="15" x14ac:dyDescent="0.2">
      <c r="C642" s="169" t="s">
        <v>945</v>
      </c>
    </row>
    <row r="643" spans="3:3" ht="15" x14ac:dyDescent="0.2">
      <c r="C643" s="169" t="s">
        <v>946</v>
      </c>
    </row>
    <row r="644" spans="3:3" ht="15" x14ac:dyDescent="0.2">
      <c r="C644" s="169" t="s">
        <v>947</v>
      </c>
    </row>
    <row r="646" spans="3:3" ht="15" x14ac:dyDescent="0.2">
      <c r="C646" s="169" t="s">
        <v>948</v>
      </c>
    </row>
    <row r="647" spans="3:3" ht="15" x14ac:dyDescent="0.2">
      <c r="C647" s="169" t="s">
        <v>949</v>
      </c>
    </row>
    <row r="649" spans="3:3" ht="15" x14ac:dyDescent="0.2">
      <c r="C649" s="169" t="s">
        <v>950</v>
      </c>
    </row>
    <row r="650" spans="3:3" ht="15" x14ac:dyDescent="0.2">
      <c r="C650" s="169" t="s">
        <v>951</v>
      </c>
    </row>
    <row r="652" spans="3:3" ht="15" x14ac:dyDescent="0.2">
      <c r="C652" s="169" t="s">
        <v>952</v>
      </c>
    </row>
    <row r="653" spans="3:3" ht="15" x14ac:dyDescent="0.2">
      <c r="C653" s="169" t="s">
        <v>903</v>
      </c>
    </row>
    <row r="654" spans="3:3" ht="15" x14ac:dyDescent="0.2">
      <c r="C654" s="169" t="s">
        <v>904</v>
      </c>
    </row>
    <row r="655" spans="3:3" ht="15" x14ac:dyDescent="0.2">
      <c r="C655" s="169" t="s">
        <v>953</v>
      </c>
    </row>
    <row r="656" spans="3:3" ht="15" x14ac:dyDescent="0.2">
      <c r="C656" s="169" t="s">
        <v>906</v>
      </c>
    </row>
    <row r="657" spans="3:3" ht="15" x14ac:dyDescent="0.2">
      <c r="C657" s="169" t="s">
        <v>954</v>
      </c>
    </row>
    <row r="658" spans="3:3" ht="15" x14ac:dyDescent="0.2">
      <c r="C658" s="169" t="s">
        <v>908</v>
      </c>
    </row>
    <row r="659" spans="3:3" ht="15" x14ac:dyDescent="0.2">
      <c r="C659" s="169" t="s">
        <v>909</v>
      </c>
    </row>
    <row r="660" spans="3:3" ht="15" x14ac:dyDescent="0.2">
      <c r="C660" s="169" t="s">
        <v>849</v>
      </c>
    </row>
    <row r="662" spans="3:3" ht="15" x14ac:dyDescent="0.2">
      <c r="C662" s="169" t="s">
        <v>955</v>
      </c>
    </row>
    <row r="663" spans="3:3" ht="15" x14ac:dyDescent="0.2">
      <c r="C663" s="169" t="s">
        <v>956</v>
      </c>
    </row>
    <row r="665" spans="3:3" ht="15" x14ac:dyDescent="0.2">
      <c r="C665" s="169" t="s">
        <v>903</v>
      </c>
    </row>
    <row r="666" spans="3:3" ht="15" x14ac:dyDescent="0.2">
      <c r="C666" s="169" t="s">
        <v>957</v>
      </c>
    </row>
    <row r="667" spans="3:3" ht="15" x14ac:dyDescent="0.2">
      <c r="C667" s="169" t="s">
        <v>958</v>
      </c>
    </row>
    <row r="668" spans="3:3" ht="15" x14ac:dyDescent="0.2">
      <c r="C668" s="169" t="s">
        <v>906</v>
      </c>
    </row>
    <row r="669" spans="3:3" ht="15" x14ac:dyDescent="0.2">
      <c r="C669" s="169" t="s">
        <v>1236</v>
      </c>
    </row>
    <row r="670" spans="3:3" ht="15" x14ac:dyDescent="0.2">
      <c r="C670" s="169" t="s">
        <v>915</v>
      </c>
    </row>
    <row r="671" spans="3:3" ht="15" x14ac:dyDescent="0.2">
      <c r="C671" s="169" t="s">
        <v>916</v>
      </c>
    </row>
    <row r="672" spans="3:3" ht="15" x14ac:dyDescent="0.2">
      <c r="C672" s="169" t="s">
        <v>917</v>
      </c>
    </row>
    <row r="673" spans="3:3" ht="15" x14ac:dyDescent="0.2">
      <c r="C673" s="169" t="s">
        <v>849</v>
      </c>
    </row>
    <row r="675" spans="3:3" ht="15" x14ac:dyDescent="0.2">
      <c r="C675" s="169" t="s">
        <v>960</v>
      </c>
    </row>
    <row r="676" spans="3:3" ht="15" x14ac:dyDescent="0.2">
      <c r="C676" s="169" t="s">
        <v>903</v>
      </c>
    </row>
    <row r="677" spans="3:3" ht="15" x14ac:dyDescent="0.2">
      <c r="C677" s="169" t="s">
        <v>904</v>
      </c>
    </row>
    <row r="678" spans="3:3" ht="15" x14ac:dyDescent="0.2">
      <c r="C678" s="169" t="s">
        <v>961</v>
      </c>
    </row>
    <row r="679" spans="3:3" ht="15" x14ac:dyDescent="0.2">
      <c r="C679" s="169" t="s">
        <v>906</v>
      </c>
    </row>
    <row r="680" spans="3:3" ht="15" x14ac:dyDescent="0.2">
      <c r="C680" s="169" t="s">
        <v>962</v>
      </c>
    </row>
    <row r="681" spans="3:3" ht="15" x14ac:dyDescent="0.2">
      <c r="C681" s="169" t="s">
        <v>908</v>
      </c>
    </row>
    <row r="682" spans="3:3" ht="15" x14ac:dyDescent="0.2">
      <c r="C682" s="169" t="s">
        <v>909</v>
      </c>
    </row>
    <row r="683" spans="3:3" ht="15" x14ac:dyDescent="0.2">
      <c r="C683" s="169" t="s">
        <v>849</v>
      </c>
    </row>
    <row r="685" spans="3:3" ht="15" x14ac:dyDescent="0.2">
      <c r="C685" s="169" t="s">
        <v>963</v>
      </c>
    </row>
    <row r="686" spans="3:3" ht="15" x14ac:dyDescent="0.2">
      <c r="C686" s="169" t="s">
        <v>964</v>
      </c>
    </row>
    <row r="688" spans="3:3" ht="15" x14ac:dyDescent="0.2">
      <c r="C688" s="169" t="s">
        <v>903</v>
      </c>
    </row>
    <row r="689" spans="3:3" ht="15" x14ac:dyDescent="0.2">
      <c r="C689" s="169" t="s">
        <v>965</v>
      </c>
    </row>
    <row r="690" spans="3:3" ht="15" x14ac:dyDescent="0.2">
      <c r="C690" s="169" t="s">
        <v>966</v>
      </c>
    </row>
    <row r="691" spans="3:3" ht="15" x14ac:dyDescent="0.2">
      <c r="C691" s="169" t="s">
        <v>906</v>
      </c>
    </row>
    <row r="692" spans="3:3" ht="15" x14ac:dyDescent="0.2">
      <c r="C692" s="169" t="s">
        <v>914</v>
      </c>
    </row>
    <row r="693" spans="3:3" ht="15" x14ac:dyDescent="0.2">
      <c r="C693" s="169" t="s">
        <v>915</v>
      </c>
    </row>
    <row r="694" spans="3:3" ht="15" x14ac:dyDescent="0.2">
      <c r="C694" s="169" t="s">
        <v>916</v>
      </c>
    </row>
    <row r="695" spans="3:3" ht="15" x14ac:dyDescent="0.2">
      <c r="C695" s="169" t="s">
        <v>917</v>
      </c>
    </row>
    <row r="696" spans="3:3" ht="15" x14ac:dyDescent="0.2">
      <c r="C696" s="169" t="s">
        <v>849</v>
      </c>
    </row>
    <row r="698" spans="3:3" ht="15" x14ac:dyDescent="0.2">
      <c r="C698" s="169" t="s">
        <v>967</v>
      </c>
    </row>
    <row r="699" spans="3:3" ht="15" x14ac:dyDescent="0.2">
      <c r="C699" s="169" t="s">
        <v>903</v>
      </c>
    </row>
    <row r="700" spans="3:3" ht="15" x14ac:dyDescent="0.2">
      <c r="C700" s="169" t="s">
        <v>904</v>
      </c>
    </row>
    <row r="701" spans="3:3" ht="15" x14ac:dyDescent="0.2">
      <c r="C701" s="169" t="s">
        <v>968</v>
      </c>
    </row>
    <row r="702" spans="3:3" ht="15" x14ac:dyDescent="0.2">
      <c r="C702" s="169" t="s">
        <v>906</v>
      </c>
    </row>
    <row r="703" spans="3:3" ht="15" x14ac:dyDescent="0.2">
      <c r="C703" s="169" t="s">
        <v>969</v>
      </c>
    </row>
    <row r="704" spans="3:3" ht="15" x14ac:dyDescent="0.2">
      <c r="C704" s="169" t="s">
        <v>908</v>
      </c>
    </row>
    <row r="705" spans="3:3" ht="15" x14ac:dyDescent="0.2">
      <c r="C705" s="169" t="s">
        <v>909</v>
      </c>
    </row>
    <row r="706" spans="3:3" ht="15" x14ac:dyDescent="0.2">
      <c r="C706" s="169" t="s">
        <v>849</v>
      </c>
    </row>
    <row r="708" spans="3:3" ht="15" x14ac:dyDescent="0.2">
      <c r="C708" s="169" t="s">
        <v>970</v>
      </c>
    </row>
    <row r="709" spans="3:3" ht="15" x14ac:dyDescent="0.2">
      <c r="C709" s="169" t="s">
        <v>971</v>
      </c>
    </row>
    <row r="711" spans="3:3" ht="15" x14ac:dyDescent="0.2">
      <c r="C711" s="169" t="s">
        <v>903</v>
      </c>
    </row>
    <row r="712" spans="3:3" ht="15" x14ac:dyDescent="0.2">
      <c r="C712" s="169" t="s">
        <v>972</v>
      </c>
    </row>
    <row r="713" spans="3:3" ht="15" x14ac:dyDescent="0.2">
      <c r="C713" s="169" t="s">
        <v>973</v>
      </c>
    </row>
    <row r="714" spans="3:3" ht="15" x14ac:dyDescent="0.2">
      <c r="C714" s="169" t="s">
        <v>906</v>
      </c>
    </row>
    <row r="715" spans="3:3" ht="15" x14ac:dyDescent="0.2">
      <c r="C715" s="169" t="s">
        <v>914</v>
      </c>
    </row>
    <row r="716" spans="3:3" ht="15" x14ac:dyDescent="0.2">
      <c r="C716" s="169" t="s">
        <v>915</v>
      </c>
    </row>
    <row r="717" spans="3:3" ht="15" x14ac:dyDescent="0.2">
      <c r="C717" s="169" t="s">
        <v>916</v>
      </c>
    </row>
    <row r="718" spans="3:3" ht="15" x14ac:dyDescent="0.2">
      <c r="C718" s="169" t="s">
        <v>974</v>
      </c>
    </row>
    <row r="719" spans="3:3" ht="15" x14ac:dyDescent="0.2">
      <c r="C719" s="169" t="s">
        <v>975</v>
      </c>
    </row>
    <row r="721" spans="3:3" ht="15" x14ac:dyDescent="0.2">
      <c r="C721" s="169" t="s">
        <v>1148</v>
      </c>
    </row>
    <row r="722" spans="3:3" ht="15" x14ac:dyDescent="0.2">
      <c r="C722" s="169" t="s">
        <v>977</v>
      </c>
    </row>
    <row r="723" spans="3:3" ht="15" x14ac:dyDescent="0.2">
      <c r="C723" s="169" t="s">
        <v>978</v>
      </c>
    </row>
    <row r="725" spans="3:3" ht="15" x14ac:dyDescent="0.2">
      <c r="C725" s="169" t="s">
        <v>903</v>
      </c>
    </row>
    <row r="726" spans="3:3" ht="15" x14ac:dyDescent="0.2">
      <c r="C726" s="169" t="s">
        <v>979</v>
      </c>
    </row>
    <row r="727" spans="3:3" ht="15" x14ac:dyDescent="0.2">
      <c r="C727" s="169" t="s">
        <v>980</v>
      </c>
    </row>
    <row r="728" spans="3:3" ht="15" x14ac:dyDescent="0.2">
      <c r="C728" s="169" t="s">
        <v>906</v>
      </c>
    </row>
    <row r="729" spans="3:3" ht="15" x14ac:dyDescent="0.2">
      <c r="C729" s="169" t="s">
        <v>914</v>
      </c>
    </row>
    <row r="730" spans="3:3" ht="15" x14ac:dyDescent="0.2">
      <c r="C730" s="169" t="s">
        <v>981</v>
      </c>
    </row>
    <row r="731" spans="3:3" ht="15" x14ac:dyDescent="0.2">
      <c r="C731" s="169" t="s">
        <v>917</v>
      </c>
    </row>
    <row r="732" spans="3:3" ht="15" x14ac:dyDescent="0.2">
      <c r="C732" s="169" t="s">
        <v>849</v>
      </c>
    </row>
    <row r="734" spans="3:3" ht="15" x14ac:dyDescent="0.2">
      <c r="C734" s="169" t="s">
        <v>845</v>
      </c>
    </row>
    <row r="736" spans="3:3" ht="15" x14ac:dyDescent="0.2">
      <c r="C736" s="169" t="s">
        <v>1237</v>
      </c>
    </row>
    <row r="737" spans="3:3" ht="15" x14ac:dyDescent="0.2">
      <c r="C737" s="169" t="s">
        <v>1238</v>
      </c>
    </row>
    <row r="739" spans="3:3" ht="15" x14ac:dyDescent="0.2">
      <c r="C739" s="169" t="s">
        <v>1239</v>
      </c>
    </row>
    <row r="740" spans="3:3" ht="15" x14ac:dyDescent="0.2">
      <c r="C740" s="169" t="s">
        <v>1240</v>
      </c>
    </row>
    <row r="742" spans="3:3" ht="15" x14ac:dyDescent="0.2">
      <c r="C742" s="169" t="s">
        <v>1021</v>
      </c>
    </row>
    <row r="743" spans="3:3" ht="15" x14ac:dyDescent="0.2">
      <c r="C743" s="169" t="s">
        <v>1022</v>
      </c>
    </row>
    <row r="744" spans="3:3" ht="15" x14ac:dyDescent="0.2">
      <c r="C744" s="169" t="s">
        <v>1023</v>
      </c>
    </row>
    <row r="746" spans="3:3" ht="15" x14ac:dyDescent="0.2">
      <c r="C746" s="169" t="s">
        <v>1024</v>
      </c>
    </row>
    <row r="747" spans="3:3" ht="15" x14ac:dyDescent="0.2">
      <c r="C747" s="169" t="s">
        <v>1025</v>
      </c>
    </row>
    <row r="748" spans="3:3" ht="15" x14ac:dyDescent="0.2">
      <c r="C748" s="169" t="s">
        <v>1026</v>
      </c>
    </row>
    <row r="749" spans="3:3" ht="15" x14ac:dyDescent="0.2">
      <c r="C749" s="169" t="s">
        <v>1027</v>
      </c>
    </row>
    <row r="751" spans="3:3" ht="15" x14ac:dyDescent="0.2">
      <c r="C751" s="169" t="s">
        <v>1028</v>
      </c>
    </row>
    <row r="752" spans="3:3" x14ac:dyDescent="0.2">
      <c r="C752" s="170" t="s">
        <v>1029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">
    <tabColor rgb="FF512D6D"/>
  </sheetPr>
  <dimension ref="A1:D761"/>
  <sheetViews>
    <sheetView workbookViewId="0"/>
  </sheetViews>
  <sheetFormatPr defaultColWidth="0" defaultRowHeight="12.75" x14ac:dyDescent="0.2"/>
  <cols>
    <col min="1" max="1" width="24.7109375" style="50" customWidth="1"/>
    <col min="2" max="2" width="9.140625" style="50" customWidth="1"/>
    <col min="3" max="3" width="120.7109375" style="170" customWidth="1"/>
    <col min="4" max="4" width="1.7109375" style="50" customWidth="1"/>
    <col min="5" max="16384" width="9.140625" style="50" hidden="1"/>
  </cols>
  <sheetData>
    <row r="1" spans="1:3" ht="15.75" thickBot="1" x14ac:dyDescent="0.25">
      <c r="A1" s="171" t="s">
        <v>1631</v>
      </c>
      <c r="C1" s="169" t="s">
        <v>490</v>
      </c>
    </row>
    <row r="2" spans="1:3" ht="16.5" thickTop="1" thickBot="1" x14ac:dyDescent="0.25">
      <c r="A2" s="172" t="str">
        <f>_xlfn.CONCAT(Results!$C$32,".sim")</f>
        <v>Estatico.sim</v>
      </c>
      <c r="C2" s="169" t="s">
        <v>491</v>
      </c>
    </row>
    <row r="3" spans="1:3" ht="13.5" thickBot="1" x14ac:dyDescent="0.25"/>
    <row r="4" spans="1:3" ht="15.75" thickBot="1" x14ac:dyDescent="0.25">
      <c r="A4" s="171" t="s">
        <v>1633</v>
      </c>
      <c r="C4" s="169" t="s">
        <v>2135</v>
      </c>
    </row>
    <row r="5" spans="1:3" ht="16.5" thickTop="1" thickBot="1" x14ac:dyDescent="0.25">
      <c r="A5" s="166" t="str">
        <f>CONCATENATE(Results!C43,".png")</f>
        <v>IGNORAR.png</v>
      </c>
      <c r="C5" s="169" t="s">
        <v>2136</v>
      </c>
    </row>
    <row r="6" spans="1:3" ht="15.75" thickBot="1" x14ac:dyDescent="0.25">
      <c r="C6" s="169" t="s">
        <v>492</v>
      </c>
    </row>
    <row r="7" spans="1:3" ht="15.75" thickBot="1" x14ac:dyDescent="0.25">
      <c r="A7" s="171" t="s">
        <v>1634</v>
      </c>
      <c r="C7" s="169" t="s">
        <v>493</v>
      </c>
    </row>
    <row r="8" spans="1:3" ht="16.5" thickTop="1" thickBot="1" x14ac:dyDescent="0.25">
      <c r="A8" s="166" t="str">
        <f>CONCATENATE("Figuras\", Results!C43,".py")</f>
        <v>Figuras\IGNORAR.py</v>
      </c>
      <c r="C8" s="169" t="s">
        <v>494</v>
      </c>
    </row>
    <row r="9" spans="1:3" ht="15.75" thickBot="1" x14ac:dyDescent="0.25">
      <c r="C9" s="169" t="s">
        <v>495</v>
      </c>
    </row>
    <row r="10" spans="1:3" ht="15.75" thickBot="1" x14ac:dyDescent="0.25">
      <c r="A10" s="171" t="s">
        <v>1753</v>
      </c>
      <c r="C10" s="169" t="s">
        <v>496</v>
      </c>
    </row>
    <row r="11" spans="1:3" ht="16.5" thickTop="1" thickBot="1" x14ac:dyDescent="0.25">
      <c r="A11" s="166" t="str">
        <f>_xlfn.CONCAT(Results!C43,".sim")</f>
        <v>IGNORAR.sim</v>
      </c>
      <c r="C11" s="169" t="s">
        <v>497</v>
      </c>
    </row>
    <row r="12" spans="1:3" ht="13.5" thickBot="1" x14ac:dyDescent="0.25"/>
    <row r="13" spans="1:3" ht="15.75" thickBot="1" x14ac:dyDescent="0.25">
      <c r="A13" s="171" t="s">
        <v>498</v>
      </c>
      <c r="C13" s="169" t="s">
        <v>499</v>
      </c>
    </row>
    <row r="14" spans="1:3" s="33" customFormat="1" ht="16.5" thickTop="1" thickBot="1" x14ac:dyDescent="0.25">
      <c r="A14" s="166" t="str">
        <f>Results!C52</f>
        <v>IGNORAR</v>
      </c>
      <c r="C14" s="647" t="s">
        <v>2152</v>
      </c>
    </row>
    <row r="15" spans="1:3" s="33" customFormat="1" ht="15.75" thickBot="1" x14ac:dyDescent="0.25">
      <c r="A15" s="165"/>
      <c r="C15" s="647" t="s">
        <v>2195</v>
      </c>
    </row>
    <row r="16" spans="1:3" s="33" customFormat="1" ht="15.75" thickBot="1" x14ac:dyDescent="0.25">
      <c r="A16" s="167" t="s">
        <v>500</v>
      </c>
      <c r="C16" s="647" t="s">
        <v>2196</v>
      </c>
    </row>
    <row r="17" spans="1:3" ht="13.5" thickTop="1" x14ac:dyDescent="0.2">
      <c r="A17" s="174" t="str">
        <f>'2nd_Post_Processing'!$L$6</f>
        <v>Line</v>
      </c>
      <c r="B17" s="33"/>
      <c r="C17" s="649"/>
    </row>
    <row r="18" spans="1:3" ht="15" x14ac:dyDescent="0.2">
      <c r="A18" s="163" t="str">
        <f>'2nd_Post_Processing'!$L$7</f>
        <v>Stiffener1</v>
      </c>
      <c r="B18" s="33"/>
      <c r="C18" s="647" t="s">
        <v>501</v>
      </c>
    </row>
    <row r="19" spans="1:3" ht="15.75" thickBot="1" x14ac:dyDescent="0.25">
      <c r="A19" s="175" t="str">
        <f>'2nd_Post_Processing'!$L$8</f>
        <v>P7000048060</v>
      </c>
      <c r="B19" s="650"/>
      <c r="C19" s="647" t="str">
        <f>_xlfn.CONCAT("filename_static = glob.glob(fr'{workspace_dir}\",$A$2,"')[0]")</f>
        <v>filename_static = glob.glob(fr'{workspace_dir}\Estatico.sim')[0]</v>
      </c>
    </row>
    <row r="21" spans="1:3" ht="15" x14ac:dyDescent="0.2">
      <c r="C21" s="169" t="s">
        <v>2162</v>
      </c>
    </row>
    <row r="22" spans="1:3" ht="15" x14ac:dyDescent="0.2">
      <c r="B22" s="173"/>
      <c r="C22" s="647" t="str">
        <f>_xlfn.CONCAT("filename_static = glob.glob(fr'{workspace_dir}\",$A$11,"')[0]")</f>
        <v>filename_static = glob.glob(fr'{workspace_dir}\IGNORAR.sim')[0]</v>
      </c>
    </row>
    <row r="23" spans="1:3" ht="15" x14ac:dyDescent="0.2">
      <c r="C23" s="647"/>
    </row>
    <row r="24" spans="1:3" ht="15" x14ac:dyDescent="0.2">
      <c r="C24" s="169" t="s">
        <v>502</v>
      </c>
    </row>
    <row r="25" spans="1:3" ht="15" x14ac:dyDescent="0.2">
      <c r="B25" s="173"/>
      <c r="C25" s="647" t="str">
        <f>_xlfn.CONCAT("pngname = fr'{figure_dir}\",$A$5,"'")</f>
        <v>pngname = fr'{figure_dir}\IGNORAR.png'</v>
      </c>
    </row>
    <row r="28" spans="1:3" ht="15" x14ac:dyDescent="0.2">
      <c r="C28" s="169" t="s">
        <v>504</v>
      </c>
    </row>
    <row r="30" spans="1:3" ht="15" x14ac:dyDescent="0.2">
      <c r="C30" s="169" t="s">
        <v>505</v>
      </c>
    </row>
    <row r="31" spans="1:3" ht="15" x14ac:dyDescent="0.2">
      <c r="C31" s="169" t="s">
        <v>506</v>
      </c>
    </row>
    <row r="32" spans="1:3" ht="15" x14ac:dyDescent="0.2">
      <c r="C32" s="169" t="s">
        <v>507</v>
      </c>
    </row>
    <row r="34" spans="3:3" ht="15" x14ac:dyDescent="0.2">
      <c r="C34" s="169" t="s">
        <v>508</v>
      </c>
    </row>
    <row r="35" spans="3:3" ht="15" x14ac:dyDescent="0.2">
      <c r="C35" s="169" t="s">
        <v>509</v>
      </c>
    </row>
    <row r="36" spans="3:3" ht="15" x14ac:dyDescent="0.2">
      <c r="C36" s="169" t="s">
        <v>510</v>
      </c>
    </row>
    <row r="37" spans="3:3" ht="15" x14ac:dyDescent="0.2">
      <c r="C37" s="169" t="s">
        <v>511</v>
      </c>
    </row>
    <row r="38" spans="3:3" ht="15" x14ac:dyDescent="0.2">
      <c r="C38" s="169" t="s">
        <v>512</v>
      </c>
    </row>
    <row r="40" spans="3:3" ht="15" x14ac:dyDescent="0.2">
      <c r="C40" s="169" t="s">
        <v>513</v>
      </c>
    </row>
    <row r="41" spans="3:3" ht="15" x14ac:dyDescent="0.2">
      <c r="C41" s="169" t="s">
        <v>514</v>
      </c>
    </row>
    <row r="43" spans="3:3" ht="15" x14ac:dyDescent="0.2">
      <c r="C43" s="169" t="s">
        <v>515</v>
      </c>
    </row>
    <row r="44" spans="3:3" ht="15" x14ac:dyDescent="0.2">
      <c r="C44" s="169" t="s">
        <v>516</v>
      </c>
    </row>
    <row r="46" spans="3:3" ht="15" x14ac:dyDescent="0.2">
      <c r="C46" s="169" t="s">
        <v>517</v>
      </c>
    </row>
    <row r="47" spans="3:3" ht="15" x14ac:dyDescent="0.2">
      <c r="C47" s="169" t="s">
        <v>518</v>
      </c>
    </row>
    <row r="49" spans="3:3" ht="15" x14ac:dyDescent="0.2">
      <c r="C49" s="169" t="s">
        <v>519</v>
      </c>
    </row>
    <row r="50" spans="3:3" ht="15" x14ac:dyDescent="0.2">
      <c r="C50" s="169" t="s">
        <v>520</v>
      </c>
    </row>
    <row r="52" spans="3:3" ht="15" x14ac:dyDescent="0.2">
      <c r="C52" s="169" t="s">
        <v>521</v>
      </c>
    </row>
    <row r="53" spans="3:3" ht="15" x14ac:dyDescent="0.2">
      <c r="C53" s="169" t="s">
        <v>522</v>
      </c>
    </row>
    <row r="55" spans="3:3" ht="15" x14ac:dyDescent="0.2">
      <c r="C55" s="169" t="s">
        <v>523</v>
      </c>
    </row>
    <row r="56" spans="3:3" ht="15" x14ac:dyDescent="0.2">
      <c r="C56" s="169" t="s">
        <v>524</v>
      </c>
    </row>
    <row r="58" spans="3:3" ht="15" x14ac:dyDescent="0.2">
      <c r="C58" s="169" t="s">
        <v>525</v>
      </c>
    </row>
    <row r="59" spans="3:3" ht="15" x14ac:dyDescent="0.2">
      <c r="C59" s="169" t="s">
        <v>526</v>
      </c>
    </row>
    <row r="61" spans="3:3" ht="15" x14ac:dyDescent="0.2">
      <c r="C61" s="169" t="s">
        <v>527</v>
      </c>
    </row>
    <row r="62" spans="3:3" ht="15" x14ac:dyDescent="0.2">
      <c r="C62" s="169" t="s">
        <v>528</v>
      </c>
    </row>
    <row r="64" spans="3:3" ht="15" x14ac:dyDescent="0.2">
      <c r="C64" s="169" t="s">
        <v>529</v>
      </c>
    </row>
    <row r="65" spans="2:3" ht="15" x14ac:dyDescent="0.2">
      <c r="C65" s="169" t="s">
        <v>530</v>
      </c>
    </row>
    <row r="67" spans="2:3" ht="15" x14ac:dyDescent="0.2">
      <c r="C67" s="169" t="s">
        <v>531</v>
      </c>
    </row>
    <row r="68" spans="2:3" ht="15" x14ac:dyDescent="0.2">
      <c r="C68" s="169" t="s">
        <v>532</v>
      </c>
    </row>
    <row r="70" spans="2:3" ht="15" x14ac:dyDescent="0.2">
      <c r="C70" s="169" t="s">
        <v>545</v>
      </c>
    </row>
    <row r="71" spans="2:3" ht="15" x14ac:dyDescent="0.2">
      <c r="B71" s="173"/>
      <c r="C71" s="169" t="str">
        <f>_xlfn.CONCAT("font_size = '",$A$14,"'")</f>
        <v>font_size = 'IGNORAR'</v>
      </c>
    </row>
    <row r="73" spans="2:3" ht="15" x14ac:dyDescent="0.2">
      <c r="C73" s="169" t="s">
        <v>547</v>
      </c>
    </row>
    <row r="75" spans="2:3" ht="15" x14ac:dyDescent="0.2">
      <c r="C75" s="169" t="s">
        <v>551</v>
      </c>
    </row>
    <row r="76" spans="2:3" ht="15" x14ac:dyDescent="0.2">
      <c r="C76" s="169" t="s">
        <v>552</v>
      </c>
    </row>
    <row r="77" spans="2:3" ht="15" x14ac:dyDescent="0.2">
      <c r="C77" s="169" t="s">
        <v>553</v>
      </c>
    </row>
    <row r="78" spans="2:3" ht="15" x14ac:dyDescent="0.2">
      <c r="C78" s="169" t="s">
        <v>552</v>
      </c>
    </row>
    <row r="79" spans="2:3" ht="15" x14ac:dyDescent="0.2">
      <c r="C79" s="169" t="s">
        <v>554</v>
      </c>
    </row>
    <row r="80" spans="2:3" ht="15" x14ac:dyDescent="0.2">
      <c r="C80" s="169" t="s">
        <v>555</v>
      </c>
    </row>
    <row r="81" spans="3:3" ht="15" x14ac:dyDescent="0.2">
      <c r="C81" s="169" t="s">
        <v>556</v>
      </c>
    </row>
    <row r="82" spans="3:3" ht="15" x14ac:dyDescent="0.2">
      <c r="C82" s="169" t="s">
        <v>557</v>
      </c>
    </row>
    <row r="83" spans="3:3" ht="15" x14ac:dyDescent="0.2">
      <c r="C83" s="169" t="s">
        <v>558</v>
      </c>
    </row>
    <row r="84" spans="3:3" ht="15" x14ac:dyDescent="0.2">
      <c r="C84" s="169" t="s">
        <v>559</v>
      </c>
    </row>
    <row r="85" spans="3:3" ht="15" x14ac:dyDescent="0.2">
      <c r="C85" s="169" t="s">
        <v>560</v>
      </c>
    </row>
    <row r="86" spans="3:3" ht="15" x14ac:dyDescent="0.2">
      <c r="C86" s="169" t="s">
        <v>561</v>
      </c>
    </row>
    <row r="87" spans="3:3" ht="15" x14ac:dyDescent="0.2">
      <c r="C87" s="169" t="s">
        <v>559</v>
      </c>
    </row>
    <row r="88" spans="3:3" ht="15" x14ac:dyDescent="0.2">
      <c r="C88" s="169" t="s">
        <v>562</v>
      </c>
    </row>
    <row r="89" spans="3:3" ht="15" x14ac:dyDescent="0.2">
      <c r="C89" s="169" t="s">
        <v>563</v>
      </c>
    </row>
    <row r="90" spans="3:3" ht="15" x14ac:dyDescent="0.2">
      <c r="C90" s="169" t="s">
        <v>564</v>
      </c>
    </row>
    <row r="91" spans="3:3" ht="15" x14ac:dyDescent="0.2">
      <c r="C91" s="169" t="s">
        <v>565</v>
      </c>
    </row>
    <row r="92" spans="3:3" ht="15" x14ac:dyDescent="0.2">
      <c r="C92" s="169" t="s">
        <v>566</v>
      </c>
    </row>
    <row r="93" spans="3:3" ht="15" x14ac:dyDescent="0.2">
      <c r="C93" s="169" t="s">
        <v>567</v>
      </c>
    </row>
    <row r="94" spans="3:3" ht="15" x14ac:dyDescent="0.2">
      <c r="C94" s="169" t="s">
        <v>568</v>
      </c>
    </row>
    <row r="95" spans="3:3" ht="15" x14ac:dyDescent="0.2">
      <c r="C95" s="169" t="s">
        <v>569</v>
      </c>
    </row>
    <row r="96" spans="3:3" ht="15" x14ac:dyDescent="0.2">
      <c r="C96" s="169" t="s">
        <v>570</v>
      </c>
    </row>
    <row r="97" spans="2:3" ht="15" x14ac:dyDescent="0.2">
      <c r="C97" s="169" t="s">
        <v>571</v>
      </c>
    </row>
    <row r="99" spans="2:3" ht="15" x14ac:dyDescent="0.2">
      <c r="C99" s="169" t="s">
        <v>572</v>
      </c>
    </row>
    <row r="100" spans="2:3" ht="15" x14ac:dyDescent="0.2">
      <c r="C100" s="169" t="s">
        <v>1241</v>
      </c>
    </row>
    <row r="101" spans="2:3" ht="15" x14ac:dyDescent="0.2">
      <c r="C101" s="169" t="s">
        <v>1242</v>
      </c>
    </row>
    <row r="102" spans="2:3" ht="15" x14ac:dyDescent="0.2">
      <c r="C102" s="169" t="s">
        <v>1243</v>
      </c>
    </row>
    <row r="104" spans="2:3" ht="15" x14ac:dyDescent="0.2">
      <c r="C104" s="169" t="s">
        <v>1152</v>
      </c>
    </row>
    <row r="105" spans="2:3" ht="15" x14ac:dyDescent="0.2">
      <c r="C105" s="169" t="s">
        <v>1153</v>
      </c>
    </row>
    <row r="107" spans="2:3" ht="15" x14ac:dyDescent="0.2">
      <c r="C107" s="169" t="s">
        <v>574</v>
      </c>
    </row>
    <row r="108" spans="2:3" ht="15" x14ac:dyDescent="0.2">
      <c r="B108" s="173"/>
      <c r="C108" s="169" t="str">
        <f>_xlfn.CONCAT("vcm1=model['",$A$19,"']")</f>
        <v>vcm1=model['P7000048060']</v>
      </c>
    </row>
    <row r="110" spans="2:3" ht="15" x14ac:dyDescent="0.2">
      <c r="C110" s="169" t="s">
        <v>575</v>
      </c>
    </row>
    <row r="111" spans="2:3" ht="15" x14ac:dyDescent="0.2">
      <c r="B111" s="173"/>
      <c r="C111" s="169" t="str">
        <f>_xlfn.CONCAT("line1=model['",$A$17,"']")</f>
        <v>line1=model['Line']</v>
      </c>
    </row>
    <row r="112" spans="2:3" ht="15" x14ac:dyDescent="0.2">
      <c r="B112" s="173"/>
      <c r="C112" s="169" t="str">
        <f>_xlfn.CONCAT("att_lines=list(['",$A$18,"'])")</f>
        <v>att_lines=list(['Stiffener1'])</v>
      </c>
    </row>
    <row r="113" spans="3:3" ht="15" x14ac:dyDescent="0.2">
      <c r="C113" s="169" t="s">
        <v>576</v>
      </c>
    </row>
    <row r="114" spans="3:3" ht="15" x14ac:dyDescent="0.2">
      <c r="C114" s="169" t="s">
        <v>577</v>
      </c>
    </row>
    <row r="115" spans="3:3" ht="15" x14ac:dyDescent="0.2">
      <c r="C115" s="169" t="s">
        <v>578</v>
      </c>
    </row>
    <row r="116" spans="3:3" ht="15" x14ac:dyDescent="0.2">
      <c r="C116" s="169" t="s">
        <v>579</v>
      </c>
    </row>
    <row r="117" spans="3:3" ht="15" x14ac:dyDescent="0.2">
      <c r="C117" s="169" t="s">
        <v>580</v>
      </c>
    </row>
    <row r="118" spans="3:3" ht="15" x14ac:dyDescent="0.2">
      <c r="C118" s="169" t="s">
        <v>581</v>
      </c>
    </row>
    <row r="119" spans="3:3" ht="15" x14ac:dyDescent="0.2">
      <c r="C119" s="169" t="s">
        <v>582</v>
      </c>
    </row>
    <row r="121" spans="3:3" ht="15" x14ac:dyDescent="0.2">
      <c r="C121" s="169" t="s">
        <v>583</v>
      </c>
    </row>
    <row r="122" spans="3:3" ht="15" x14ac:dyDescent="0.2">
      <c r="C122" s="169" t="s">
        <v>584</v>
      </c>
    </row>
    <row r="123" spans="3:3" ht="15" x14ac:dyDescent="0.2">
      <c r="C123" s="169" t="s">
        <v>585</v>
      </c>
    </row>
    <row r="124" spans="3:3" ht="15" x14ac:dyDescent="0.2">
      <c r="C124" s="169" t="s">
        <v>586</v>
      </c>
    </row>
    <row r="125" spans="3:3" ht="15" x14ac:dyDescent="0.2">
      <c r="C125" s="169" t="s">
        <v>587</v>
      </c>
    </row>
    <row r="126" spans="3:3" ht="15" x14ac:dyDescent="0.2">
      <c r="C126" s="169" t="s">
        <v>588</v>
      </c>
    </row>
    <row r="127" spans="3:3" ht="15" x14ac:dyDescent="0.2">
      <c r="C127" s="169" t="s">
        <v>589</v>
      </c>
    </row>
    <row r="128" spans="3:3" ht="15" x14ac:dyDescent="0.2">
      <c r="C128" s="169" t="s">
        <v>590</v>
      </c>
    </row>
    <row r="129" spans="3:3" ht="15" x14ac:dyDescent="0.2">
      <c r="C129" s="169" t="s">
        <v>591</v>
      </c>
    </row>
    <row r="130" spans="3:3" ht="15" x14ac:dyDescent="0.2">
      <c r="C130" s="169" t="s">
        <v>592</v>
      </c>
    </row>
    <row r="131" spans="3:3" ht="15" x14ac:dyDescent="0.2">
      <c r="C131" s="169" t="s">
        <v>593</v>
      </c>
    </row>
    <row r="133" spans="3:3" ht="15" x14ac:dyDescent="0.2">
      <c r="C133" s="169" t="s">
        <v>594</v>
      </c>
    </row>
    <row r="134" spans="3:3" ht="15" x14ac:dyDescent="0.2">
      <c r="C134" s="169" t="s">
        <v>595</v>
      </c>
    </row>
    <row r="135" spans="3:3" ht="15" x14ac:dyDescent="0.2">
      <c r="C135" s="169" t="s">
        <v>596</v>
      </c>
    </row>
    <row r="136" spans="3:3" ht="15" x14ac:dyDescent="0.2">
      <c r="C136" s="169" t="s">
        <v>597</v>
      </c>
    </row>
    <row r="137" spans="3:3" ht="15" x14ac:dyDescent="0.2">
      <c r="C137" s="169" t="s">
        <v>598</v>
      </c>
    </row>
    <row r="138" spans="3:3" ht="15" x14ac:dyDescent="0.2">
      <c r="C138" s="169" t="s">
        <v>599</v>
      </c>
    </row>
    <row r="140" spans="3:3" ht="15" x14ac:dyDescent="0.2">
      <c r="C140" s="169" t="s">
        <v>600</v>
      </c>
    </row>
    <row r="141" spans="3:3" ht="15" x14ac:dyDescent="0.2">
      <c r="C141" s="169" t="s">
        <v>588</v>
      </c>
    </row>
    <row r="142" spans="3:3" ht="15" x14ac:dyDescent="0.2">
      <c r="C142" s="169" t="s">
        <v>601</v>
      </c>
    </row>
    <row r="143" spans="3:3" ht="15" x14ac:dyDescent="0.2">
      <c r="C143" s="169" t="s">
        <v>602</v>
      </c>
    </row>
    <row r="144" spans="3:3" ht="15" x14ac:dyDescent="0.2">
      <c r="C144" s="169" t="s">
        <v>603</v>
      </c>
    </row>
    <row r="145" spans="3:3" ht="15" x14ac:dyDescent="0.2">
      <c r="C145" s="169" t="s">
        <v>604</v>
      </c>
    </row>
    <row r="146" spans="3:3" ht="15" x14ac:dyDescent="0.2">
      <c r="C146" s="169" t="s">
        <v>605</v>
      </c>
    </row>
    <row r="147" spans="3:3" ht="15" x14ac:dyDescent="0.2">
      <c r="C147" s="169" t="s">
        <v>606</v>
      </c>
    </row>
    <row r="149" spans="3:3" ht="15" x14ac:dyDescent="0.2">
      <c r="C149" s="169" t="s">
        <v>607</v>
      </c>
    </row>
    <row r="150" spans="3:3" ht="15" x14ac:dyDescent="0.2">
      <c r="C150" s="169" t="s">
        <v>608</v>
      </c>
    </row>
    <row r="152" spans="3:3" ht="15" x14ac:dyDescent="0.2">
      <c r="C152" s="169" t="s">
        <v>609</v>
      </c>
    </row>
    <row r="153" spans="3:3" ht="15" x14ac:dyDescent="0.2">
      <c r="C153" s="169" t="s">
        <v>610</v>
      </c>
    </row>
    <row r="154" spans="3:3" ht="15" x14ac:dyDescent="0.2">
      <c r="C154" s="169" t="s">
        <v>611</v>
      </c>
    </row>
    <row r="155" spans="3:3" ht="15" x14ac:dyDescent="0.2">
      <c r="C155" s="169" t="s">
        <v>612</v>
      </c>
    </row>
    <row r="156" spans="3:3" ht="15" x14ac:dyDescent="0.2">
      <c r="C156" s="169" t="s">
        <v>613</v>
      </c>
    </row>
    <row r="157" spans="3:3" ht="15" x14ac:dyDescent="0.2">
      <c r="C157" s="169" t="s">
        <v>614</v>
      </c>
    </row>
    <row r="158" spans="3:3" ht="15" x14ac:dyDescent="0.2">
      <c r="C158" s="169" t="s">
        <v>615</v>
      </c>
    </row>
    <row r="159" spans="3:3" ht="15" x14ac:dyDescent="0.2">
      <c r="C159" s="169" t="s">
        <v>616</v>
      </c>
    </row>
    <row r="160" spans="3:3" ht="15" x14ac:dyDescent="0.2">
      <c r="C160" s="169" t="s">
        <v>617</v>
      </c>
    </row>
    <row r="161" spans="3:3" ht="15" x14ac:dyDescent="0.2">
      <c r="C161" s="169" t="s">
        <v>618</v>
      </c>
    </row>
    <row r="162" spans="3:3" ht="15" x14ac:dyDescent="0.2">
      <c r="C162" s="169" t="s">
        <v>619</v>
      </c>
    </row>
    <row r="163" spans="3:3" ht="15" x14ac:dyDescent="0.2">
      <c r="C163" s="169" t="s">
        <v>620</v>
      </c>
    </row>
    <row r="165" spans="3:3" ht="15" x14ac:dyDescent="0.2">
      <c r="C165" s="169" t="s">
        <v>621</v>
      </c>
    </row>
    <row r="166" spans="3:3" ht="15" x14ac:dyDescent="0.2">
      <c r="C166" s="169" t="s">
        <v>622</v>
      </c>
    </row>
    <row r="167" spans="3:3" ht="15" x14ac:dyDescent="0.2">
      <c r="C167" s="169" t="s">
        <v>623</v>
      </c>
    </row>
    <row r="168" spans="3:3" ht="15" x14ac:dyDescent="0.2">
      <c r="C168" s="169" t="s">
        <v>624</v>
      </c>
    </row>
    <row r="169" spans="3:3" ht="15" x14ac:dyDescent="0.2">
      <c r="C169" s="169" t="s">
        <v>625</v>
      </c>
    </row>
    <row r="170" spans="3:3" ht="15" x14ac:dyDescent="0.2">
      <c r="C170" s="169" t="s">
        <v>626</v>
      </c>
    </row>
    <row r="171" spans="3:3" ht="15" x14ac:dyDescent="0.2">
      <c r="C171" s="169" t="s">
        <v>627</v>
      </c>
    </row>
    <row r="172" spans="3:3" ht="15" x14ac:dyDescent="0.2">
      <c r="C172" s="169" t="s">
        <v>619</v>
      </c>
    </row>
    <row r="173" spans="3:3" ht="15" x14ac:dyDescent="0.2">
      <c r="C173" s="169" t="s">
        <v>628</v>
      </c>
    </row>
    <row r="174" spans="3:3" ht="15" x14ac:dyDescent="0.2">
      <c r="C174" s="169" t="s">
        <v>629</v>
      </c>
    </row>
    <row r="175" spans="3:3" ht="15" x14ac:dyDescent="0.2">
      <c r="C175" s="169" t="s">
        <v>630</v>
      </c>
    </row>
    <row r="176" spans="3:3" ht="15" x14ac:dyDescent="0.2">
      <c r="C176" s="169" t="s">
        <v>1154</v>
      </c>
    </row>
    <row r="178" spans="3:3" ht="15" x14ac:dyDescent="0.2">
      <c r="C178" s="169" t="s">
        <v>632</v>
      </c>
    </row>
    <row r="179" spans="3:3" ht="15" x14ac:dyDescent="0.2">
      <c r="C179" s="169" t="s">
        <v>633</v>
      </c>
    </row>
    <row r="180" spans="3:3" ht="15" x14ac:dyDescent="0.2">
      <c r="C180" s="169" t="s">
        <v>634</v>
      </c>
    </row>
    <row r="181" spans="3:3" ht="15" x14ac:dyDescent="0.2">
      <c r="C181" s="169" t="s">
        <v>635</v>
      </c>
    </row>
    <row r="182" spans="3:3" ht="15" x14ac:dyDescent="0.2">
      <c r="C182" s="169" t="s">
        <v>636</v>
      </c>
    </row>
    <row r="183" spans="3:3" ht="15" x14ac:dyDescent="0.2">
      <c r="C183" s="169" t="s">
        <v>637</v>
      </c>
    </row>
    <row r="184" spans="3:3" ht="15" x14ac:dyDescent="0.2">
      <c r="C184" s="169" t="s">
        <v>638</v>
      </c>
    </row>
    <row r="186" spans="3:3" ht="15" x14ac:dyDescent="0.2">
      <c r="C186" s="169" t="s">
        <v>639</v>
      </c>
    </row>
    <row r="187" spans="3:3" ht="15" x14ac:dyDescent="0.2">
      <c r="C187" s="169" t="s">
        <v>640</v>
      </c>
    </row>
    <row r="188" spans="3:3" ht="15" x14ac:dyDescent="0.2">
      <c r="C188" s="169" t="s">
        <v>641</v>
      </c>
    </row>
    <row r="190" spans="3:3" ht="15" x14ac:dyDescent="0.2">
      <c r="C190" s="169" t="s">
        <v>642</v>
      </c>
    </row>
    <row r="191" spans="3:3" ht="15" x14ac:dyDescent="0.2">
      <c r="C191" s="169" t="s">
        <v>643</v>
      </c>
    </row>
    <row r="192" spans="3:3" ht="15" x14ac:dyDescent="0.2">
      <c r="C192" s="169" t="s">
        <v>644</v>
      </c>
    </row>
    <row r="193" spans="3:3" ht="15" x14ac:dyDescent="0.2">
      <c r="C193" s="169" t="s">
        <v>645</v>
      </c>
    </row>
    <row r="194" spans="3:3" ht="15" x14ac:dyDescent="0.2">
      <c r="C194" s="169" t="s">
        <v>646</v>
      </c>
    </row>
    <row r="195" spans="3:3" ht="15" x14ac:dyDescent="0.2">
      <c r="C195" s="169" t="s">
        <v>1129</v>
      </c>
    </row>
    <row r="196" spans="3:3" ht="15" x14ac:dyDescent="0.2">
      <c r="C196" s="169" t="s">
        <v>651</v>
      </c>
    </row>
    <row r="198" spans="3:3" ht="15" x14ac:dyDescent="0.2">
      <c r="C198" s="169" t="s">
        <v>652</v>
      </c>
    </row>
    <row r="199" spans="3:3" ht="15" x14ac:dyDescent="0.2">
      <c r="C199" s="169" t="s">
        <v>653</v>
      </c>
    </row>
    <row r="201" spans="3:3" ht="15" x14ac:dyDescent="0.2">
      <c r="C201" s="169" t="s">
        <v>654</v>
      </c>
    </row>
    <row r="202" spans="3:3" ht="15" x14ac:dyDescent="0.2">
      <c r="C202" s="169" t="s">
        <v>655</v>
      </c>
    </row>
    <row r="203" spans="3:3" ht="15" x14ac:dyDescent="0.2">
      <c r="C203" s="169" t="s">
        <v>656</v>
      </c>
    </row>
    <row r="205" spans="3:3" ht="15" x14ac:dyDescent="0.2">
      <c r="C205" s="169" t="s">
        <v>657</v>
      </c>
    </row>
    <row r="206" spans="3:3" ht="15" x14ac:dyDescent="0.2">
      <c r="C206" s="169" t="s">
        <v>658</v>
      </c>
    </row>
    <row r="207" spans="3:3" ht="15" x14ac:dyDescent="0.2">
      <c r="C207" s="169" t="s">
        <v>659</v>
      </c>
    </row>
    <row r="208" spans="3:3" ht="15" x14ac:dyDescent="0.2">
      <c r="C208" s="169" t="s">
        <v>660</v>
      </c>
    </row>
    <row r="210" spans="3:3" ht="15" x14ac:dyDescent="0.2">
      <c r="C210" s="169" t="s">
        <v>661</v>
      </c>
    </row>
    <row r="211" spans="3:3" ht="15" x14ac:dyDescent="0.2">
      <c r="C211" s="169" t="s">
        <v>662</v>
      </c>
    </row>
    <row r="212" spans="3:3" ht="15" x14ac:dyDescent="0.2">
      <c r="C212" s="169" t="s">
        <v>663</v>
      </c>
    </row>
    <row r="213" spans="3:3" ht="15" x14ac:dyDescent="0.2">
      <c r="C213" s="169" t="s">
        <v>664</v>
      </c>
    </row>
    <row r="214" spans="3:3" ht="15" x14ac:dyDescent="0.2">
      <c r="C214" s="169" t="s">
        <v>623</v>
      </c>
    </row>
    <row r="215" spans="3:3" ht="15" x14ac:dyDescent="0.2">
      <c r="C215" s="169" t="s">
        <v>624</v>
      </c>
    </row>
    <row r="216" spans="3:3" ht="15" x14ac:dyDescent="0.2">
      <c r="C216" s="169" t="s">
        <v>665</v>
      </c>
    </row>
    <row r="217" spans="3:3" ht="15" x14ac:dyDescent="0.2">
      <c r="C217" s="169" t="s">
        <v>666</v>
      </c>
    </row>
    <row r="218" spans="3:3" ht="15" x14ac:dyDescent="0.2">
      <c r="C218" s="169" t="s">
        <v>667</v>
      </c>
    </row>
    <row r="220" spans="3:3" ht="15" x14ac:dyDescent="0.2">
      <c r="C220" s="169" t="s">
        <v>668</v>
      </c>
    </row>
    <row r="221" spans="3:3" ht="15" x14ac:dyDescent="0.2">
      <c r="C221" s="169" t="s">
        <v>669</v>
      </c>
    </row>
    <row r="222" spans="3:3" ht="15" x14ac:dyDescent="0.2">
      <c r="C222" s="169" t="s">
        <v>670</v>
      </c>
    </row>
    <row r="223" spans="3:3" ht="15" x14ac:dyDescent="0.2">
      <c r="C223" s="169" t="s">
        <v>671</v>
      </c>
    </row>
    <row r="224" spans="3:3" ht="15" x14ac:dyDescent="0.2">
      <c r="C224" s="169" t="s">
        <v>672</v>
      </c>
    </row>
    <row r="226" spans="3:3" ht="15" x14ac:dyDescent="0.2">
      <c r="C226" s="169" t="s">
        <v>673</v>
      </c>
    </row>
    <row r="227" spans="3:3" ht="15" x14ac:dyDescent="0.2">
      <c r="C227" s="169" t="s">
        <v>674</v>
      </c>
    </row>
    <row r="228" spans="3:3" ht="15" x14ac:dyDescent="0.2">
      <c r="C228" s="169" t="s">
        <v>675</v>
      </c>
    </row>
    <row r="229" spans="3:3" ht="15" x14ac:dyDescent="0.2">
      <c r="C229" s="169" t="s">
        <v>676</v>
      </c>
    </row>
    <row r="230" spans="3:3" ht="15" x14ac:dyDescent="0.2">
      <c r="C230" s="169" t="s">
        <v>677</v>
      </c>
    </row>
    <row r="231" spans="3:3" ht="15" x14ac:dyDescent="0.2">
      <c r="C231" s="169" t="s">
        <v>678</v>
      </c>
    </row>
    <row r="232" spans="3:3" ht="15" x14ac:dyDescent="0.2">
      <c r="C232" s="169" t="s">
        <v>679</v>
      </c>
    </row>
    <row r="233" spans="3:3" ht="15" x14ac:dyDescent="0.2">
      <c r="C233" s="169" t="s">
        <v>680</v>
      </c>
    </row>
    <row r="234" spans="3:3" ht="15" x14ac:dyDescent="0.2">
      <c r="C234" s="169" t="s">
        <v>681</v>
      </c>
    </row>
    <row r="235" spans="3:3" ht="15" x14ac:dyDescent="0.2">
      <c r="C235" s="169" t="s">
        <v>682</v>
      </c>
    </row>
    <row r="236" spans="3:3" ht="15" x14ac:dyDescent="0.2">
      <c r="C236" s="169" t="s">
        <v>683</v>
      </c>
    </row>
    <row r="237" spans="3:3" ht="15" x14ac:dyDescent="0.2">
      <c r="C237" s="169" t="s">
        <v>684</v>
      </c>
    </row>
    <row r="238" spans="3:3" ht="15" x14ac:dyDescent="0.2">
      <c r="C238" s="169" t="s">
        <v>685</v>
      </c>
    </row>
    <row r="239" spans="3:3" ht="15" x14ac:dyDescent="0.2">
      <c r="C239" s="169" t="s">
        <v>686</v>
      </c>
    </row>
    <row r="240" spans="3:3" ht="15" x14ac:dyDescent="0.2">
      <c r="C240" s="169" t="s">
        <v>687</v>
      </c>
    </row>
    <row r="241" spans="3:3" ht="15" x14ac:dyDescent="0.2">
      <c r="C241" s="169" t="s">
        <v>688</v>
      </c>
    </row>
    <row r="242" spans="3:3" ht="15" x14ac:dyDescent="0.2">
      <c r="C242" s="169" t="s">
        <v>689</v>
      </c>
    </row>
    <row r="243" spans="3:3" ht="15" x14ac:dyDescent="0.2">
      <c r="C243" s="169" t="s">
        <v>690</v>
      </c>
    </row>
    <row r="244" spans="3:3" ht="15" x14ac:dyDescent="0.2">
      <c r="C244" s="169" t="s">
        <v>691</v>
      </c>
    </row>
    <row r="245" spans="3:3" ht="15" x14ac:dyDescent="0.2">
      <c r="C245" s="169" t="s">
        <v>692</v>
      </c>
    </row>
    <row r="246" spans="3:3" ht="15" x14ac:dyDescent="0.2">
      <c r="C246" s="169" t="s">
        <v>693</v>
      </c>
    </row>
    <row r="247" spans="3:3" ht="15" x14ac:dyDescent="0.2">
      <c r="C247" s="169" t="s">
        <v>694</v>
      </c>
    </row>
    <row r="248" spans="3:3" ht="15" x14ac:dyDescent="0.2">
      <c r="C248" s="169" t="s">
        <v>695</v>
      </c>
    </row>
    <row r="249" spans="3:3" ht="15" x14ac:dyDescent="0.2">
      <c r="C249" s="169" t="s">
        <v>568</v>
      </c>
    </row>
    <row r="250" spans="3:3" ht="15" x14ac:dyDescent="0.2">
      <c r="C250" s="169" t="s">
        <v>696</v>
      </c>
    </row>
    <row r="251" spans="3:3" ht="15" x14ac:dyDescent="0.2">
      <c r="C251" s="169" t="s">
        <v>697</v>
      </c>
    </row>
    <row r="252" spans="3:3" ht="15" x14ac:dyDescent="0.2">
      <c r="C252" s="169" t="s">
        <v>698</v>
      </c>
    </row>
    <row r="253" spans="3:3" ht="15" x14ac:dyDescent="0.2">
      <c r="C253" s="169" t="s">
        <v>699</v>
      </c>
    </row>
    <row r="254" spans="3:3" ht="15" x14ac:dyDescent="0.2">
      <c r="C254" s="169" t="s">
        <v>685</v>
      </c>
    </row>
    <row r="255" spans="3:3" ht="15" x14ac:dyDescent="0.2">
      <c r="C255" s="169" t="s">
        <v>686</v>
      </c>
    </row>
    <row r="256" spans="3:3" ht="15" x14ac:dyDescent="0.2">
      <c r="C256" s="169" t="s">
        <v>687</v>
      </c>
    </row>
    <row r="257" spans="3:3" ht="15" x14ac:dyDescent="0.2">
      <c r="C257" s="169" t="s">
        <v>700</v>
      </c>
    </row>
    <row r="258" spans="3:3" ht="15" x14ac:dyDescent="0.2">
      <c r="C258" s="169" t="s">
        <v>701</v>
      </c>
    </row>
    <row r="259" spans="3:3" ht="15" x14ac:dyDescent="0.2">
      <c r="C259" s="169" t="s">
        <v>702</v>
      </c>
    </row>
    <row r="260" spans="3:3" ht="15" x14ac:dyDescent="0.2">
      <c r="C260" s="169" t="s">
        <v>703</v>
      </c>
    </row>
    <row r="261" spans="3:3" ht="15" x14ac:dyDescent="0.2">
      <c r="C261" s="169" t="s">
        <v>704</v>
      </c>
    </row>
    <row r="262" spans="3:3" ht="15" x14ac:dyDescent="0.2">
      <c r="C262" s="169" t="s">
        <v>705</v>
      </c>
    </row>
    <row r="263" spans="3:3" ht="15" x14ac:dyDescent="0.2">
      <c r="C263" s="169" t="s">
        <v>706</v>
      </c>
    </row>
    <row r="264" spans="3:3" ht="15" x14ac:dyDescent="0.2">
      <c r="C264" s="169" t="s">
        <v>568</v>
      </c>
    </row>
    <row r="265" spans="3:3" ht="15" x14ac:dyDescent="0.2">
      <c r="C265" s="169" t="s">
        <v>707</v>
      </c>
    </row>
    <row r="266" spans="3:3" ht="15" x14ac:dyDescent="0.2">
      <c r="C266" s="169" t="s">
        <v>708</v>
      </c>
    </row>
    <row r="267" spans="3:3" ht="15" x14ac:dyDescent="0.2">
      <c r="C267" s="169" t="s">
        <v>709</v>
      </c>
    </row>
    <row r="268" spans="3:3" ht="15" x14ac:dyDescent="0.2">
      <c r="C268" s="169" t="s">
        <v>685</v>
      </c>
    </row>
    <row r="269" spans="3:3" ht="15" x14ac:dyDescent="0.2">
      <c r="C269" s="169" t="s">
        <v>686</v>
      </c>
    </row>
    <row r="270" spans="3:3" ht="15" x14ac:dyDescent="0.2">
      <c r="C270" s="169" t="s">
        <v>687</v>
      </c>
    </row>
    <row r="271" spans="3:3" ht="15" x14ac:dyDescent="0.2">
      <c r="C271" s="169" t="s">
        <v>710</v>
      </c>
    </row>
    <row r="272" spans="3:3" ht="15" x14ac:dyDescent="0.2">
      <c r="C272" s="169" t="s">
        <v>711</v>
      </c>
    </row>
    <row r="273" spans="3:3" ht="15" x14ac:dyDescent="0.2">
      <c r="C273" s="169" t="s">
        <v>568</v>
      </c>
    </row>
    <row r="274" spans="3:3" ht="15" x14ac:dyDescent="0.2">
      <c r="C274" s="169" t="s">
        <v>712</v>
      </c>
    </row>
    <row r="275" spans="3:3" ht="15" x14ac:dyDescent="0.2">
      <c r="C275" s="169" t="s">
        <v>713</v>
      </c>
    </row>
    <row r="276" spans="3:3" ht="15" x14ac:dyDescent="0.2">
      <c r="C276" s="169" t="s">
        <v>685</v>
      </c>
    </row>
    <row r="277" spans="3:3" ht="15" x14ac:dyDescent="0.2">
      <c r="C277" s="169" t="s">
        <v>686</v>
      </c>
    </row>
    <row r="278" spans="3:3" ht="15" x14ac:dyDescent="0.2">
      <c r="C278" s="169" t="s">
        <v>687</v>
      </c>
    </row>
    <row r="279" spans="3:3" ht="15" x14ac:dyDescent="0.2">
      <c r="C279" s="169" t="s">
        <v>701</v>
      </c>
    </row>
    <row r="280" spans="3:3" ht="15" x14ac:dyDescent="0.2">
      <c r="C280" s="169" t="s">
        <v>702</v>
      </c>
    </row>
    <row r="281" spans="3:3" ht="15" x14ac:dyDescent="0.2">
      <c r="C281" s="169" t="s">
        <v>703</v>
      </c>
    </row>
    <row r="282" spans="3:3" ht="15" x14ac:dyDescent="0.2">
      <c r="C282" s="169" t="s">
        <v>704</v>
      </c>
    </row>
    <row r="283" spans="3:3" ht="15" x14ac:dyDescent="0.2">
      <c r="C283" s="169" t="s">
        <v>705</v>
      </c>
    </row>
    <row r="284" spans="3:3" ht="15" x14ac:dyDescent="0.2">
      <c r="C284" s="169" t="s">
        <v>714</v>
      </c>
    </row>
    <row r="285" spans="3:3" ht="15" x14ac:dyDescent="0.2">
      <c r="C285" s="169" t="s">
        <v>715</v>
      </c>
    </row>
    <row r="286" spans="3:3" ht="15" x14ac:dyDescent="0.2">
      <c r="C286" s="169" t="s">
        <v>716</v>
      </c>
    </row>
    <row r="287" spans="3:3" ht="15" x14ac:dyDescent="0.2">
      <c r="C287" s="169" t="s">
        <v>717</v>
      </c>
    </row>
    <row r="288" spans="3:3" ht="15" x14ac:dyDescent="0.2">
      <c r="C288" s="169" t="s">
        <v>718</v>
      </c>
    </row>
    <row r="289" spans="3:3" ht="15" x14ac:dyDescent="0.2">
      <c r="C289" s="169" t="s">
        <v>719</v>
      </c>
    </row>
    <row r="290" spans="3:3" ht="15" x14ac:dyDescent="0.2">
      <c r="C290" s="169" t="s">
        <v>720</v>
      </c>
    </row>
    <row r="291" spans="3:3" ht="15" x14ac:dyDescent="0.2">
      <c r="C291" s="169" t="s">
        <v>721</v>
      </c>
    </row>
    <row r="292" spans="3:3" ht="15" x14ac:dyDescent="0.2">
      <c r="C292" s="169" t="s">
        <v>722</v>
      </c>
    </row>
    <row r="293" spans="3:3" ht="15" x14ac:dyDescent="0.2">
      <c r="C293" s="169" t="s">
        <v>723</v>
      </c>
    </row>
    <row r="294" spans="3:3" ht="15" x14ac:dyDescent="0.2">
      <c r="C294" s="169" t="s">
        <v>724</v>
      </c>
    </row>
    <row r="295" spans="3:3" ht="15" x14ac:dyDescent="0.2">
      <c r="C295" s="169" t="s">
        <v>725</v>
      </c>
    </row>
    <row r="296" spans="3:3" ht="15" x14ac:dyDescent="0.2">
      <c r="C296" s="169" t="s">
        <v>726</v>
      </c>
    </row>
    <row r="297" spans="3:3" ht="15" x14ac:dyDescent="0.2">
      <c r="C297" s="169" t="s">
        <v>727</v>
      </c>
    </row>
    <row r="298" spans="3:3" ht="15" x14ac:dyDescent="0.2">
      <c r="C298" s="169" t="s">
        <v>728</v>
      </c>
    </row>
    <row r="299" spans="3:3" ht="15" x14ac:dyDescent="0.2">
      <c r="C299" s="169" t="s">
        <v>729</v>
      </c>
    </row>
    <row r="300" spans="3:3" ht="15" x14ac:dyDescent="0.2">
      <c r="C300" s="169" t="s">
        <v>730</v>
      </c>
    </row>
    <row r="301" spans="3:3" ht="15" x14ac:dyDescent="0.2">
      <c r="C301" s="169" t="s">
        <v>731</v>
      </c>
    </row>
    <row r="302" spans="3:3" ht="15" x14ac:dyDescent="0.2">
      <c r="C302" s="169" t="s">
        <v>723</v>
      </c>
    </row>
    <row r="303" spans="3:3" ht="15" x14ac:dyDescent="0.2">
      <c r="C303" s="169" t="s">
        <v>732</v>
      </c>
    </row>
    <row r="304" spans="3:3" ht="15" x14ac:dyDescent="0.2">
      <c r="C304" s="169" t="s">
        <v>733</v>
      </c>
    </row>
    <row r="305" spans="3:3" ht="15" x14ac:dyDescent="0.2">
      <c r="C305" s="169" t="s">
        <v>734</v>
      </c>
    </row>
    <row r="306" spans="3:3" ht="15" x14ac:dyDescent="0.2">
      <c r="C306" s="169" t="s">
        <v>735</v>
      </c>
    </row>
    <row r="307" spans="3:3" ht="15" x14ac:dyDescent="0.2">
      <c r="C307" s="169" t="s">
        <v>568</v>
      </c>
    </row>
    <row r="308" spans="3:3" ht="15" x14ac:dyDescent="0.2">
      <c r="C308" s="169" t="s">
        <v>736</v>
      </c>
    </row>
    <row r="309" spans="3:3" ht="15" x14ac:dyDescent="0.2">
      <c r="C309" s="169" t="s">
        <v>737</v>
      </c>
    </row>
    <row r="310" spans="3:3" ht="15" x14ac:dyDescent="0.2">
      <c r="C310" s="169" t="s">
        <v>738</v>
      </c>
    </row>
    <row r="311" spans="3:3" ht="15" x14ac:dyDescent="0.2">
      <c r="C311" s="169" t="s">
        <v>723</v>
      </c>
    </row>
    <row r="312" spans="3:3" ht="15" x14ac:dyDescent="0.2">
      <c r="C312" s="169" t="s">
        <v>739</v>
      </c>
    </row>
    <row r="313" spans="3:3" ht="15" x14ac:dyDescent="0.2">
      <c r="C313" s="169" t="s">
        <v>740</v>
      </c>
    </row>
    <row r="314" spans="3:3" ht="15" x14ac:dyDescent="0.2">
      <c r="C314" s="169" t="s">
        <v>741</v>
      </c>
    </row>
    <row r="315" spans="3:3" ht="15" x14ac:dyDescent="0.2">
      <c r="C315" s="169" t="s">
        <v>742</v>
      </c>
    </row>
    <row r="316" spans="3:3" ht="15" x14ac:dyDescent="0.2">
      <c r="C316" s="169" t="s">
        <v>743</v>
      </c>
    </row>
    <row r="317" spans="3:3" ht="15" x14ac:dyDescent="0.2">
      <c r="C317" s="169" t="s">
        <v>744</v>
      </c>
    </row>
    <row r="318" spans="3:3" ht="15" x14ac:dyDescent="0.2">
      <c r="C318" s="169" t="s">
        <v>745</v>
      </c>
    </row>
    <row r="319" spans="3:3" ht="15" x14ac:dyDescent="0.2">
      <c r="C319" s="169" t="s">
        <v>746</v>
      </c>
    </row>
    <row r="320" spans="3:3" ht="15" x14ac:dyDescent="0.2">
      <c r="C320" s="169" t="s">
        <v>747</v>
      </c>
    </row>
    <row r="322" spans="3:3" ht="15" x14ac:dyDescent="0.2">
      <c r="C322" s="169" t="s">
        <v>748</v>
      </c>
    </row>
    <row r="323" spans="3:3" ht="15" x14ac:dyDescent="0.2">
      <c r="C323" s="169" t="s">
        <v>749</v>
      </c>
    </row>
    <row r="324" spans="3:3" ht="15" x14ac:dyDescent="0.2">
      <c r="C324" s="169" t="s">
        <v>750</v>
      </c>
    </row>
    <row r="325" spans="3:3" ht="15" x14ac:dyDescent="0.2">
      <c r="C325" s="169" t="s">
        <v>751</v>
      </c>
    </row>
    <row r="326" spans="3:3" ht="15" x14ac:dyDescent="0.2">
      <c r="C326" s="169" t="s">
        <v>752</v>
      </c>
    </row>
    <row r="327" spans="3:3" ht="15" x14ac:dyDescent="0.2">
      <c r="C327" s="169" t="s">
        <v>753</v>
      </c>
    </row>
    <row r="328" spans="3:3" ht="15" x14ac:dyDescent="0.2">
      <c r="C328" s="169" t="s">
        <v>754</v>
      </c>
    </row>
    <row r="329" spans="3:3" ht="15" x14ac:dyDescent="0.2">
      <c r="C329" s="169" t="s">
        <v>755</v>
      </c>
    </row>
    <row r="330" spans="3:3" ht="15" x14ac:dyDescent="0.2">
      <c r="C330" s="169" t="s">
        <v>623</v>
      </c>
    </row>
    <row r="331" spans="3:3" ht="15" x14ac:dyDescent="0.2">
      <c r="C331" s="169" t="s">
        <v>624</v>
      </c>
    </row>
    <row r="332" spans="3:3" ht="15" x14ac:dyDescent="0.2">
      <c r="C332" s="169" t="s">
        <v>756</v>
      </c>
    </row>
    <row r="333" spans="3:3" ht="15" x14ac:dyDescent="0.2">
      <c r="C333" s="169" t="s">
        <v>757</v>
      </c>
    </row>
    <row r="334" spans="3:3" ht="15" x14ac:dyDescent="0.2">
      <c r="C334" s="169" t="s">
        <v>758</v>
      </c>
    </row>
    <row r="335" spans="3:3" ht="15" x14ac:dyDescent="0.2">
      <c r="C335" s="169" t="s">
        <v>759</v>
      </c>
    </row>
    <row r="336" spans="3:3" ht="15" x14ac:dyDescent="0.2">
      <c r="C336" s="169" t="s">
        <v>760</v>
      </c>
    </row>
    <row r="337" spans="3:3" ht="15" x14ac:dyDescent="0.2">
      <c r="C337" s="169" t="s">
        <v>761</v>
      </c>
    </row>
    <row r="338" spans="3:3" ht="15" x14ac:dyDescent="0.2">
      <c r="C338" s="169" t="s">
        <v>762</v>
      </c>
    </row>
    <row r="339" spans="3:3" ht="15" x14ac:dyDescent="0.2">
      <c r="C339" s="169" t="s">
        <v>763</v>
      </c>
    </row>
    <row r="340" spans="3:3" ht="15" x14ac:dyDescent="0.2">
      <c r="C340" s="169" t="s">
        <v>764</v>
      </c>
    </row>
    <row r="341" spans="3:3" ht="15" x14ac:dyDescent="0.2">
      <c r="C341" s="169" t="s">
        <v>765</v>
      </c>
    </row>
    <row r="342" spans="3:3" ht="15" x14ac:dyDescent="0.2">
      <c r="C342" s="169" t="s">
        <v>766</v>
      </c>
    </row>
    <row r="343" spans="3:3" ht="15" x14ac:dyDescent="0.2">
      <c r="C343" s="169" t="s">
        <v>767</v>
      </c>
    </row>
    <row r="344" spans="3:3" ht="15" x14ac:dyDescent="0.2">
      <c r="C344" s="169" t="s">
        <v>597</v>
      </c>
    </row>
    <row r="345" spans="3:3" ht="15" x14ac:dyDescent="0.2">
      <c r="C345" s="169" t="s">
        <v>768</v>
      </c>
    </row>
    <row r="346" spans="3:3" ht="15" x14ac:dyDescent="0.2">
      <c r="C346" s="169" t="s">
        <v>769</v>
      </c>
    </row>
    <row r="347" spans="3:3" ht="15" x14ac:dyDescent="0.2">
      <c r="C347" s="169" t="s">
        <v>770</v>
      </c>
    </row>
    <row r="348" spans="3:3" ht="15" x14ac:dyDescent="0.2">
      <c r="C348" s="169" t="s">
        <v>771</v>
      </c>
    </row>
    <row r="349" spans="3:3" ht="15" x14ac:dyDescent="0.2">
      <c r="C349" s="169" t="s">
        <v>772</v>
      </c>
    </row>
    <row r="350" spans="3:3" ht="15" x14ac:dyDescent="0.2">
      <c r="C350" s="169" t="s">
        <v>773</v>
      </c>
    </row>
    <row r="351" spans="3:3" ht="15" x14ac:dyDescent="0.2">
      <c r="C351" s="169" t="s">
        <v>774</v>
      </c>
    </row>
    <row r="352" spans="3:3" ht="15" x14ac:dyDescent="0.2">
      <c r="C352" s="169" t="s">
        <v>775</v>
      </c>
    </row>
    <row r="353" spans="3:3" ht="15" x14ac:dyDescent="0.2">
      <c r="C353" s="169" t="s">
        <v>776</v>
      </c>
    </row>
    <row r="354" spans="3:3" ht="15" x14ac:dyDescent="0.2">
      <c r="C354" s="169" t="s">
        <v>777</v>
      </c>
    </row>
    <row r="355" spans="3:3" ht="15" x14ac:dyDescent="0.2">
      <c r="C355" s="169" t="s">
        <v>778</v>
      </c>
    </row>
    <row r="356" spans="3:3" ht="15" x14ac:dyDescent="0.2">
      <c r="C356" s="169" t="s">
        <v>779</v>
      </c>
    </row>
    <row r="357" spans="3:3" ht="15" x14ac:dyDescent="0.2">
      <c r="C357" s="169" t="s">
        <v>780</v>
      </c>
    </row>
    <row r="358" spans="3:3" ht="15" x14ac:dyDescent="0.2">
      <c r="C358" s="169" t="s">
        <v>774</v>
      </c>
    </row>
    <row r="359" spans="3:3" ht="15" x14ac:dyDescent="0.2">
      <c r="C359" s="169" t="s">
        <v>775</v>
      </c>
    </row>
    <row r="360" spans="3:3" ht="15" x14ac:dyDescent="0.2">
      <c r="C360" s="169" t="s">
        <v>776</v>
      </c>
    </row>
    <row r="361" spans="3:3" ht="15" x14ac:dyDescent="0.2">
      <c r="C361" s="169" t="s">
        <v>777</v>
      </c>
    </row>
    <row r="362" spans="3:3" ht="15" x14ac:dyDescent="0.2">
      <c r="C362" s="169" t="s">
        <v>778</v>
      </c>
    </row>
    <row r="363" spans="3:3" ht="15" x14ac:dyDescent="0.2">
      <c r="C363" s="169" t="s">
        <v>781</v>
      </c>
    </row>
    <row r="364" spans="3:3" ht="15" x14ac:dyDescent="0.2">
      <c r="C364" s="169" t="s">
        <v>782</v>
      </c>
    </row>
    <row r="366" spans="3:3" ht="15" x14ac:dyDescent="0.2">
      <c r="C366" s="169" t="s">
        <v>783</v>
      </c>
    </row>
    <row r="367" spans="3:3" ht="15" x14ac:dyDescent="0.2">
      <c r="C367" s="169" t="s">
        <v>784</v>
      </c>
    </row>
    <row r="368" spans="3:3" ht="15" x14ac:dyDescent="0.2">
      <c r="C368" s="169" t="s">
        <v>785</v>
      </c>
    </row>
    <row r="370" spans="3:3" ht="15" x14ac:dyDescent="0.2">
      <c r="C370" s="169" t="s">
        <v>786</v>
      </c>
    </row>
    <row r="371" spans="3:3" ht="15" x14ac:dyDescent="0.2">
      <c r="C371" s="169" t="s">
        <v>787</v>
      </c>
    </row>
    <row r="372" spans="3:3" ht="15" x14ac:dyDescent="0.2">
      <c r="C372" s="169" t="s">
        <v>788</v>
      </c>
    </row>
    <row r="373" spans="3:3" ht="15" x14ac:dyDescent="0.2">
      <c r="C373" s="169" t="s">
        <v>789</v>
      </c>
    </row>
    <row r="374" spans="3:3" ht="15" x14ac:dyDescent="0.2">
      <c r="C374" s="169" t="s">
        <v>790</v>
      </c>
    </row>
    <row r="375" spans="3:3" ht="15" x14ac:dyDescent="0.2">
      <c r="C375" s="169" t="s">
        <v>791</v>
      </c>
    </row>
    <row r="376" spans="3:3" ht="15" x14ac:dyDescent="0.2">
      <c r="C376" s="169" t="s">
        <v>792</v>
      </c>
    </row>
    <row r="378" spans="3:3" ht="15" x14ac:dyDescent="0.2">
      <c r="C378" s="169" t="s">
        <v>793</v>
      </c>
    </row>
    <row r="379" spans="3:3" ht="15" x14ac:dyDescent="0.2">
      <c r="C379" s="169" t="s">
        <v>794</v>
      </c>
    </row>
    <row r="380" spans="3:3" ht="15" x14ac:dyDescent="0.2">
      <c r="C380" s="169" t="s">
        <v>795</v>
      </c>
    </row>
    <row r="381" spans="3:3" ht="15" x14ac:dyDescent="0.2">
      <c r="C381" s="169" t="s">
        <v>796</v>
      </c>
    </row>
    <row r="382" spans="3:3" ht="15" x14ac:dyDescent="0.2">
      <c r="C382" s="169" t="s">
        <v>797</v>
      </c>
    </row>
    <row r="383" spans="3:3" ht="15" x14ac:dyDescent="0.2">
      <c r="C383" s="169" t="s">
        <v>798</v>
      </c>
    </row>
    <row r="384" spans="3:3" ht="15" x14ac:dyDescent="0.2">
      <c r="C384" s="169" t="s">
        <v>799</v>
      </c>
    </row>
    <row r="385" spans="3:3" ht="15" x14ac:dyDescent="0.2">
      <c r="C385" s="169" t="s">
        <v>795</v>
      </c>
    </row>
    <row r="386" spans="3:3" ht="15" x14ac:dyDescent="0.2">
      <c r="C386" s="169" t="s">
        <v>796</v>
      </c>
    </row>
    <row r="387" spans="3:3" ht="15" x14ac:dyDescent="0.2">
      <c r="C387" s="169" t="s">
        <v>797</v>
      </c>
    </row>
    <row r="388" spans="3:3" ht="15" x14ac:dyDescent="0.2">
      <c r="C388" s="169" t="s">
        <v>800</v>
      </c>
    </row>
    <row r="389" spans="3:3" ht="15" x14ac:dyDescent="0.2">
      <c r="C389" s="169" t="s">
        <v>787</v>
      </c>
    </row>
    <row r="390" spans="3:3" ht="15" x14ac:dyDescent="0.2">
      <c r="C390" s="169" t="s">
        <v>801</v>
      </c>
    </row>
    <row r="391" spans="3:3" ht="15" x14ac:dyDescent="0.2">
      <c r="C391" s="169" t="s">
        <v>802</v>
      </c>
    </row>
    <row r="392" spans="3:3" ht="15" x14ac:dyDescent="0.2">
      <c r="C392" s="169" t="s">
        <v>790</v>
      </c>
    </row>
    <row r="393" spans="3:3" ht="15" x14ac:dyDescent="0.2">
      <c r="C393" s="169" t="s">
        <v>803</v>
      </c>
    </row>
    <row r="394" spans="3:3" ht="15" x14ac:dyDescent="0.2">
      <c r="C394" s="169" t="s">
        <v>1037</v>
      </c>
    </row>
    <row r="395" spans="3:3" ht="15" x14ac:dyDescent="0.2">
      <c r="C395" s="169"/>
    </row>
    <row r="396" spans="3:3" ht="15" x14ac:dyDescent="0.2">
      <c r="C396" s="169" t="s">
        <v>805</v>
      </c>
    </row>
    <row r="397" spans="3:3" ht="15" x14ac:dyDescent="0.2">
      <c r="C397" s="169" t="s">
        <v>806</v>
      </c>
    </row>
    <row r="398" spans="3:3" ht="15" x14ac:dyDescent="0.2">
      <c r="C398" s="169" t="s">
        <v>807</v>
      </c>
    </row>
    <row r="399" spans="3:3" ht="15" x14ac:dyDescent="0.2">
      <c r="C399" s="169" t="s">
        <v>808</v>
      </c>
    </row>
    <row r="400" spans="3:3" ht="15" x14ac:dyDescent="0.2">
      <c r="C400" s="169" t="s">
        <v>809</v>
      </c>
    </row>
    <row r="402" spans="3:3" ht="15" x14ac:dyDescent="0.2">
      <c r="C402" s="169" t="s">
        <v>810</v>
      </c>
    </row>
    <row r="403" spans="3:3" ht="15" x14ac:dyDescent="0.2">
      <c r="C403" s="169" t="s">
        <v>811</v>
      </c>
    </row>
    <row r="404" spans="3:3" ht="15" x14ac:dyDescent="0.2">
      <c r="C404" s="169" t="s">
        <v>613</v>
      </c>
    </row>
    <row r="405" spans="3:3" ht="15" x14ac:dyDescent="0.2">
      <c r="C405" s="169" t="s">
        <v>812</v>
      </c>
    </row>
    <row r="406" spans="3:3" ht="15" x14ac:dyDescent="0.2">
      <c r="C406" s="169" t="s">
        <v>813</v>
      </c>
    </row>
    <row r="407" spans="3:3" ht="15" x14ac:dyDescent="0.2">
      <c r="C407" s="169" t="s">
        <v>814</v>
      </c>
    </row>
    <row r="408" spans="3:3" ht="15" x14ac:dyDescent="0.2">
      <c r="C408" s="169" t="s">
        <v>815</v>
      </c>
    </row>
    <row r="409" spans="3:3" ht="15" x14ac:dyDescent="0.2">
      <c r="C409" s="169" t="s">
        <v>816</v>
      </c>
    </row>
    <row r="410" spans="3:3" ht="15" x14ac:dyDescent="0.2">
      <c r="C410" s="169" t="s">
        <v>817</v>
      </c>
    </row>
    <row r="411" spans="3:3" ht="15" x14ac:dyDescent="0.2">
      <c r="C411" s="169" t="s">
        <v>818</v>
      </c>
    </row>
    <row r="412" spans="3:3" ht="15" x14ac:dyDescent="0.2">
      <c r="C412" s="169" t="s">
        <v>819</v>
      </c>
    </row>
    <row r="413" spans="3:3" ht="15" x14ac:dyDescent="0.2">
      <c r="C413" s="169" t="s">
        <v>820</v>
      </c>
    </row>
    <row r="414" spans="3:3" ht="15" x14ac:dyDescent="0.2">
      <c r="C414" s="169" t="s">
        <v>821</v>
      </c>
    </row>
    <row r="415" spans="3:3" ht="15" x14ac:dyDescent="0.2">
      <c r="C415" s="169" t="s">
        <v>815</v>
      </c>
    </row>
    <row r="416" spans="3:3" ht="15" x14ac:dyDescent="0.2">
      <c r="C416" s="169" t="s">
        <v>816</v>
      </c>
    </row>
    <row r="417" spans="2:3" ht="15" x14ac:dyDescent="0.2">
      <c r="C417" s="169" t="s">
        <v>817</v>
      </c>
    </row>
    <row r="418" spans="2:3" ht="15" x14ac:dyDescent="0.2">
      <c r="C418" s="169" t="s">
        <v>818</v>
      </c>
    </row>
    <row r="419" spans="2:3" ht="15" x14ac:dyDescent="0.2">
      <c r="C419" s="169" t="s">
        <v>819</v>
      </c>
    </row>
    <row r="420" spans="2:3" ht="15" x14ac:dyDescent="0.2">
      <c r="C420" s="169" t="s">
        <v>822</v>
      </c>
    </row>
    <row r="421" spans="2:3" ht="15" x14ac:dyDescent="0.2">
      <c r="C421" s="169" t="s">
        <v>823</v>
      </c>
    </row>
    <row r="422" spans="2:3" ht="15" x14ac:dyDescent="0.2">
      <c r="C422" s="169" t="s">
        <v>824</v>
      </c>
    </row>
    <row r="424" spans="2:3" ht="15" x14ac:dyDescent="0.2">
      <c r="C424" s="169" t="s">
        <v>1149</v>
      </c>
    </row>
    <row r="425" spans="2:3" ht="15" x14ac:dyDescent="0.2">
      <c r="C425" s="169" t="s">
        <v>826</v>
      </c>
    </row>
    <row r="426" spans="2:3" ht="15" x14ac:dyDescent="0.2">
      <c r="C426" s="169" t="s">
        <v>827</v>
      </c>
    </row>
    <row r="428" spans="2:3" ht="15" x14ac:dyDescent="0.2">
      <c r="C428" s="169" t="s">
        <v>574</v>
      </c>
    </row>
    <row r="429" spans="2:3" ht="15" x14ac:dyDescent="0.2">
      <c r="B429" s="173"/>
      <c r="C429" s="169" t="str">
        <f>_xlfn.CONCAT("vcm1_static=model['",$A$19,"']")</f>
        <v>vcm1_static=model['P7000048060']</v>
      </c>
    </row>
    <row r="431" spans="2:3" ht="15" x14ac:dyDescent="0.2">
      <c r="C431" s="169" t="s">
        <v>575</v>
      </c>
    </row>
    <row r="432" spans="2:3" ht="15" x14ac:dyDescent="0.2">
      <c r="C432" s="169" t="s">
        <v>1244</v>
      </c>
    </row>
    <row r="433" spans="3:3" ht="15" x14ac:dyDescent="0.2">
      <c r="C433" s="169" t="s">
        <v>1245</v>
      </c>
    </row>
    <row r="435" spans="3:3" ht="15" x14ac:dyDescent="0.2">
      <c r="C435" s="169" t="s">
        <v>1161</v>
      </c>
    </row>
    <row r="436" spans="3:3" ht="15" x14ac:dyDescent="0.2">
      <c r="C436" s="169" t="s">
        <v>1162</v>
      </c>
    </row>
    <row r="437" spans="3:3" ht="15" x14ac:dyDescent="0.2">
      <c r="C437" s="169" t="s">
        <v>1246</v>
      </c>
    </row>
    <row r="438" spans="3:3" ht="15" x14ac:dyDescent="0.2">
      <c r="C438" s="169" t="s">
        <v>1164</v>
      </c>
    </row>
    <row r="439" spans="3:3" ht="15" x14ac:dyDescent="0.2">
      <c r="C439" s="169" t="s">
        <v>1165</v>
      </c>
    </row>
    <row r="440" spans="3:3" ht="15" x14ac:dyDescent="0.2">
      <c r="C440" s="169" t="s">
        <v>1166</v>
      </c>
    </row>
    <row r="441" spans="3:3" ht="15" x14ac:dyDescent="0.2">
      <c r="C441" s="169" t="s">
        <v>1167</v>
      </c>
    </row>
    <row r="442" spans="3:3" ht="15" x14ac:dyDescent="0.2">
      <c r="C442" s="169" t="s">
        <v>1168</v>
      </c>
    </row>
    <row r="443" spans="3:3" ht="15" x14ac:dyDescent="0.2">
      <c r="C443" s="169" t="s">
        <v>1169</v>
      </c>
    </row>
    <row r="444" spans="3:3" ht="15" x14ac:dyDescent="0.2">
      <c r="C444" s="169" t="s">
        <v>1170</v>
      </c>
    </row>
    <row r="445" spans="3:3" ht="15" x14ac:dyDescent="0.2">
      <c r="C445" s="169" t="s">
        <v>1171</v>
      </c>
    </row>
    <row r="446" spans="3:3" ht="15" x14ac:dyDescent="0.2">
      <c r="C446" s="169" t="s">
        <v>1172</v>
      </c>
    </row>
    <row r="447" spans="3:3" ht="15" x14ac:dyDescent="0.2">
      <c r="C447" s="169" t="s">
        <v>1173</v>
      </c>
    </row>
    <row r="448" spans="3:3" ht="15" x14ac:dyDescent="0.2">
      <c r="C448" s="169" t="s">
        <v>1174</v>
      </c>
    </row>
    <row r="449" spans="3:3" ht="15" x14ac:dyDescent="0.2">
      <c r="C449" s="169" t="s">
        <v>1175</v>
      </c>
    </row>
    <row r="450" spans="3:3" ht="15" x14ac:dyDescent="0.2">
      <c r="C450" s="169" t="s">
        <v>1176</v>
      </c>
    </row>
    <row r="451" spans="3:3" ht="15" x14ac:dyDescent="0.2">
      <c r="C451" s="169" t="s">
        <v>609</v>
      </c>
    </row>
    <row r="452" spans="3:3" ht="15" x14ac:dyDescent="0.2">
      <c r="C452" s="169" t="s">
        <v>1177</v>
      </c>
    </row>
    <row r="453" spans="3:3" ht="15" x14ac:dyDescent="0.2">
      <c r="C453" s="169" t="s">
        <v>1178</v>
      </c>
    </row>
    <row r="454" spans="3:3" ht="15" x14ac:dyDescent="0.2">
      <c r="C454" s="169" t="s">
        <v>1179</v>
      </c>
    </row>
    <row r="455" spans="3:3" ht="15" x14ac:dyDescent="0.2">
      <c r="C455" s="169" t="s">
        <v>1180</v>
      </c>
    </row>
    <row r="456" spans="3:3" ht="15" x14ac:dyDescent="0.2">
      <c r="C456" s="169" t="s">
        <v>1181</v>
      </c>
    </row>
    <row r="457" spans="3:3" ht="15" x14ac:dyDescent="0.2">
      <c r="C457" s="169" t="s">
        <v>1182</v>
      </c>
    </row>
    <row r="458" spans="3:3" ht="15" x14ac:dyDescent="0.2">
      <c r="C458" s="169" t="s">
        <v>1183</v>
      </c>
    </row>
    <row r="459" spans="3:3" ht="15" x14ac:dyDescent="0.2">
      <c r="C459" s="169" t="s">
        <v>1184</v>
      </c>
    </row>
    <row r="460" spans="3:3" ht="15" x14ac:dyDescent="0.2">
      <c r="C460" s="169" t="s">
        <v>1185</v>
      </c>
    </row>
    <row r="461" spans="3:3" ht="15" x14ac:dyDescent="0.2">
      <c r="C461" s="169" t="s">
        <v>619</v>
      </c>
    </row>
    <row r="462" spans="3:3" ht="15" x14ac:dyDescent="0.2">
      <c r="C462" s="169" t="s">
        <v>1186</v>
      </c>
    </row>
    <row r="463" spans="3:3" ht="15" x14ac:dyDescent="0.2">
      <c r="C463" s="169" t="s">
        <v>621</v>
      </c>
    </row>
    <row r="464" spans="3:3" ht="15" x14ac:dyDescent="0.2">
      <c r="C464" s="169" t="s">
        <v>1187</v>
      </c>
    </row>
    <row r="465" spans="3:3" ht="15" x14ac:dyDescent="0.2">
      <c r="C465" s="169" t="s">
        <v>1172</v>
      </c>
    </row>
    <row r="466" spans="3:3" ht="15" x14ac:dyDescent="0.2">
      <c r="C466" s="169" t="s">
        <v>1173</v>
      </c>
    </row>
    <row r="467" spans="3:3" ht="15" x14ac:dyDescent="0.2">
      <c r="C467" s="169" t="s">
        <v>1188</v>
      </c>
    </row>
    <row r="468" spans="3:3" ht="15" x14ac:dyDescent="0.2">
      <c r="C468" s="169" t="s">
        <v>1189</v>
      </c>
    </row>
    <row r="469" spans="3:3" ht="15" x14ac:dyDescent="0.2">
      <c r="C469" s="169" t="s">
        <v>1190</v>
      </c>
    </row>
    <row r="470" spans="3:3" ht="15" x14ac:dyDescent="0.2">
      <c r="C470" s="169" t="s">
        <v>619</v>
      </c>
    </row>
    <row r="471" spans="3:3" ht="15" x14ac:dyDescent="0.2">
      <c r="C471" s="169" t="s">
        <v>1191</v>
      </c>
    </row>
    <row r="472" spans="3:3" ht="15" x14ac:dyDescent="0.2">
      <c r="C472" s="169" t="s">
        <v>1192</v>
      </c>
    </row>
    <row r="473" spans="3:3" ht="15" x14ac:dyDescent="0.2">
      <c r="C473" s="169" t="s">
        <v>1193</v>
      </c>
    </row>
    <row r="474" spans="3:3" ht="15" x14ac:dyDescent="0.2">
      <c r="C474" s="169" t="s">
        <v>1194</v>
      </c>
    </row>
    <row r="476" spans="3:3" ht="15" x14ac:dyDescent="0.2">
      <c r="C476" s="169" t="s">
        <v>845</v>
      </c>
    </row>
    <row r="478" spans="3:3" ht="15" x14ac:dyDescent="0.2">
      <c r="C478" s="169" t="s">
        <v>846</v>
      </c>
    </row>
    <row r="479" spans="3:3" ht="15" x14ac:dyDescent="0.2">
      <c r="C479" s="169" t="s">
        <v>1195</v>
      </c>
    </row>
    <row r="480" spans="3:3" ht="15" x14ac:dyDescent="0.2">
      <c r="C480" s="169" t="s">
        <v>848</v>
      </c>
    </row>
    <row r="481" spans="3:3" ht="15" x14ac:dyDescent="0.2">
      <c r="C481" s="169" t="s">
        <v>849</v>
      </c>
    </row>
    <row r="482" spans="3:3" ht="15" x14ac:dyDescent="0.2">
      <c r="C482" s="169" t="s">
        <v>850</v>
      </c>
    </row>
    <row r="484" spans="3:3" ht="15" x14ac:dyDescent="0.2">
      <c r="C484" s="169" t="s">
        <v>851</v>
      </c>
    </row>
    <row r="485" spans="3:3" ht="15" x14ac:dyDescent="0.2">
      <c r="C485" s="169" t="s">
        <v>852</v>
      </c>
    </row>
    <row r="486" spans="3:3" ht="15" x14ac:dyDescent="0.2">
      <c r="C486" s="169" t="s">
        <v>1196</v>
      </c>
    </row>
    <row r="487" spans="3:3" ht="15" x14ac:dyDescent="0.2">
      <c r="C487" s="169" t="s">
        <v>1197</v>
      </c>
    </row>
    <row r="488" spans="3:3" ht="15" x14ac:dyDescent="0.2">
      <c r="C488" s="169" t="s">
        <v>1198</v>
      </c>
    </row>
    <row r="489" spans="3:3" ht="15" x14ac:dyDescent="0.2">
      <c r="C489" s="169" t="s">
        <v>1199</v>
      </c>
    </row>
    <row r="490" spans="3:3" ht="15" x14ac:dyDescent="0.2">
      <c r="C490" s="169" t="s">
        <v>1200</v>
      </c>
    </row>
    <row r="491" spans="3:3" ht="15" x14ac:dyDescent="0.2">
      <c r="C491" s="169" t="s">
        <v>858</v>
      </c>
    </row>
    <row r="492" spans="3:3" ht="15" x14ac:dyDescent="0.2">
      <c r="C492" s="169" t="s">
        <v>859</v>
      </c>
    </row>
    <row r="493" spans="3:3" ht="15" x14ac:dyDescent="0.2">
      <c r="C493" s="169" t="s">
        <v>860</v>
      </c>
    </row>
    <row r="494" spans="3:3" ht="15" x14ac:dyDescent="0.2">
      <c r="C494" s="169" t="s">
        <v>861</v>
      </c>
    </row>
    <row r="495" spans="3:3" ht="15" x14ac:dyDescent="0.2">
      <c r="C495" s="169" t="s">
        <v>1201</v>
      </c>
    </row>
    <row r="496" spans="3:3" ht="15" x14ac:dyDescent="0.2">
      <c r="C496" s="169" t="s">
        <v>1202</v>
      </c>
    </row>
    <row r="498" spans="3:3" ht="15" x14ac:dyDescent="0.2">
      <c r="C498" s="169" t="s">
        <v>1203</v>
      </c>
    </row>
    <row r="500" spans="3:3" ht="15" x14ac:dyDescent="0.2">
      <c r="C500" s="169" t="s">
        <v>1204</v>
      </c>
    </row>
    <row r="501" spans="3:3" ht="15" x14ac:dyDescent="0.2">
      <c r="C501" s="169" t="s">
        <v>1205</v>
      </c>
    </row>
    <row r="502" spans="3:3" ht="15" x14ac:dyDescent="0.2">
      <c r="C502" s="169" t="s">
        <v>1206</v>
      </c>
    </row>
    <row r="503" spans="3:3" ht="15" x14ac:dyDescent="0.2">
      <c r="C503" s="169" t="s">
        <v>1207</v>
      </c>
    </row>
    <row r="504" spans="3:3" ht="15" x14ac:dyDescent="0.2">
      <c r="C504" s="169" t="s">
        <v>1208</v>
      </c>
    </row>
    <row r="505" spans="3:3" ht="15" x14ac:dyDescent="0.2">
      <c r="C505" s="169" t="s">
        <v>1209</v>
      </c>
    </row>
    <row r="507" spans="3:3" ht="15" x14ac:dyDescent="0.2">
      <c r="C507" s="169" t="s">
        <v>1210</v>
      </c>
    </row>
    <row r="508" spans="3:3" ht="15" x14ac:dyDescent="0.2">
      <c r="C508" s="169" t="s">
        <v>1211</v>
      </c>
    </row>
    <row r="509" spans="3:3" ht="15" x14ac:dyDescent="0.2">
      <c r="C509" s="169" t="s">
        <v>1212</v>
      </c>
    </row>
    <row r="510" spans="3:3" ht="15" x14ac:dyDescent="0.2">
      <c r="C510" s="169" t="s">
        <v>1213</v>
      </c>
    </row>
    <row r="511" spans="3:3" ht="15" x14ac:dyDescent="0.2">
      <c r="C511" s="169" t="s">
        <v>1214</v>
      </c>
    </row>
    <row r="513" spans="3:3" ht="15" x14ac:dyDescent="0.2">
      <c r="C513" s="169" t="s">
        <v>1215</v>
      </c>
    </row>
    <row r="514" spans="3:3" ht="15" x14ac:dyDescent="0.2">
      <c r="C514" s="169" t="s">
        <v>884</v>
      </c>
    </row>
    <row r="515" spans="3:3" ht="15" x14ac:dyDescent="0.2">
      <c r="C515" s="169" t="s">
        <v>885</v>
      </c>
    </row>
    <row r="516" spans="3:3" ht="15" x14ac:dyDescent="0.2">
      <c r="C516" s="169" t="s">
        <v>1216</v>
      </c>
    </row>
    <row r="517" spans="3:3" ht="15" x14ac:dyDescent="0.2">
      <c r="C517" s="169" t="s">
        <v>887</v>
      </c>
    </row>
    <row r="519" spans="3:3" ht="15" x14ac:dyDescent="0.2">
      <c r="C519" s="169" t="s">
        <v>1217</v>
      </c>
    </row>
    <row r="520" spans="3:3" ht="15" x14ac:dyDescent="0.2">
      <c r="C520" s="169" t="s">
        <v>1218</v>
      </c>
    </row>
    <row r="521" spans="3:3" ht="15" x14ac:dyDescent="0.2">
      <c r="C521" s="169" t="s">
        <v>1172</v>
      </c>
    </row>
    <row r="522" spans="3:3" ht="15" x14ac:dyDescent="0.2">
      <c r="C522" s="169" t="s">
        <v>1173</v>
      </c>
    </row>
    <row r="523" spans="3:3" ht="15" x14ac:dyDescent="0.2">
      <c r="C523" s="169" t="s">
        <v>1219</v>
      </c>
    </row>
    <row r="524" spans="3:3" ht="15" x14ac:dyDescent="0.2">
      <c r="C524" s="169" t="s">
        <v>1220</v>
      </c>
    </row>
    <row r="525" spans="3:3" ht="15" x14ac:dyDescent="0.2">
      <c r="C525" s="169" t="s">
        <v>1221</v>
      </c>
    </row>
    <row r="527" spans="3:3" ht="15" x14ac:dyDescent="0.2">
      <c r="C527" s="169" t="s">
        <v>1247</v>
      </c>
    </row>
    <row r="528" spans="3:3" ht="15" x14ac:dyDescent="0.2">
      <c r="C528" s="169" t="s">
        <v>1173</v>
      </c>
    </row>
    <row r="530" spans="3:3" ht="15" x14ac:dyDescent="0.2">
      <c r="C530" s="169" t="s">
        <v>1223</v>
      </c>
    </row>
    <row r="531" spans="3:3" ht="15" x14ac:dyDescent="0.2">
      <c r="C531" s="169" t="s">
        <v>1224</v>
      </c>
    </row>
    <row r="532" spans="3:3" ht="15" x14ac:dyDescent="0.2">
      <c r="C532" s="169" t="s">
        <v>1225</v>
      </c>
    </row>
    <row r="534" spans="3:3" ht="15" x14ac:dyDescent="0.2">
      <c r="C534" s="169" t="s">
        <v>1226</v>
      </c>
    </row>
    <row r="535" spans="3:3" ht="15" x14ac:dyDescent="0.2">
      <c r="C535" s="169" t="s">
        <v>898</v>
      </c>
    </row>
    <row r="536" spans="3:3" ht="15" x14ac:dyDescent="0.2">
      <c r="C536" s="169" t="s">
        <v>899</v>
      </c>
    </row>
    <row r="537" spans="3:3" ht="15" x14ac:dyDescent="0.2">
      <c r="C537" s="169" t="s">
        <v>1227</v>
      </c>
    </row>
    <row r="538" spans="3:3" ht="15" x14ac:dyDescent="0.2">
      <c r="C538" s="169" t="s">
        <v>901</v>
      </c>
    </row>
    <row r="540" spans="3:3" ht="15" x14ac:dyDescent="0.2">
      <c r="C540" s="169" t="s">
        <v>851</v>
      </c>
    </row>
    <row r="541" spans="3:3" ht="15" x14ac:dyDescent="0.2">
      <c r="C541" s="169" t="s">
        <v>1228</v>
      </c>
    </row>
    <row r="542" spans="3:3" ht="15" x14ac:dyDescent="0.2">
      <c r="C542" s="169" t="s">
        <v>853</v>
      </c>
    </row>
    <row r="543" spans="3:3" ht="15" x14ac:dyDescent="0.2">
      <c r="C543" s="169" t="s">
        <v>854</v>
      </c>
    </row>
    <row r="544" spans="3:3" ht="15" x14ac:dyDescent="0.2">
      <c r="C544" s="169" t="s">
        <v>855</v>
      </c>
    </row>
    <row r="545" spans="3:3" ht="15" x14ac:dyDescent="0.2">
      <c r="C545" s="169" t="s">
        <v>856</v>
      </c>
    </row>
    <row r="546" spans="3:3" ht="15" x14ac:dyDescent="0.2">
      <c r="C546" s="169" t="s">
        <v>857</v>
      </c>
    </row>
    <row r="547" spans="3:3" ht="15" x14ac:dyDescent="0.2">
      <c r="C547" s="169" t="s">
        <v>858</v>
      </c>
    </row>
    <row r="548" spans="3:3" ht="15" x14ac:dyDescent="0.2">
      <c r="C548" s="169" t="s">
        <v>859</v>
      </c>
    </row>
    <row r="549" spans="3:3" ht="15" x14ac:dyDescent="0.2">
      <c r="C549" s="169" t="s">
        <v>860</v>
      </c>
    </row>
    <row r="550" spans="3:3" ht="15" x14ac:dyDescent="0.2">
      <c r="C550" s="169" t="s">
        <v>861</v>
      </c>
    </row>
    <row r="551" spans="3:3" ht="15" x14ac:dyDescent="0.2">
      <c r="C551" s="169" t="s">
        <v>862</v>
      </c>
    </row>
    <row r="552" spans="3:3" ht="15" x14ac:dyDescent="0.2">
      <c r="C552" s="169" t="s">
        <v>1229</v>
      </c>
    </row>
    <row r="554" spans="3:3" ht="15" x14ac:dyDescent="0.2">
      <c r="C554" s="169" t="s">
        <v>864</v>
      </c>
    </row>
    <row r="556" spans="3:3" ht="15" x14ac:dyDescent="0.2">
      <c r="C556" s="169" t="s">
        <v>865</v>
      </c>
    </row>
    <row r="557" spans="3:3" ht="15" x14ac:dyDescent="0.2">
      <c r="C557" s="169" t="s">
        <v>1230</v>
      </c>
    </row>
    <row r="558" spans="3:3" ht="15" x14ac:dyDescent="0.2">
      <c r="C558" s="169" t="s">
        <v>1231</v>
      </c>
    </row>
    <row r="559" spans="3:3" ht="15" x14ac:dyDescent="0.2">
      <c r="C559" s="169" t="s">
        <v>1232</v>
      </c>
    </row>
    <row r="560" spans="3:3" ht="15" x14ac:dyDescent="0.2">
      <c r="C560" s="169" t="s">
        <v>849</v>
      </c>
    </row>
    <row r="562" spans="3:3" ht="15" x14ac:dyDescent="0.2">
      <c r="C562" s="169" t="s">
        <v>871</v>
      </c>
    </row>
    <row r="563" spans="3:3" ht="15" x14ac:dyDescent="0.2">
      <c r="C563" s="169" t="s">
        <v>872</v>
      </c>
    </row>
    <row r="565" spans="3:3" ht="15" x14ac:dyDescent="0.2">
      <c r="C565" s="169" t="s">
        <v>873</v>
      </c>
    </row>
    <row r="566" spans="3:3" ht="15" x14ac:dyDescent="0.2">
      <c r="C566" s="169" t="s">
        <v>874</v>
      </c>
    </row>
    <row r="567" spans="3:3" ht="15" x14ac:dyDescent="0.2">
      <c r="C567" s="169" t="s">
        <v>875</v>
      </c>
    </row>
    <row r="568" spans="3:3" ht="15" x14ac:dyDescent="0.2">
      <c r="C568" s="169" t="s">
        <v>876</v>
      </c>
    </row>
    <row r="569" spans="3:3" ht="15" x14ac:dyDescent="0.2">
      <c r="C569" s="169" t="s">
        <v>877</v>
      </c>
    </row>
    <row r="570" spans="3:3" ht="15" x14ac:dyDescent="0.2">
      <c r="C570" s="169" t="s">
        <v>878</v>
      </c>
    </row>
    <row r="572" spans="3:3" ht="15" x14ac:dyDescent="0.2">
      <c r="C572" s="169" t="s">
        <v>873</v>
      </c>
    </row>
    <row r="573" spans="3:3" ht="15" x14ac:dyDescent="0.2">
      <c r="C573" s="169" t="s">
        <v>879</v>
      </c>
    </row>
    <row r="574" spans="3:3" ht="15" x14ac:dyDescent="0.2">
      <c r="C574" s="169" t="s">
        <v>880</v>
      </c>
    </row>
    <row r="575" spans="3:3" ht="15" x14ac:dyDescent="0.2">
      <c r="C575" s="169" t="s">
        <v>881</v>
      </c>
    </row>
    <row r="576" spans="3:3" ht="15" x14ac:dyDescent="0.2">
      <c r="C576" s="169" t="s">
        <v>882</v>
      </c>
    </row>
    <row r="578" spans="3:3" ht="15" x14ac:dyDescent="0.2">
      <c r="C578" s="169" t="s">
        <v>883</v>
      </c>
    </row>
    <row r="579" spans="3:3" ht="15" x14ac:dyDescent="0.2">
      <c r="C579" s="169" t="s">
        <v>884</v>
      </c>
    </row>
    <row r="580" spans="3:3" ht="15" x14ac:dyDescent="0.2">
      <c r="C580" s="169" t="s">
        <v>885</v>
      </c>
    </row>
    <row r="581" spans="3:3" ht="15" x14ac:dyDescent="0.2">
      <c r="C581" s="169" t="s">
        <v>886</v>
      </c>
    </row>
    <row r="582" spans="3:3" ht="15" x14ac:dyDescent="0.2">
      <c r="C582" s="169" t="s">
        <v>887</v>
      </c>
    </row>
    <row r="584" spans="3:3" ht="15" x14ac:dyDescent="0.2">
      <c r="C584" s="169" t="s">
        <v>888</v>
      </c>
    </row>
    <row r="585" spans="3:3" ht="15" x14ac:dyDescent="0.2">
      <c r="C585" s="169" t="s">
        <v>889</v>
      </c>
    </row>
    <row r="586" spans="3:3" ht="15" x14ac:dyDescent="0.2">
      <c r="C586" s="169" t="s">
        <v>623</v>
      </c>
    </row>
    <row r="587" spans="3:3" ht="15" x14ac:dyDescent="0.2">
      <c r="C587" s="169" t="s">
        <v>624</v>
      </c>
    </row>
    <row r="588" spans="3:3" ht="15" x14ac:dyDescent="0.2">
      <c r="C588" s="169" t="s">
        <v>890</v>
      </c>
    </row>
    <row r="589" spans="3:3" ht="15" x14ac:dyDescent="0.2">
      <c r="C589" s="169" t="s">
        <v>891</v>
      </c>
    </row>
    <row r="590" spans="3:3" ht="15" x14ac:dyDescent="0.2">
      <c r="C590" s="169" t="s">
        <v>892</v>
      </c>
    </row>
    <row r="592" spans="3:3" ht="15" x14ac:dyDescent="0.2">
      <c r="C592" s="169" t="s">
        <v>893</v>
      </c>
    </row>
    <row r="593" spans="3:3" ht="15" x14ac:dyDescent="0.2">
      <c r="C593" s="169" t="s">
        <v>624</v>
      </c>
    </row>
    <row r="595" spans="3:3" ht="15" x14ac:dyDescent="0.2">
      <c r="C595" s="169" t="s">
        <v>894</v>
      </c>
    </row>
    <row r="596" spans="3:3" ht="15" x14ac:dyDescent="0.2">
      <c r="C596" s="169" t="s">
        <v>895</v>
      </c>
    </row>
    <row r="597" spans="3:3" ht="15" x14ac:dyDescent="0.2">
      <c r="C597" s="169" t="s">
        <v>896</v>
      </c>
    </row>
    <row r="599" spans="3:3" ht="15" x14ac:dyDescent="0.2">
      <c r="C599" s="169" t="s">
        <v>897</v>
      </c>
    </row>
    <row r="600" spans="3:3" ht="15" x14ac:dyDescent="0.2">
      <c r="C600" s="169" t="s">
        <v>898</v>
      </c>
    </row>
    <row r="601" spans="3:3" ht="15" x14ac:dyDescent="0.2">
      <c r="C601" s="169" t="s">
        <v>899</v>
      </c>
    </row>
    <row r="602" spans="3:3" ht="15" x14ac:dyDescent="0.2">
      <c r="C602" s="169" t="s">
        <v>900</v>
      </c>
    </row>
    <row r="603" spans="3:3" ht="15" x14ac:dyDescent="0.2">
      <c r="C603" s="169" t="s">
        <v>901</v>
      </c>
    </row>
    <row r="605" spans="3:3" ht="15" x14ac:dyDescent="0.2">
      <c r="C605" s="169" t="s">
        <v>902</v>
      </c>
    </row>
    <row r="606" spans="3:3" ht="15" x14ac:dyDescent="0.2">
      <c r="C606" s="169" t="s">
        <v>903</v>
      </c>
    </row>
    <row r="607" spans="3:3" ht="15" x14ac:dyDescent="0.2">
      <c r="C607" s="169" t="s">
        <v>904</v>
      </c>
    </row>
    <row r="608" spans="3:3" ht="15" x14ac:dyDescent="0.2">
      <c r="C608" s="169" t="s">
        <v>905</v>
      </c>
    </row>
    <row r="609" spans="3:3" ht="15" x14ac:dyDescent="0.2">
      <c r="C609" s="169" t="s">
        <v>906</v>
      </c>
    </row>
    <row r="610" spans="3:3" ht="15" x14ac:dyDescent="0.2">
      <c r="C610" s="169" t="s">
        <v>907</v>
      </c>
    </row>
    <row r="611" spans="3:3" ht="15" x14ac:dyDescent="0.2">
      <c r="C611" s="169" t="s">
        <v>908</v>
      </c>
    </row>
    <row r="612" spans="3:3" ht="15" x14ac:dyDescent="0.2">
      <c r="C612" s="169" t="s">
        <v>909</v>
      </c>
    </row>
    <row r="613" spans="3:3" ht="15" x14ac:dyDescent="0.2">
      <c r="C613" s="169" t="s">
        <v>849</v>
      </c>
    </row>
    <row r="615" spans="3:3" ht="15" x14ac:dyDescent="0.2">
      <c r="C615" s="169" t="s">
        <v>910</v>
      </c>
    </row>
    <row r="616" spans="3:3" ht="15" x14ac:dyDescent="0.2">
      <c r="C616" s="169" t="s">
        <v>911</v>
      </c>
    </row>
    <row r="618" spans="3:3" ht="15" x14ac:dyDescent="0.2">
      <c r="C618" s="169" t="s">
        <v>903</v>
      </c>
    </row>
    <row r="619" spans="3:3" ht="15" x14ac:dyDescent="0.2">
      <c r="C619" s="169" t="s">
        <v>1233</v>
      </c>
    </row>
    <row r="620" spans="3:3" ht="15" x14ac:dyDescent="0.2">
      <c r="C620" s="169" t="s">
        <v>1234</v>
      </c>
    </row>
    <row r="621" spans="3:3" ht="15" x14ac:dyDescent="0.2">
      <c r="C621" s="169" t="s">
        <v>906</v>
      </c>
    </row>
    <row r="622" spans="3:3" ht="15" x14ac:dyDescent="0.2">
      <c r="C622" s="169" t="s">
        <v>914</v>
      </c>
    </row>
    <row r="623" spans="3:3" ht="15" x14ac:dyDescent="0.2">
      <c r="C623" s="169" t="s">
        <v>915</v>
      </c>
    </row>
    <row r="624" spans="3:3" ht="15" x14ac:dyDescent="0.2">
      <c r="C624" s="169" t="s">
        <v>916</v>
      </c>
    </row>
    <row r="625" spans="3:3" ht="15" x14ac:dyDescent="0.2">
      <c r="C625" s="169" t="s">
        <v>917</v>
      </c>
    </row>
    <row r="626" spans="3:3" ht="15" x14ac:dyDescent="0.2">
      <c r="C626" s="169" t="s">
        <v>1235</v>
      </c>
    </row>
    <row r="628" spans="3:3" ht="15" x14ac:dyDescent="0.2">
      <c r="C628" s="169" t="s">
        <v>919</v>
      </c>
    </row>
    <row r="629" spans="3:3" ht="15" x14ac:dyDescent="0.2">
      <c r="C629" s="169" t="s">
        <v>920</v>
      </c>
    </row>
    <row r="630" spans="3:3" ht="15" x14ac:dyDescent="0.2">
      <c r="C630" s="169" t="s">
        <v>921</v>
      </c>
    </row>
    <row r="631" spans="3:3" ht="15" x14ac:dyDescent="0.2">
      <c r="C631" s="169" t="s">
        <v>922</v>
      </c>
    </row>
    <row r="632" spans="3:3" ht="15" x14ac:dyDescent="0.2">
      <c r="C632" s="169" t="s">
        <v>923</v>
      </c>
    </row>
    <row r="633" spans="3:3" ht="15" x14ac:dyDescent="0.2">
      <c r="C633" s="169" t="s">
        <v>924</v>
      </c>
    </row>
    <row r="634" spans="3:3" ht="15" x14ac:dyDescent="0.2">
      <c r="C634" s="169" t="s">
        <v>925</v>
      </c>
    </row>
    <row r="635" spans="3:3" ht="15" x14ac:dyDescent="0.2">
      <c r="C635" s="169" t="s">
        <v>926</v>
      </c>
    </row>
    <row r="636" spans="3:3" ht="15" x14ac:dyDescent="0.2">
      <c r="C636" s="169" t="s">
        <v>927</v>
      </c>
    </row>
    <row r="637" spans="3:3" ht="15" x14ac:dyDescent="0.2">
      <c r="C637" s="169" t="s">
        <v>928</v>
      </c>
    </row>
    <row r="638" spans="3:3" ht="15" x14ac:dyDescent="0.2">
      <c r="C638" s="169" t="s">
        <v>929</v>
      </c>
    </row>
    <row r="639" spans="3:3" ht="15" x14ac:dyDescent="0.2">
      <c r="C639" s="169" t="s">
        <v>930</v>
      </c>
    </row>
    <row r="640" spans="3:3" ht="15" x14ac:dyDescent="0.2">
      <c r="C640" s="169" t="s">
        <v>931</v>
      </c>
    </row>
    <row r="641" spans="3:3" ht="15" x14ac:dyDescent="0.2">
      <c r="C641" s="169" t="s">
        <v>932</v>
      </c>
    </row>
    <row r="642" spans="3:3" ht="15" x14ac:dyDescent="0.2">
      <c r="C642" s="169" t="s">
        <v>933</v>
      </c>
    </row>
    <row r="643" spans="3:3" ht="15" x14ac:dyDescent="0.2">
      <c r="C643" s="169" t="s">
        <v>934</v>
      </c>
    </row>
    <row r="644" spans="3:3" ht="15" x14ac:dyDescent="0.2">
      <c r="C644" s="169" t="s">
        <v>935</v>
      </c>
    </row>
    <row r="645" spans="3:3" ht="15" x14ac:dyDescent="0.2">
      <c r="C645" s="169" t="s">
        <v>936</v>
      </c>
    </row>
    <row r="646" spans="3:3" ht="15" x14ac:dyDescent="0.2">
      <c r="C646" s="169" t="s">
        <v>937</v>
      </c>
    </row>
    <row r="647" spans="3:3" ht="15" x14ac:dyDescent="0.2">
      <c r="C647" s="169" t="s">
        <v>938</v>
      </c>
    </row>
    <row r="648" spans="3:3" ht="15" x14ac:dyDescent="0.2">
      <c r="C648" s="169" t="s">
        <v>939</v>
      </c>
    </row>
    <row r="649" spans="3:3" ht="15" x14ac:dyDescent="0.2">
      <c r="C649" s="169" t="s">
        <v>940</v>
      </c>
    </row>
    <row r="650" spans="3:3" ht="15" x14ac:dyDescent="0.2">
      <c r="C650" s="169" t="s">
        <v>777</v>
      </c>
    </row>
    <row r="651" spans="3:3" ht="15" x14ac:dyDescent="0.2">
      <c r="C651" s="169" t="s">
        <v>941</v>
      </c>
    </row>
    <row r="652" spans="3:3" ht="15" x14ac:dyDescent="0.2">
      <c r="C652" s="169" t="s">
        <v>942</v>
      </c>
    </row>
    <row r="653" spans="3:3" ht="15" x14ac:dyDescent="0.2">
      <c r="C653" s="169" t="s">
        <v>943</v>
      </c>
    </row>
    <row r="654" spans="3:3" ht="15" x14ac:dyDescent="0.2">
      <c r="C654" s="169" t="s">
        <v>944</v>
      </c>
    </row>
    <row r="655" spans="3:3" ht="15" x14ac:dyDescent="0.2">
      <c r="C655" s="169" t="s">
        <v>945</v>
      </c>
    </row>
    <row r="656" spans="3:3" ht="15" x14ac:dyDescent="0.2">
      <c r="C656" s="169" t="s">
        <v>946</v>
      </c>
    </row>
    <row r="657" spans="3:3" ht="15" x14ac:dyDescent="0.2">
      <c r="C657" s="169" t="s">
        <v>947</v>
      </c>
    </row>
    <row r="659" spans="3:3" ht="15" x14ac:dyDescent="0.2">
      <c r="C659" s="169" t="s">
        <v>948</v>
      </c>
    </row>
    <row r="660" spans="3:3" ht="15" x14ac:dyDescent="0.2">
      <c r="C660" s="169" t="s">
        <v>949</v>
      </c>
    </row>
    <row r="662" spans="3:3" ht="15" x14ac:dyDescent="0.2">
      <c r="C662" s="169" t="s">
        <v>950</v>
      </c>
    </row>
    <row r="663" spans="3:3" ht="15" x14ac:dyDescent="0.2">
      <c r="C663" s="169" t="s">
        <v>951</v>
      </c>
    </row>
    <row r="665" spans="3:3" ht="15" x14ac:dyDescent="0.2">
      <c r="C665" s="169" t="s">
        <v>952</v>
      </c>
    </row>
    <row r="666" spans="3:3" ht="15" x14ac:dyDescent="0.2">
      <c r="C666" s="169" t="s">
        <v>903</v>
      </c>
    </row>
    <row r="667" spans="3:3" ht="15" x14ac:dyDescent="0.2">
      <c r="C667" s="169" t="s">
        <v>904</v>
      </c>
    </row>
    <row r="668" spans="3:3" ht="15" x14ac:dyDescent="0.2">
      <c r="C668" s="169" t="s">
        <v>953</v>
      </c>
    </row>
    <row r="669" spans="3:3" ht="15" x14ac:dyDescent="0.2">
      <c r="C669" s="169" t="s">
        <v>906</v>
      </c>
    </row>
    <row r="670" spans="3:3" ht="15" x14ac:dyDescent="0.2">
      <c r="C670" s="169" t="s">
        <v>954</v>
      </c>
    </row>
    <row r="671" spans="3:3" ht="15" x14ac:dyDescent="0.2">
      <c r="C671" s="169" t="s">
        <v>908</v>
      </c>
    </row>
    <row r="672" spans="3:3" ht="15" x14ac:dyDescent="0.2">
      <c r="C672" s="169" t="s">
        <v>909</v>
      </c>
    </row>
    <row r="673" spans="3:3" ht="15" x14ac:dyDescent="0.2">
      <c r="C673" s="169" t="s">
        <v>849</v>
      </c>
    </row>
    <row r="675" spans="3:3" ht="15" x14ac:dyDescent="0.2">
      <c r="C675" s="169" t="s">
        <v>955</v>
      </c>
    </row>
    <row r="676" spans="3:3" ht="15" x14ac:dyDescent="0.2">
      <c r="C676" s="169" t="s">
        <v>956</v>
      </c>
    </row>
    <row r="678" spans="3:3" ht="15" x14ac:dyDescent="0.2">
      <c r="C678" s="169" t="s">
        <v>903</v>
      </c>
    </row>
    <row r="679" spans="3:3" ht="15" x14ac:dyDescent="0.2">
      <c r="C679" s="169" t="s">
        <v>957</v>
      </c>
    </row>
    <row r="680" spans="3:3" ht="15" x14ac:dyDescent="0.2">
      <c r="C680" s="169" t="s">
        <v>958</v>
      </c>
    </row>
    <row r="681" spans="3:3" ht="15" x14ac:dyDescent="0.2">
      <c r="C681" s="169" t="s">
        <v>906</v>
      </c>
    </row>
    <row r="682" spans="3:3" ht="15" x14ac:dyDescent="0.2">
      <c r="C682" s="169" t="s">
        <v>1236</v>
      </c>
    </row>
    <row r="683" spans="3:3" ht="15" x14ac:dyDescent="0.2">
      <c r="C683" s="169" t="s">
        <v>915</v>
      </c>
    </row>
    <row r="684" spans="3:3" ht="15" x14ac:dyDescent="0.2">
      <c r="C684" s="169" t="s">
        <v>916</v>
      </c>
    </row>
    <row r="685" spans="3:3" ht="15" x14ac:dyDescent="0.2">
      <c r="C685" s="169" t="s">
        <v>917</v>
      </c>
    </row>
    <row r="686" spans="3:3" ht="15" x14ac:dyDescent="0.2">
      <c r="C686" s="169" t="s">
        <v>849</v>
      </c>
    </row>
    <row r="688" spans="3:3" ht="15" x14ac:dyDescent="0.2">
      <c r="C688" s="169" t="s">
        <v>960</v>
      </c>
    </row>
    <row r="689" spans="3:3" ht="15" x14ac:dyDescent="0.2">
      <c r="C689" s="169" t="s">
        <v>903</v>
      </c>
    </row>
    <row r="690" spans="3:3" ht="15" x14ac:dyDescent="0.2">
      <c r="C690" s="169" t="s">
        <v>904</v>
      </c>
    </row>
    <row r="691" spans="3:3" ht="15" x14ac:dyDescent="0.2">
      <c r="C691" s="169" t="s">
        <v>961</v>
      </c>
    </row>
    <row r="692" spans="3:3" ht="15" x14ac:dyDescent="0.2">
      <c r="C692" s="169" t="s">
        <v>906</v>
      </c>
    </row>
    <row r="693" spans="3:3" ht="15" x14ac:dyDescent="0.2">
      <c r="C693" s="169" t="s">
        <v>962</v>
      </c>
    </row>
    <row r="694" spans="3:3" ht="15" x14ac:dyDescent="0.2">
      <c r="C694" s="169" t="s">
        <v>908</v>
      </c>
    </row>
    <row r="695" spans="3:3" ht="15" x14ac:dyDescent="0.2">
      <c r="C695" s="169" t="s">
        <v>909</v>
      </c>
    </row>
    <row r="696" spans="3:3" ht="15" x14ac:dyDescent="0.2">
      <c r="C696" s="169" t="s">
        <v>849</v>
      </c>
    </row>
    <row r="698" spans="3:3" ht="15" x14ac:dyDescent="0.2">
      <c r="C698" s="169" t="s">
        <v>963</v>
      </c>
    </row>
    <row r="699" spans="3:3" ht="15" x14ac:dyDescent="0.2">
      <c r="C699" s="169" t="s">
        <v>964</v>
      </c>
    </row>
    <row r="701" spans="3:3" ht="15" x14ac:dyDescent="0.2">
      <c r="C701" s="169" t="s">
        <v>903</v>
      </c>
    </row>
    <row r="702" spans="3:3" ht="15" x14ac:dyDescent="0.2">
      <c r="C702" s="169" t="s">
        <v>965</v>
      </c>
    </row>
    <row r="703" spans="3:3" ht="15" x14ac:dyDescent="0.2">
      <c r="C703" s="169" t="s">
        <v>966</v>
      </c>
    </row>
    <row r="704" spans="3:3" ht="15" x14ac:dyDescent="0.2">
      <c r="C704" s="169" t="s">
        <v>906</v>
      </c>
    </row>
    <row r="705" spans="3:3" ht="15" x14ac:dyDescent="0.2">
      <c r="C705" s="169" t="s">
        <v>914</v>
      </c>
    </row>
    <row r="706" spans="3:3" ht="15" x14ac:dyDescent="0.2">
      <c r="C706" s="169" t="s">
        <v>915</v>
      </c>
    </row>
    <row r="707" spans="3:3" ht="15" x14ac:dyDescent="0.2">
      <c r="C707" s="169" t="s">
        <v>916</v>
      </c>
    </row>
    <row r="708" spans="3:3" ht="15" x14ac:dyDescent="0.2">
      <c r="C708" s="169" t="s">
        <v>917</v>
      </c>
    </row>
    <row r="709" spans="3:3" ht="15" x14ac:dyDescent="0.2">
      <c r="C709" s="169" t="s">
        <v>849</v>
      </c>
    </row>
    <row r="711" spans="3:3" ht="15" x14ac:dyDescent="0.2">
      <c r="C711" s="169" t="s">
        <v>967</v>
      </c>
    </row>
    <row r="712" spans="3:3" ht="15" x14ac:dyDescent="0.2">
      <c r="C712" s="169" t="s">
        <v>903</v>
      </c>
    </row>
    <row r="713" spans="3:3" ht="15" x14ac:dyDescent="0.2">
      <c r="C713" s="169" t="s">
        <v>904</v>
      </c>
    </row>
    <row r="714" spans="3:3" ht="15" x14ac:dyDescent="0.2">
      <c r="C714" s="169" t="s">
        <v>968</v>
      </c>
    </row>
    <row r="715" spans="3:3" ht="15" x14ac:dyDescent="0.2">
      <c r="C715" s="169" t="s">
        <v>906</v>
      </c>
    </row>
    <row r="716" spans="3:3" ht="15" x14ac:dyDescent="0.2">
      <c r="C716" s="169" t="s">
        <v>969</v>
      </c>
    </row>
    <row r="717" spans="3:3" ht="15" x14ac:dyDescent="0.2">
      <c r="C717" s="169" t="s">
        <v>908</v>
      </c>
    </row>
    <row r="718" spans="3:3" ht="15" x14ac:dyDescent="0.2">
      <c r="C718" s="169" t="s">
        <v>909</v>
      </c>
    </row>
    <row r="719" spans="3:3" ht="15" x14ac:dyDescent="0.2">
      <c r="C719" s="169" t="s">
        <v>849</v>
      </c>
    </row>
    <row r="721" spans="3:3" ht="15" x14ac:dyDescent="0.2">
      <c r="C721" s="169" t="s">
        <v>970</v>
      </c>
    </row>
    <row r="722" spans="3:3" ht="15" x14ac:dyDescent="0.2">
      <c r="C722" s="169" t="s">
        <v>971</v>
      </c>
    </row>
    <row r="724" spans="3:3" ht="15" x14ac:dyDescent="0.2">
      <c r="C724" s="169" t="s">
        <v>903</v>
      </c>
    </row>
    <row r="725" spans="3:3" ht="15" x14ac:dyDescent="0.2">
      <c r="C725" s="169" t="s">
        <v>972</v>
      </c>
    </row>
    <row r="726" spans="3:3" ht="15" x14ac:dyDescent="0.2">
      <c r="C726" s="169" t="s">
        <v>973</v>
      </c>
    </row>
    <row r="727" spans="3:3" ht="15" x14ac:dyDescent="0.2">
      <c r="C727" s="169" t="s">
        <v>906</v>
      </c>
    </row>
    <row r="728" spans="3:3" ht="15" x14ac:dyDescent="0.2">
      <c r="C728" s="169" t="s">
        <v>914</v>
      </c>
    </row>
    <row r="729" spans="3:3" ht="15" x14ac:dyDescent="0.2">
      <c r="C729" s="169" t="s">
        <v>915</v>
      </c>
    </row>
    <row r="730" spans="3:3" ht="15" x14ac:dyDescent="0.2">
      <c r="C730" s="169" t="s">
        <v>916</v>
      </c>
    </row>
    <row r="731" spans="3:3" ht="15" x14ac:dyDescent="0.2">
      <c r="C731" s="169" t="s">
        <v>974</v>
      </c>
    </row>
    <row r="732" spans="3:3" ht="15" x14ac:dyDescent="0.2">
      <c r="C732" s="169" t="s">
        <v>975</v>
      </c>
    </row>
    <row r="734" spans="3:3" ht="15" x14ac:dyDescent="0.2">
      <c r="C734" s="169" t="s">
        <v>976</v>
      </c>
    </row>
    <row r="735" spans="3:3" ht="15" x14ac:dyDescent="0.2">
      <c r="C735" s="169" t="s">
        <v>977</v>
      </c>
    </row>
    <row r="736" spans="3:3" ht="15" x14ac:dyDescent="0.2">
      <c r="C736" s="169" t="s">
        <v>978</v>
      </c>
    </row>
    <row r="738" spans="3:3" ht="15" x14ac:dyDescent="0.2">
      <c r="C738" s="169" t="s">
        <v>903</v>
      </c>
    </row>
    <row r="739" spans="3:3" ht="15" x14ac:dyDescent="0.2">
      <c r="C739" s="169" t="s">
        <v>979</v>
      </c>
    </row>
    <row r="740" spans="3:3" ht="15" x14ac:dyDescent="0.2">
      <c r="C740" s="169" t="s">
        <v>980</v>
      </c>
    </row>
    <row r="741" spans="3:3" ht="15" x14ac:dyDescent="0.2">
      <c r="C741" s="169" t="s">
        <v>906</v>
      </c>
    </row>
    <row r="742" spans="3:3" ht="15" x14ac:dyDescent="0.2">
      <c r="C742" s="169" t="s">
        <v>914</v>
      </c>
    </row>
    <row r="743" spans="3:3" ht="15" x14ac:dyDescent="0.2">
      <c r="C743" s="169" t="s">
        <v>981</v>
      </c>
    </row>
    <row r="744" spans="3:3" ht="15" x14ac:dyDescent="0.2">
      <c r="C744" s="169" t="s">
        <v>917</v>
      </c>
    </row>
    <row r="745" spans="3:3" ht="15" x14ac:dyDescent="0.2">
      <c r="C745" s="169" t="s">
        <v>849</v>
      </c>
    </row>
    <row r="747" spans="3:3" ht="15" x14ac:dyDescent="0.2">
      <c r="C747" s="169" t="s">
        <v>845</v>
      </c>
    </row>
    <row r="748" spans="3:3" ht="15" x14ac:dyDescent="0.2">
      <c r="C748" s="169" t="s">
        <v>1237</v>
      </c>
    </row>
    <row r="749" spans="3:3" ht="15" x14ac:dyDescent="0.2">
      <c r="C749" s="169" t="s">
        <v>1020</v>
      </c>
    </row>
    <row r="751" spans="3:3" ht="15" x14ac:dyDescent="0.2">
      <c r="C751" s="169" t="s">
        <v>1021</v>
      </c>
    </row>
    <row r="752" spans="3:3" ht="15" x14ac:dyDescent="0.2">
      <c r="C752" s="169" t="s">
        <v>1022</v>
      </c>
    </row>
    <row r="753" spans="3:3" ht="15" x14ac:dyDescent="0.2">
      <c r="C753" s="169" t="s">
        <v>1023</v>
      </c>
    </row>
    <row r="755" spans="3:3" ht="15" x14ac:dyDescent="0.2">
      <c r="C755" s="169" t="s">
        <v>1024</v>
      </c>
    </row>
    <row r="756" spans="3:3" ht="15" x14ac:dyDescent="0.2">
      <c r="C756" s="169" t="s">
        <v>1025</v>
      </c>
    </row>
    <row r="757" spans="3:3" ht="15" x14ac:dyDescent="0.2">
      <c r="C757" s="169" t="s">
        <v>1026</v>
      </c>
    </row>
    <row r="758" spans="3:3" ht="15" x14ac:dyDescent="0.2">
      <c r="C758" s="169" t="s">
        <v>1027</v>
      </c>
    </row>
    <row r="760" spans="3:3" ht="15" x14ac:dyDescent="0.2">
      <c r="C760" s="169" t="s">
        <v>1028</v>
      </c>
    </row>
    <row r="761" spans="3:3" x14ac:dyDescent="0.2">
      <c r="C761" s="170" t="s">
        <v>1029</v>
      </c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BD4CE-A6E8-4C79-9716-847A98B34FCA}">
  <sheetPr codeName="Sheet23"/>
  <dimension ref="A1:AD111"/>
  <sheetViews>
    <sheetView workbookViewId="0"/>
  </sheetViews>
  <sheetFormatPr defaultColWidth="9.140625" defaultRowHeight="12.75" zeroHeight="1" x14ac:dyDescent="0.2"/>
  <cols>
    <col min="1" max="1" width="2.7109375" style="357" customWidth="1"/>
    <col min="2" max="2" width="38.5703125" style="360" bestFit="1" customWidth="1"/>
    <col min="3" max="4" width="11.7109375" style="360" customWidth="1"/>
    <col min="5" max="5" width="7.7109375" style="360" customWidth="1"/>
    <col min="6" max="6" width="2.7109375" style="357" customWidth="1"/>
    <col min="7" max="7" width="2.7109375" style="360" customWidth="1"/>
    <col min="8" max="8" width="28.7109375" style="360" bestFit="1" customWidth="1"/>
    <col min="9" max="10" width="11.7109375" style="360" customWidth="1"/>
    <col min="11" max="11" width="7.7109375" style="360" customWidth="1"/>
    <col min="12" max="12" width="2.7109375" style="357" customWidth="1"/>
    <col min="13" max="13" width="2.7109375" style="360" customWidth="1"/>
    <col min="14" max="14" width="43.7109375" style="360" bestFit="1" customWidth="1"/>
    <col min="15" max="16" width="11.7109375" style="360" customWidth="1"/>
    <col min="17" max="17" width="7.7109375" style="360" customWidth="1"/>
    <col min="18" max="19" width="2.7109375" style="357" customWidth="1"/>
    <col min="20" max="20" width="41.7109375" style="360" bestFit="1" customWidth="1"/>
    <col min="21" max="21" width="13.28515625" style="360" customWidth="1"/>
    <col min="22" max="24" width="20.7109375" style="360" customWidth="1"/>
    <col min="25" max="26" width="2.7109375" style="357" customWidth="1"/>
    <col min="27" max="27" width="10.7109375" style="360" customWidth="1"/>
    <col min="28" max="28" width="33.85546875" style="360" bestFit="1" customWidth="1"/>
    <col min="29" max="30" width="2.7109375" style="357" customWidth="1"/>
    <col min="31" max="33" width="9.140625" style="360"/>
    <col min="34" max="34" width="41.7109375" style="360" bestFit="1" customWidth="1"/>
    <col min="35" max="35" width="8.42578125" style="360" bestFit="1" customWidth="1"/>
    <col min="36" max="38" width="25.7109375" style="360" customWidth="1"/>
    <col min="39" max="16384" width="9.140625" style="360"/>
  </cols>
  <sheetData>
    <row r="1" spans="1:30" x14ac:dyDescent="0.2">
      <c r="B1" s="358"/>
      <c r="C1" s="358"/>
      <c r="D1" s="358"/>
      <c r="E1" s="358"/>
      <c r="F1" s="514"/>
      <c r="G1" s="359"/>
    </row>
    <row r="2" spans="1:30" x14ac:dyDescent="0.2"/>
    <row r="3" spans="1:30" x14ac:dyDescent="0.2"/>
    <row r="4" spans="1:30" x14ac:dyDescent="0.2">
      <c r="B4" s="838" t="s">
        <v>1843</v>
      </c>
      <c r="C4" s="838"/>
      <c r="D4" s="838"/>
      <c r="E4" s="838"/>
      <c r="F4" s="515"/>
      <c r="H4" s="838" t="s">
        <v>1746</v>
      </c>
      <c r="I4" s="838"/>
      <c r="J4" s="838"/>
      <c r="K4" s="838"/>
      <c r="L4" s="515"/>
      <c r="N4" s="838" t="s">
        <v>1680</v>
      </c>
      <c r="O4" s="838"/>
      <c r="P4" s="838"/>
      <c r="Q4" s="838"/>
      <c r="T4" s="833" t="s">
        <v>1839</v>
      </c>
      <c r="U4" s="839"/>
      <c r="V4" s="839"/>
      <c r="W4" s="839"/>
      <c r="X4" s="834"/>
      <c r="AA4" s="833" t="s">
        <v>1297</v>
      </c>
      <c r="AB4" s="834"/>
    </row>
    <row r="5" spans="1:30" s="363" customFormat="1" ht="26.25" thickBot="1" x14ac:dyDescent="0.25">
      <c r="A5" s="361"/>
      <c r="B5" s="362" t="s">
        <v>1676</v>
      </c>
      <c r="C5" s="362" t="s">
        <v>1677</v>
      </c>
      <c r="D5" s="362" t="s">
        <v>1678</v>
      </c>
      <c r="E5" s="362" t="s">
        <v>1427</v>
      </c>
      <c r="F5" s="516"/>
      <c r="H5" s="362" t="s">
        <v>1676</v>
      </c>
      <c r="I5" s="362" t="s">
        <v>1677</v>
      </c>
      <c r="J5" s="362" t="s">
        <v>1678</v>
      </c>
      <c r="K5" s="362" t="s">
        <v>1427</v>
      </c>
      <c r="L5" s="516"/>
      <c r="N5" s="362" t="s">
        <v>1676</v>
      </c>
      <c r="O5" s="362" t="s">
        <v>1677</v>
      </c>
      <c r="P5" s="362" t="s">
        <v>1678</v>
      </c>
      <c r="Q5" s="362" t="s">
        <v>1427</v>
      </c>
      <c r="R5" s="357"/>
      <c r="S5" s="357"/>
      <c r="T5" s="539" t="s">
        <v>1817</v>
      </c>
      <c r="U5" s="539" t="s">
        <v>1826</v>
      </c>
      <c r="V5" s="540" t="s">
        <v>1837</v>
      </c>
      <c r="W5" s="540" t="s">
        <v>1840</v>
      </c>
      <c r="X5" s="540" t="s">
        <v>1838</v>
      </c>
      <c r="Y5" s="357"/>
      <c r="Z5" s="357"/>
      <c r="AA5" s="395" t="s">
        <v>1294</v>
      </c>
      <c r="AB5" s="396" t="s">
        <v>1772</v>
      </c>
      <c r="AC5" s="361"/>
      <c r="AD5" s="361"/>
    </row>
    <row r="6" spans="1:30" ht="12.75" customHeight="1" thickTop="1" x14ac:dyDescent="0.2">
      <c r="A6" s="835" t="s">
        <v>1675</v>
      </c>
      <c r="B6" s="364" t="s">
        <v>1886</v>
      </c>
      <c r="C6" s="365" t="s">
        <v>1673</v>
      </c>
      <c r="D6" s="365">
        <f>MIN(case2_est_sbed_clear_vert, case2_est_sbed_clear_linha)</f>
        <v>0</v>
      </c>
      <c r="E6" s="384" t="s">
        <v>1262</v>
      </c>
      <c r="F6" s="515"/>
      <c r="G6" s="835" t="s">
        <v>1675</v>
      </c>
      <c r="H6" s="369" t="s">
        <v>1290</v>
      </c>
      <c r="I6" s="365" t="e">
        <f>case2_est_altura_corc + case3i_din_heave_up</f>
        <v>#VALUE!</v>
      </c>
      <c r="J6" s="370" t="str">
        <f>IF(estudo_cvd_type=2, ROUND(I6,2), "IGNORAR")</f>
        <v>IGNORAR</v>
      </c>
      <c r="K6" s="385" t="s">
        <v>1262</v>
      </c>
      <c r="L6" s="515"/>
      <c r="M6" s="835" t="s">
        <v>1675</v>
      </c>
      <c r="N6" s="364" t="s">
        <v>2149</v>
      </c>
      <c r="O6" s="367">
        <f>puxada_stage_value_ar - case2_est_stage_value_ar</f>
        <v>0</v>
      </c>
      <c r="P6" s="367" t="str">
        <f>IF(estudo_cvd_type=2, ROUND(O6, 2), "")</f>
        <v/>
      </c>
      <c r="Q6" s="387" t="s">
        <v>1262</v>
      </c>
      <c r="R6" s="515"/>
      <c r="T6" s="541" t="s">
        <v>1778</v>
      </c>
      <c r="U6" s="532" t="s">
        <v>1353</v>
      </c>
      <c r="V6" s="528">
        <f>ROUNDUP(Auxiliar1!E19,2)</f>
        <v>0</v>
      </c>
      <c r="W6" s="367">
        <f>ROUNDUP(Auxiliar1!$D$19,2)</f>
        <v>0</v>
      </c>
      <c r="X6" s="367">
        <f>ROUNDUP(Auxiliar1!F19,2)*(-1)</f>
        <v>0</v>
      </c>
      <c r="AA6" s="367" t="str">
        <f>Auxiliar2!AK2</f>
        <v/>
      </c>
      <c r="AB6" s="367" t="str">
        <f>Auxiliar2!AL2</f>
        <v/>
      </c>
    </row>
    <row r="7" spans="1:30" x14ac:dyDescent="0.2">
      <c r="A7" s="836"/>
      <c r="B7" s="364" t="s">
        <v>464</v>
      </c>
      <c r="C7" s="365">
        <f>IF(estudo_cvd_type=2, Auxiliar2!K10, IF(estudo_cvd_type=1,  D42, ""))</f>
        <v>0</v>
      </c>
      <c r="D7" s="370">
        <f>ROUND(C7,2)</f>
        <v>0</v>
      </c>
      <c r="E7" s="385" t="s">
        <v>1262</v>
      </c>
      <c r="F7" s="515"/>
      <c r="G7" s="836"/>
      <c r="H7" s="371"/>
      <c r="I7" s="365"/>
      <c r="J7" s="367"/>
      <c r="K7" s="385"/>
      <c r="L7" s="515"/>
      <c r="M7" s="836"/>
      <c r="N7" s="605"/>
      <c r="O7" s="367"/>
      <c r="P7" s="367"/>
      <c r="Q7" s="387"/>
      <c r="R7" s="515"/>
      <c r="T7" s="542" t="s">
        <v>1779</v>
      </c>
      <c r="U7" s="521" t="s">
        <v>1353</v>
      </c>
      <c r="V7" s="528">
        <f>ROUNDUP(Auxiliar1!E20,2)</f>
        <v>0</v>
      </c>
      <c r="W7" s="367">
        <f>ROUNDUP(Auxiliar1!$D$20,2)</f>
        <v>0</v>
      </c>
      <c r="X7" s="367">
        <f>ROUNDUP(Auxiliar1!$F$20,2)*(-1)</f>
        <v>0</v>
      </c>
      <c r="AA7" s="367" t="str">
        <f>Auxiliar2!AK3</f>
        <v/>
      </c>
      <c r="AB7" s="367" t="str">
        <f>Auxiliar2!AL3</f>
        <v/>
      </c>
    </row>
    <row r="8" spans="1:30" ht="13.5" thickBot="1" x14ac:dyDescent="0.25">
      <c r="A8" s="836"/>
      <c r="B8" s="372" t="s">
        <v>463</v>
      </c>
      <c r="C8" s="365">
        <f>IF(estudo_cvd_type=2,  Auxiliar2!K9, IF(estudo_cvd_type=1, D43, ""))</f>
        <v>0</v>
      </c>
      <c r="D8" s="370">
        <f>ROUND(C8,2)</f>
        <v>0</v>
      </c>
      <c r="E8" s="385" t="s">
        <v>1262</v>
      </c>
      <c r="F8" s="515"/>
      <c r="G8" s="836"/>
      <c r="H8" s="371"/>
      <c r="I8" s="365"/>
      <c r="J8" s="367"/>
      <c r="K8" s="385"/>
      <c r="L8" s="515"/>
      <c r="M8" s="836"/>
      <c r="N8" s="605"/>
      <c r="O8" s="367"/>
      <c r="P8" s="367"/>
      <c r="Q8" s="387"/>
      <c r="R8" s="515"/>
      <c r="T8" s="543" t="s">
        <v>1825</v>
      </c>
      <c r="U8" s="531" t="s">
        <v>1353</v>
      </c>
      <c r="V8" s="528">
        <f>ROUNDUP(Auxiliar1!K19,2)</f>
        <v>0</v>
      </c>
      <c r="W8" s="534">
        <f>ROUNDUP(Auxiliar1!J19,2)</f>
        <v>0</v>
      </c>
      <c r="X8" s="534">
        <f>ROUNDUP(Auxiliar1!L19,2)*(-1)</f>
        <v>0</v>
      </c>
      <c r="AA8" s="367" t="str">
        <f>Auxiliar2!AK4</f>
        <v/>
      </c>
      <c r="AB8" s="367" t="str">
        <f>Auxiliar2!AL4</f>
        <v/>
      </c>
    </row>
    <row r="9" spans="1:30" x14ac:dyDescent="0.2">
      <c r="A9" s="836"/>
      <c r="B9" s="366" t="s">
        <v>480</v>
      </c>
      <c r="C9" s="365" t="e">
        <f ca="1">Auxiliar2!K8</f>
        <v>#N/A</v>
      </c>
      <c r="D9" s="365" t="str">
        <f>IF(estudo_cvd_type=2,ROUND(C9,2), "IGNORAR")</f>
        <v>IGNORAR</v>
      </c>
      <c r="E9" s="385" t="s">
        <v>1262</v>
      </c>
      <c r="F9" s="515"/>
      <c r="G9" s="836"/>
      <c r="H9" s="371"/>
      <c r="I9" s="365"/>
      <c r="J9" s="367"/>
      <c r="K9" s="385"/>
      <c r="L9" s="515"/>
      <c r="M9" s="836"/>
      <c r="N9" s="605"/>
      <c r="O9" s="367"/>
      <c r="P9" s="367"/>
      <c r="Q9" s="387"/>
      <c r="R9" s="515"/>
      <c r="T9" s="544" t="s">
        <v>1820</v>
      </c>
      <c r="U9" s="527" t="s">
        <v>1827</v>
      </c>
      <c r="V9" s="535">
        <f>ROUNDUP(Auxiliar1!E39,2)</f>
        <v>0</v>
      </c>
      <c r="W9" s="536">
        <f>ROUNDUP(Auxiliar1!D39,2)</f>
        <v>0</v>
      </c>
      <c r="X9" s="536">
        <f>ROUNDUP(Auxiliar1!F39,2)*(-1)</f>
        <v>0</v>
      </c>
      <c r="AA9" s="367" t="str">
        <f>Auxiliar2!AK5</f>
        <v/>
      </c>
      <c r="AB9" s="367" t="str">
        <f>Auxiliar2!AL5</f>
        <v/>
      </c>
    </row>
    <row r="10" spans="1:30" x14ac:dyDescent="0.2">
      <c r="A10" s="836"/>
      <c r="B10" s="366" t="s">
        <v>1278</v>
      </c>
      <c r="C10" s="547" t="e">
        <f>Auxiliar2!I5 - Auxiliar2!I4</f>
        <v>#N/A</v>
      </c>
      <c r="D10" s="365" t="str">
        <f>IF(estudo_cvd_type=2,ROUND(C10,2), "IGNORAR")</f>
        <v>IGNORAR</v>
      </c>
      <c r="E10" s="385" t="s">
        <v>1262</v>
      </c>
      <c r="F10" s="515"/>
      <c r="G10" s="836"/>
      <c r="H10" s="371"/>
      <c r="I10" s="365"/>
      <c r="J10" s="367"/>
      <c r="K10" s="385"/>
      <c r="L10" s="515"/>
      <c r="M10" s="836"/>
      <c r="N10" s="605"/>
      <c r="O10" s="367"/>
      <c r="P10" s="367"/>
      <c r="Q10" s="387"/>
      <c r="R10" s="515"/>
      <c r="T10" s="387" t="s">
        <v>1818</v>
      </c>
      <c r="U10" s="386" t="s">
        <v>1828</v>
      </c>
      <c r="V10" s="528">
        <f>ROUNDUP(Auxiliar1!E59,2)</f>
        <v>0</v>
      </c>
      <c r="W10" s="367">
        <f>ROUNDUP(Auxiliar1!D59,2)</f>
        <v>0</v>
      </c>
      <c r="X10" s="367">
        <f>ROUNDUP(Auxiliar1!F59,2)*(-1)</f>
        <v>0</v>
      </c>
      <c r="AA10" s="367" t="str">
        <f>Auxiliar2!AK6</f>
        <v/>
      </c>
      <c r="AB10" s="367" t="str">
        <f>Auxiliar2!AL6</f>
        <v/>
      </c>
    </row>
    <row r="11" spans="1:30" x14ac:dyDescent="0.2">
      <c r="A11" s="836"/>
      <c r="B11" s="662" t="s">
        <v>2138</v>
      </c>
      <c r="C11" s="547" t="e">
        <f>Auxiliar2!J4 - Auxiliar2!J5</f>
        <v>#N/A</v>
      </c>
      <c r="D11" s="365" t="str">
        <f>IF(estudo_cvd_type=2,ROUND(C11,2), "IGNORAR")</f>
        <v>IGNORAR</v>
      </c>
      <c r="E11" s="385" t="s">
        <v>1262</v>
      </c>
      <c r="F11" s="515"/>
      <c r="G11" s="836"/>
      <c r="H11" s="371"/>
      <c r="I11" s="365"/>
      <c r="J11" s="367"/>
      <c r="K11" s="385"/>
      <c r="L11" s="515"/>
      <c r="M11" s="836"/>
      <c r="N11" s="605"/>
      <c r="O11" s="367"/>
      <c r="P11" s="367"/>
      <c r="Q11" s="387"/>
      <c r="R11" s="515"/>
      <c r="T11" s="387" t="s">
        <v>1819</v>
      </c>
      <c r="U11" s="386" t="s">
        <v>1829</v>
      </c>
      <c r="V11" s="528">
        <f>ROUNDUP(Auxiliar1!E79,2)</f>
        <v>0</v>
      </c>
      <c r="W11" s="367">
        <f>ROUNDUP(Auxiliar1!D79,2)</f>
        <v>0</v>
      </c>
      <c r="X11" s="367">
        <f>ROUNDUP(Auxiliar1!F79,2)*(-1)</f>
        <v>0</v>
      </c>
      <c r="AA11" s="367" t="str">
        <f>Auxiliar2!AK7</f>
        <v/>
      </c>
      <c r="AB11" s="367" t="str">
        <f>Auxiliar2!AL7</f>
        <v/>
      </c>
    </row>
    <row r="12" spans="1:30" ht="12.75" customHeight="1" thickBot="1" x14ac:dyDescent="0.25">
      <c r="A12" s="836"/>
      <c r="B12" s="663" t="s">
        <v>2139</v>
      </c>
      <c r="C12" s="664">
        <f>case2_est_lda+D29</f>
        <v>0</v>
      </c>
      <c r="D12" s="664">
        <f>ROUND(C12, 2)</f>
        <v>0</v>
      </c>
      <c r="E12" s="337" t="s">
        <v>1262</v>
      </c>
      <c r="F12" s="515"/>
      <c r="G12" s="836"/>
      <c r="H12" s="373"/>
      <c r="I12" s="365"/>
      <c r="J12" s="367"/>
      <c r="K12" s="385"/>
      <c r="L12" s="515"/>
      <c r="M12" s="836"/>
      <c r="N12" s="605"/>
      <c r="O12" s="367"/>
      <c r="P12" s="367"/>
      <c r="Q12" s="387"/>
      <c r="R12" s="515"/>
      <c r="T12" s="530" t="s">
        <v>1830</v>
      </c>
      <c r="U12" s="530" t="s">
        <v>1353</v>
      </c>
      <c r="V12" s="533">
        <f>V11-V10+V9</f>
        <v>0</v>
      </c>
      <c r="W12" s="533">
        <f t="shared" ref="W12:X12" si="0">W11-W10+W9</f>
        <v>0</v>
      </c>
      <c r="X12" s="533">
        <f t="shared" si="0"/>
        <v>0</v>
      </c>
      <c r="AA12" s="367" t="str">
        <f>Auxiliar2!AK8</f>
        <v/>
      </c>
      <c r="AB12" s="367" t="str">
        <f>Auxiliar2!AL8</f>
        <v/>
      </c>
    </row>
    <row r="13" spans="1:30" ht="12.75" customHeight="1" x14ac:dyDescent="0.2">
      <c r="A13" s="836"/>
      <c r="B13" s="662" t="s">
        <v>2140</v>
      </c>
      <c r="C13" s="665" t="e">
        <f>case2_est_position_corc2-Auxiliar2!J5</f>
        <v>#N/A</v>
      </c>
      <c r="D13" s="367" t="str">
        <f>IF(estudo_cvd_type=2,ROUND(C13,2), "IGNORAR")</f>
        <v>IGNORAR</v>
      </c>
      <c r="E13" s="385" t="s">
        <v>1262</v>
      </c>
      <c r="F13" s="515"/>
      <c r="G13" s="836"/>
      <c r="H13" s="371"/>
      <c r="I13" s="365"/>
      <c r="J13" s="367"/>
      <c r="K13" s="419"/>
      <c r="L13" s="515"/>
      <c r="M13" s="836"/>
      <c r="N13" s="605"/>
      <c r="O13" s="367"/>
      <c r="P13" s="367"/>
      <c r="Q13" s="387"/>
      <c r="R13" s="515"/>
      <c r="T13" s="544" t="s">
        <v>1821</v>
      </c>
      <c r="U13" s="527" t="s">
        <v>1827</v>
      </c>
      <c r="V13" s="528">
        <f>ROUNDUP(Auxiliar1!K39,2)</f>
        <v>0</v>
      </c>
      <c r="W13" s="367">
        <f>ROUNDUP(Auxiliar1!J39,2)</f>
        <v>0</v>
      </c>
      <c r="X13" s="367">
        <f>ROUNDUP(Auxiliar1!L39,2)*(-1)</f>
        <v>0</v>
      </c>
      <c r="AA13" s="367" t="str">
        <f>Auxiliar2!AK9</f>
        <v/>
      </c>
      <c r="AB13" s="367" t="str">
        <f>Auxiliar2!AL9</f>
        <v/>
      </c>
    </row>
    <row r="14" spans="1:30" x14ac:dyDescent="0.2">
      <c r="A14" s="836"/>
      <c r="B14" s="366" t="s">
        <v>1252</v>
      </c>
      <c r="C14" s="365" t="e">
        <f>case2_est_comp_susp-case2_est_dist_tdp_flange</f>
        <v>#VALUE!</v>
      </c>
      <c r="D14" s="365" t="str">
        <f>IF(estudo_cvd_type=2,ROUNDDOWN(C14,2), "IGNORAR")</f>
        <v>IGNORAR</v>
      </c>
      <c r="E14" s="385" t="s">
        <v>1262</v>
      </c>
      <c r="F14" s="515"/>
      <c r="G14" s="836"/>
      <c r="H14" s="367"/>
      <c r="I14" s="367"/>
      <c r="J14" s="367"/>
      <c r="K14" s="386"/>
      <c r="L14" s="515"/>
      <c r="M14" s="836"/>
      <c r="N14" s="364"/>
      <c r="O14" s="367"/>
      <c r="P14" s="367"/>
      <c r="Q14" s="387"/>
      <c r="R14" s="515"/>
      <c r="T14" s="387" t="s">
        <v>1822</v>
      </c>
      <c r="U14" s="386" t="s">
        <v>1828</v>
      </c>
      <c r="V14" s="528">
        <f>ROUNDUP(Auxiliar1!K59,2)</f>
        <v>0</v>
      </c>
      <c r="W14" s="367">
        <f>ROUNDUP(Auxiliar1!J59,2)</f>
        <v>0</v>
      </c>
      <c r="X14" s="367">
        <f>ROUNDUP(Auxiliar1!L59,2)*(-1)</f>
        <v>0</v>
      </c>
      <c r="AA14" s="367" t="str">
        <f>Auxiliar2!AK10</f>
        <v/>
      </c>
      <c r="AB14" s="367" t="str">
        <f>Auxiliar2!AL10</f>
        <v/>
      </c>
    </row>
    <row r="15" spans="1:30" x14ac:dyDescent="0.2">
      <c r="A15" s="836"/>
      <c r="B15" s="364"/>
      <c r="C15" s="367"/>
      <c r="D15" s="367"/>
      <c r="E15" s="387"/>
      <c r="F15" s="515"/>
      <c r="G15" s="836"/>
      <c r="H15" s="367"/>
      <c r="I15" s="367"/>
      <c r="J15" s="367"/>
      <c r="K15" s="386"/>
      <c r="L15" s="515"/>
      <c r="M15" s="836"/>
      <c r="N15" s="364"/>
      <c r="O15" s="367"/>
      <c r="P15" s="367"/>
      <c r="Q15" s="387"/>
      <c r="R15" s="515"/>
      <c r="T15" s="387" t="s">
        <v>1823</v>
      </c>
      <c r="U15" s="386" t="s">
        <v>1829</v>
      </c>
      <c r="V15" s="528">
        <f>ROUNDUP(Auxiliar1!K79,2)</f>
        <v>0</v>
      </c>
      <c r="W15" s="367">
        <f>ROUNDUP(Auxiliar1!J79,2)</f>
        <v>0</v>
      </c>
      <c r="X15" s="367">
        <f>ROUNDUP(Auxiliar1!L79,2)*(-1)</f>
        <v>0</v>
      </c>
      <c r="AA15" s="367" t="str">
        <f>Auxiliar2!AK11</f>
        <v/>
      </c>
      <c r="AB15" s="367" t="str">
        <f>Auxiliar2!AL11</f>
        <v/>
      </c>
    </row>
    <row r="16" spans="1:30" ht="13.5" thickBot="1" x14ac:dyDescent="0.25">
      <c r="A16" s="836"/>
      <c r="B16" s="364"/>
      <c r="C16" s="367"/>
      <c r="D16" s="367"/>
      <c r="E16" s="387"/>
      <c r="F16" s="515"/>
      <c r="G16" s="836"/>
      <c r="H16" s="367"/>
      <c r="I16" s="367"/>
      <c r="J16" s="367"/>
      <c r="K16" s="386"/>
      <c r="L16" s="515"/>
      <c r="M16" s="836"/>
      <c r="N16" s="364"/>
      <c r="O16" s="367"/>
      <c r="P16" s="367"/>
      <c r="Q16" s="387"/>
      <c r="R16" s="515"/>
      <c r="T16" s="530" t="s">
        <v>1831</v>
      </c>
      <c r="U16" s="530" t="s">
        <v>1353</v>
      </c>
      <c r="V16" s="533">
        <f>V15-V14+V13</f>
        <v>0</v>
      </c>
      <c r="W16" s="533">
        <f t="shared" ref="W16:X16" si="1">W15-W14+W13</f>
        <v>0</v>
      </c>
      <c r="X16" s="533">
        <f t="shared" si="1"/>
        <v>0</v>
      </c>
      <c r="AA16" s="367" t="str">
        <f>Auxiliar2!AK12</f>
        <v/>
      </c>
      <c r="AB16" s="367" t="str">
        <f>Auxiliar2!AL12</f>
        <v/>
      </c>
    </row>
    <row r="17" spans="1:28" x14ac:dyDescent="0.2">
      <c r="A17" s="836"/>
      <c r="B17" s="364"/>
      <c r="C17" s="367"/>
      <c r="D17" s="367"/>
      <c r="E17" s="387"/>
      <c r="F17" s="515"/>
      <c r="G17" s="836"/>
      <c r="H17" s="367"/>
      <c r="I17" s="367"/>
      <c r="J17" s="367"/>
      <c r="K17" s="386"/>
      <c r="L17" s="515"/>
      <c r="M17" s="836"/>
      <c r="N17" s="364"/>
      <c r="O17" s="367"/>
      <c r="P17" s="367"/>
      <c r="Q17" s="387"/>
      <c r="R17" s="515"/>
      <c r="T17" s="544" t="s">
        <v>1824</v>
      </c>
      <c r="U17" s="527" t="s">
        <v>1829</v>
      </c>
      <c r="V17" s="535">
        <f>ROUNDUP(Auxiliar1!E99,2)</f>
        <v>0</v>
      </c>
      <c r="W17" s="536">
        <f>ROUNDUP(Auxiliar1!D99,2)</f>
        <v>0</v>
      </c>
      <c r="X17" s="536">
        <f>ROUNDUP(Auxiliar1!F99,2)*(-1)</f>
        <v>0</v>
      </c>
      <c r="AA17" s="367" t="str">
        <f>Auxiliar2!AK13</f>
        <v/>
      </c>
      <c r="AB17" s="367" t="str">
        <f>Auxiliar2!AL13</f>
        <v/>
      </c>
    </row>
    <row r="18" spans="1:28" ht="13.5" thickBot="1" x14ac:dyDescent="0.25">
      <c r="A18" s="836"/>
      <c r="B18" s="364"/>
      <c r="C18" s="367"/>
      <c r="D18" s="367"/>
      <c r="E18" s="387"/>
      <c r="F18" s="515"/>
      <c r="G18" s="836"/>
      <c r="H18" s="367"/>
      <c r="I18" s="367"/>
      <c r="J18" s="367"/>
      <c r="K18" s="386"/>
      <c r="L18" s="515"/>
      <c r="M18" s="836"/>
      <c r="N18" s="364"/>
      <c r="O18" s="367"/>
      <c r="P18" s="367"/>
      <c r="Q18" s="387"/>
      <c r="R18" s="515"/>
      <c r="T18" s="530" t="s">
        <v>1832</v>
      </c>
      <c r="U18" s="530" t="s">
        <v>1353</v>
      </c>
      <c r="V18" s="533">
        <f>V17-V14+V13</f>
        <v>0</v>
      </c>
      <c r="W18" s="533">
        <f t="shared" ref="W18:X18" si="2">W17-W14+W13</f>
        <v>0</v>
      </c>
      <c r="X18" s="533">
        <f t="shared" si="2"/>
        <v>0</v>
      </c>
      <c r="AA18" s="367" t="str">
        <f>Auxiliar2!AK14</f>
        <v/>
      </c>
      <c r="AB18" s="367" t="str">
        <f>Auxiliar2!AL14</f>
        <v/>
      </c>
    </row>
    <row r="19" spans="1:28" x14ac:dyDescent="0.2">
      <c r="A19" s="836"/>
      <c r="B19" s="364"/>
      <c r="C19" s="367"/>
      <c r="D19" s="367"/>
      <c r="E19" s="387"/>
      <c r="F19" s="515"/>
      <c r="G19" s="836"/>
      <c r="H19" s="367"/>
      <c r="I19" s="367"/>
      <c r="J19" s="367"/>
      <c r="K19" s="386"/>
      <c r="L19" s="515"/>
      <c r="M19" s="836"/>
      <c r="N19" s="364"/>
      <c r="O19" s="367"/>
      <c r="P19" s="367"/>
      <c r="Q19" s="387"/>
      <c r="R19" s="515"/>
      <c r="T19" s="526" t="s">
        <v>1841</v>
      </c>
      <c r="U19" s="532" t="s">
        <v>1353</v>
      </c>
      <c r="V19" s="545">
        <f>ROUNDUP(Auxiliar1!K99,2)</f>
        <v>0</v>
      </c>
      <c r="W19" s="529">
        <f>ROUNDUP(Auxiliar1!J99,2)</f>
        <v>0</v>
      </c>
      <c r="X19" s="529">
        <f>ROUNDUP(Auxiliar1!L99,2)*(-1)</f>
        <v>0</v>
      </c>
      <c r="AA19" s="367" t="str">
        <f>Auxiliar2!AK15</f>
        <v/>
      </c>
      <c r="AB19" s="367" t="str">
        <f>Auxiliar2!AL15</f>
        <v/>
      </c>
    </row>
    <row r="20" spans="1:28" x14ac:dyDescent="0.2">
      <c r="A20" s="836"/>
      <c r="B20" s="364"/>
      <c r="C20" s="367"/>
      <c r="D20" s="367"/>
      <c r="E20" s="387"/>
      <c r="F20" s="515"/>
      <c r="G20" s="836"/>
      <c r="H20" s="367"/>
      <c r="I20" s="367"/>
      <c r="J20" s="367"/>
      <c r="K20" s="386"/>
      <c r="L20" s="515"/>
      <c r="M20" s="836"/>
      <c r="N20" s="364"/>
      <c r="O20" s="367"/>
      <c r="P20" s="367"/>
      <c r="Q20" s="387"/>
      <c r="R20" s="515"/>
      <c r="T20" s="526" t="s">
        <v>1842</v>
      </c>
      <c r="U20" s="532" t="s">
        <v>1353</v>
      </c>
      <c r="V20" s="545">
        <f>ROUNDUP(Auxiliar1!K100,2)</f>
        <v>0</v>
      </c>
      <c r="W20" s="529">
        <f>ROUNDUP(Auxiliar1!J100,2)</f>
        <v>0</v>
      </c>
      <c r="X20" s="529">
        <f>ROUNDUP(Auxiliar1!L100,2)*(-1)</f>
        <v>0</v>
      </c>
      <c r="AA20" s="367" t="str">
        <f>Auxiliar2!AK16</f>
        <v/>
      </c>
      <c r="AB20" s="367" t="str">
        <f>Auxiliar2!AL16</f>
        <v/>
      </c>
    </row>
    <row r="21" spans="1:28" x14ac:dyDescent="0.2">
      <c r="A21" s="836"/>
      <c r="B21" s="364"/>
      <c r="C21" s="367"/>
      <c r="D21" s="367"/>
      <c r="E21" s="387"/>
      <c r="F21" s="515"/>
      <c r="G21" s="836"/>
      <c r="H21" s="367"/>
      <c r="I21" s="367"/>
      <c r="J21" s="367"/>
      <c r="K21" s="386"/>
      <c r="L21" s="515"/>
      <c r="M21" s="836"/>
      <c r="N21" s="364"/>
      <c r="O21" s="367"/>
      <c r="P21" s="367"/>
      <c r="Q21" s="387"/>
      <c r="R21" s="515"/>
      <c r="AA21" s="367" t="str">
        <f>Auxiliar2!AK17</f>
        <v/>
      </c>
      <c r="AB21" s="367" t="str">
        <f>Auxiliar2!AL17</f>
        <v/>
      </c>
    </row>
    <row r="22" spans="1:28" x14ac:dyDescent="0.2">
      <c r="A22" s="836"/>
      <c r="B22" s="364"/>
      <c r="C22" s="367"/>
      <c r="D22" s="367"/>
      <c r="E22" s="387"/>
      <c r="F22" s="515"/>
      <c r="G22" s="836"/>
      <c r="H22" s="367"/>
      <c r="I22" s="367"/>
      <c r="J22" s="367"/>
      <c r="K22" s="386"/>
      <c r="L22" s="515"/>
      <c r="M22" s="836"/>
      <c r="N22" s="364"/>
      <c r="O22" s="367"/>
      <c r="P22" s="367"/>
      <c r="Q22" s="387"/>
      <c r="R22" s="515"/>
      <c r="T22" s="833" t="s">
        <v>1734</v>
      </c>
      <c r="U22" s="839"/>
      <c r="V22" s="839"/>
      <c r="W22" s="839"/>
      <c r="X22" s="834"/>
      <c r="AA22" s="367" t="str">
        <f>Auxiliar2!AK18</f>
        <v/>
      </c>
      <c r="AB22" s="367" t="str">
        <f>Auxiliar2!AL18</f>
        <v/>
      </c>
    </row>
    <row r="23" spans="1:28" x14ac:dyDescent="0.2">
      <c r="A23" s="836"/>
      <c r="B23" s="364"/>
      <c r="C23" s="367"/>
      <c r="D23" s="367"/>
      <c r="E23" s="387"/>
      <c r="F23" s="515"/>
      <c r="G23" s="836"/>
      <c r="H23" s="367"/>
      <c r="I23" s="367"/>
      <c r="J23" s="367"/>
      <c r="K23" s="386"/>
      <c r="L23" s="515"/>
      <c r="M23" s="836"/>
      <c r="N23" s="364"/>
      <c r="O23" s="367"/>
      <c r="P23" s="367"/>
      <c r="Q23" s="387"/>
      <c r="R23" s="515"/>
      <c r="T23" s="362" t="s">
        <v>1676</v>
      </c>
      <c r="U23" s="362" t="s">
        <v>1846</v>
      </c>
      <c r="V23" s="362" t="s">
        <v>1849</v>
      </c>
      <c r="W23" s="362" t="s">
        <v>1678</v>
      </c>
      <c r="X23" s="362" t="s">
        <v>1427</v>
      </c>
      <c r="AA23" s="367" t="str">
        <f>Auxiliar2!AK19</f>
        <v/>
      </c>
      <c r="AB23" s="367" t="str">
        <f>Auxiliar2!AL19</f>
        <v/>
      </c>
    </row>
    <row r="24" spans="1:28" x14ac:dyDescent="0.2">
      <c r="A24" s="836"/>
      <c r="B24" s="364"/>
      <c r="C24" s="367"/>
      <c r="D24" s="367"/>
      <c r="E24" s="387"/>
      <c r="F24" s="515"/>
      <c r="G24" s="836"/>
      <c r="H24" s="367"/>
      <c r="I24" s="367"/>
      <c r="J24" s="367"/>
      <c r="K24" s="386"/>
      <c r="L24" s="515"/>
      <c r="M24" s="836"/>
      <c r="N24" s="364"/>
      <c r="O24" s="367"/>
      <c r="P24" s="367"/>
      <c r="Q24" s="387"/>
      <c r="R24" s="515"/>
      <c r="T24" s="385" t="s">
        <v>1299</v>
      </c>
      <c r="U24" s="383" t="s">
        <v>1848</v>
      </c>
      <c r="V24" s="367" t="s">
        <v>1673</v>
      </c>
      <c r="W24" s="367">
        <f>IF(Values!C11="","",Values!C11)</f>
        <v>6</v>
      </c>
      <c r="X24" s="387" t="s">
        <v>1353</v>
      </c>
      <c r="AA24" s="367" t="str">
        <f>Auxiliar2!AK20</f>
        <v/>
      </c>
      <c r="AB24" s="367" t="str">
        <f>Auxiliar2!AL20</f>
        <v/>
      </c>
    </row>
    <row r="25" spans="1:28" x14ac:dyDescent="0.2">
      <c r="A25" s="837"/>
      <c r="B25" s="364"/>
      <c r="C25" s="367"/>
      <c r="D25" s="367"/>
      <c r="E25" s="387"/>
      <c r="F25" s="515"/>
      <c r="G25" s="837"/>
      <c r="H25" s="367"/>
      <c r="I25" s="367"/>
      <c r="J25" s="367"/>
      <c r="K25" s="386"/>
      <c r="L25" s="515"/>
      <c r="M25" s="837"/>
      <c r="N25" s="364"/>
      <c r="O25" s="367"/>
      <c r="P25" s="367"/>
      <c r="Q25" s="387"/>
      <c r="R25" s="515"/>
      <c r="T25" s="385" t="s">
        <v>1300</v>
      </c>
      <c r="U25" s="383" t="s">
        <v>1848</v>
      </c>
      <c r="V25" s="367" t="s">
        <v>1673</v>
      </c>
      <c r="W25" s="367">
        <f>IF(case2_est_lda="","",case2_est_lda)</f>
        <v>0</v>
      </c>
      <c r="X25" s="387" t="s">
        <v>1353</v>
      </c>
      <c r="AA25" s="367" t="str">
        <f>Auxiliar2!AK21</f>
        <v/>
      </c>
      <c r="AB25" s="367" t="str">
        <f>Auxiliar2!AL21</f>
        <v/>
      </c>
    </row>
    <row r="26" spans="1:28" ht="12.75" customHeight="1" x14ac:dyDescent="0.2">
      <c r="A26" s="840" t="s">
        <v>1674</v>
      </c>
      <c r="B26" s="599" t="s">
        <v>1596</v>
      </c>
      <c r="C26" s="375"/>
      <c r="D26" s="367">
        <f>C26</f>
        <v>0</v>
      </c>
      <c r="E26" s="387" t="s">
        <v>1353</v>
      </c>
      <c r="F26" s="515"/>
      <c r="G26" s="840" t="s">
        <v>1674</v>
      </c>
      <c r="H26" s="603" t="s">
        <v>1887</v>
      </c>
      <c r="I26" s="377"/>
      <c r="J26" s="370">
        <f>-I26</f>
        <v>0</v>
      </c>
      <c r="K26" s="385" t="s">
        <v>1262</v>
      </c>
      <c r="L26" s="515"/>
      <c r="M26" s="840" t="s">
        <v>1674</v>
      </c>
      <c r="N26" s="600" t="s">
        <v>1883</v>
      </c>
      <c r="O26" s="377"/>
      <c r="P26" s="370">
        <f>ROUND(O26,2)</f>
        <v>0</v>
      </c>
      <c r="Q26" s="385" t="s">
        <v>1262</v>
      </c>
      <c r="R26" s="515"/>
      <c r="T26" s="383" t="s">
        <v>1261</v>
      </c>
      <c r="U26" s="383" t="s">
        <v>1848</v>
      </c>
      <c r="V26" s="554">
        <f>'MCV e Guindaste'!B8/1000</f>
        <v>3.81</v>
      </c>
      <c r="W26" s="365">
        <f>ROUND(V26,2)</f>
        <v>3.81</v>
      </c>
      <c r="X26" s="384" t="s">
        <v>1262</v>
      </c>
      <c r="AA26" s="367" t="str">
        <f>Auxiliar2!AK22</f>
        <v/>
      </c>
      <c r="AB26" s="367" t="str">
        <f>Auxiliar2!AL22</f>
        <v/>
      </c>
    </row>
    <row r="27" spans="1:28" x14ac:dyDescent="0.2">
      <c r="A27" s="840"/>
      <c r="B27" s="599" t="s">
        <v>1871</v>
      </c>
      <c r="C27" s="378"/>
      <c r="D27" s="370">
        <f>ROUND(C27,2)</f>
        <v>0</v>
      </c>
      <c r="E27" s="385" t="s">
        <v>1271</v>
      </c>
      <c r="F27" s="515"/>
      <c r="G27" s="840"/>
      <c r="H27" s="603" t="s">
        <v>1888</v>
      </c>
      <c r="I27" s="377"/>
      <c r="J27" s="365">
        <f>ROUNDUP(I27,2)</f>
        <v>0</v>
      </c>
      <c r="K27" s="385" t="s">
        <v>1353</v>
      </c>
      <c r="L27" s="515"/>
      <c r="M27" s="840"/>
      <c r="N27" s="600" t="s">
        <v>1887</v>
      </c>
      <c r="O27" s="377"/>
      <c r="P27" s="370">
        <f>ROUND(O27,2)</f>
        <v>0</v>
      </c>
      <c r="Q27" s="385" t="s">
        <v>1262</v>
      </c>
      <c r="R27" s="515"/>
      <c r="T27" s="383" t="s">
        <v>1844</v>
      </c>
      <c r="U27" s="383" t="s">
        <v>1848</v>
      </c>
      <c r="V27" s="555">
        <f>Values!$C$27</f>
        <v>4.1399999999999997</v>
      </c>
      <c r="W27" s="365">
        <f>ROUNDUP(V27,2)</f>
        <v>4.1399999999999997</v>
      </c>
      <c r="X27" s="384" t="s">
        <v>1262</v>
      </c>
      <c r="AA27" s="367" t="str">
        <f>Auxiliar2!AK23</f>
        <v/>
      </c>
      <c r="AB27" s="367" t="str">
        <f>Auxiliar2!AL23</f>
        <v/>
      </c>
    </row>
    <row r="28" spans="1:28" x14ac:dyDescent="0.2">
      <c r="A28" s="840"/>
      <c r="B28" s="599" t="s">
        <v>1872</v>
      </c>
      <c r="C28" s="377"/>
      <c r="D28" s="370">
        <f>ROUND(C28, 2)</f>
        <v>0</v>
      </c>
      <c r="E28" s="385" t="s">
        <v>1262</v>
      </c>
      <c r="F28" s="515"/>
      <c r="G28" s="840"/>
      <c r="H28" s="603" t="s">
        <v>1877</v>
      </c>
      <c r="I28" s="377"/>
      <c r="J28" s="370">
        <f>ROUNDDOWN(I28,2)</f>
        <v>0</v>
      </c>
      <c r="K28" s="385" t="s">
        <v>1262</v>
      </c>
      <c r="L28" s="515"/>
      <c r="M28" s="840"/>
      <c r="N28" s="600" t="s">
        <v>1877</v>
      </c>
      <c r="O28" s="377"/>
      <c r="P28" s="370">
        <f>ROUNDDOWN(O28,2)</f>
        <v>0</v>
      </c>
      <c r="Q28" s="385" t="s">
        <v>1262</v>
      </c>
      <c r="R28" s="515"/>
      <c r="T28" s="383" t="s">
        <v>1845</v>
      </c>
      <c r="U28" s="383" t="s">
        <v>1848</v>
      </c>
      <c r="V28" s="555">
        <f>Values!$C$13</f>
        <v>2.4</v>
      </c>
      <c r="W28" s="365">
        <f>ROUNDUP(V28,2)</f>
        <v>2.4</v>
      </c>
      <c r="X28" s="384" t="s">
        <v>1262</v>
      </c>
      <c r="AA28" s="367" t="str">
        <f>Auxiliar2!AK24</f>
        <v/>
      </c>
      <c r="AB28" s="367" t="str">
        <f>Auxiliar2!AL24</f>
        <v/>
      </c>
    </row>
    <row r="29" spans="1:28" x14ac:dyDescent="0.2">
      <c r="A29" s="840"/>
      <c r="B29" s="599" t="s">
        <v>1873</v>
      </c>
      <c r="C29" s="377"/>
      <c r="D29" s="370">
        <f>ROUND(C29, 2)</f>
        <v>0</v>
      </c>
      <c r="E29" s="385" t="s">
        <v>1262</v>
      </c>
      <c r="F29" s="515"/>
      <c r="G29" s="840"/>
      <c r="H29" s="604" t="s">
        <v>1878</v>
      </c>
      <c r="I29" s="377"/>
      <c r="J29" s="370">
        <f>ROUNDDOWN(I29,2)</f>
        <v>0</v>
      </c>
      <c r="K29" s="385" t="s">
        <v>1262</v>
      </c>
      <c r="L29" s="515"/>
      <c r="M29" s="840"/>
      <c r="N29" s="600" t="s">
        <v>1878</v>
      </c>
      <c r="O29" s="377"/>
      <c r="P29" s="370">
        <f>ROUNDDOWN(O29,2)</f>
        <v>0</v>
      </c>
      <c r="Q29" s="385" t="s">
        <v>1262</v>
      </c>
      <c r="R29" s="515"/>
      <c r="T29" s="383" t="s">
        <v>1264</v>
      </c>
      <c r="U29" s="383" t="s">
        <v>1848</v>
      </c>
      <c r="V29" s="555">
        <f>Values!C28</f>
        <v>70</v>
      </c>
      <c r="W29" s="367">
        <f>ROUNDDOWN(V29,2)</f>
        <v>70</v>
      </c>
      <c r="X29" s="387" t="s">
        <v>1265</v>
      </c>
      <c r="AA29" s="367" t="str">
        <f>Auxiliar2!AK25</f>
        <v/>
      </c>
      <c r="AB29" s="367" t="str">
        <f>Auxiliar2!AL25</f>
        <v/>
      </c>
    </row>
    <row r="30" spans="1:28" x14ac:dyDescent="0.2">
      <c r="A30" s="840"/>
      <c r="B30" s="600" t="s">
        <v>1876</v>
      </c>
      <c r="C30" s="377"/>
      <c r="D30" s="365">
        <f>ROUNDUP(C30,2)</f>
        <v>0</v>
      </c>
      <c r="E30" s="385" t="s">
        <v>1265</v>
      </c>
      <c r="F30" s="515"/>
      <c r="G30" s="840"/>
      <c r="H30" s="603" t="s">
        <v>1879</v>
      </c>
      <c r="I30" s="377"/>
      <c r="J30" s="365">
        <f>ROUNDUP(I30,2)</f>
        <v>0</v>
      </c>
      <c r="K30" s="385" t="s">
        <v>1265</v>
      </c>
      <c r="L30" s="515"/>
      <c r="M30" s="840"/>
      <c r="N30" s="600" t="s">
        <v>1889</v>
      </c>
      <c r="O30" s="377"/>
      <c r="P30" s="370">
        <f>ROUNDUP(O30/9.81,2)</f>
        <v>0</v>
      </c>
      <c r="Q30" s="385" t="s">
        <v>1291</v>
      </c>
      <c r="R30" s="515"/>
      <c r="T30" s="383" t="s">
        <v>1267</v>
      </c>
      <c r="U30" s="383" t="s">
        <v>1848</v>
      </c>
      <c r="V30" s="555">
        <f>Values!C29</f>
        <v>34</v>
      </c>
      <c r="W30" s="367">
        <f>ROUNDDOWN(V30,2)</f>
        <v>34</v>
      </c>
      <c r="X30" s="384" t="s">
        <v>1268</v>
      </c>
      <c r="AA30" s="367" t="str">
        <f>Auxiliar2!AK26</f>
        <v/>
      </c>
      <c r="AB30" s="367" t="str">
        <f>Auxiliar2!AL26</f>
        <v/>
      </c>
    </row>
    <row r="31" spans="1:28" x14ac:dyDescent="0.2">
      <c r="A31" s="840"/>
      <c r="B31" s="600" t="s">
        <v>1875</v>
      </c>
      <c r="C31" s="377"/>
      <c r="D31" s="370">
        <f>ROUNDUP(C31,2)</f>
        <v>0</v>
      </c>
      <c r="E31" s="385" t="s">
        <v>1268</v>
      </c>
      <c r="F31" s="515"/>
      <c r="G31" s="840"/>
      <c r="H31" s="603" t="s">
        <v>1880</v>
      </c>
      <c r="I31" s="377"/>
      <c r="J31" s="365">
        <f>ROUNDUP(I31,2)</f>
        <v>0</v>
      </c>
      <c r="K31" s="385" t="s">
        <v>1268</v>
      </c>
      <c r="L31" s="515"/>
      <c r="M31" s="840"/>
      <c r="N31" s="600" t="s">
        <v>1890</v>
      </c>
      <c r="O31" s="377"/>
      <c r="P31" s="365">
        <f>ROUNDUP(O31/9.81,2)</f>
        <v>0</v>
      </c>
      <c r="Q31" s="385" t="s">
        <v>1291</v>
      </c>
      <c r="R31" s="515"/>
      <c r="T31" s="388" t="s">
        <v>1735</v>
      </c>
      <c r="U31" s="383" t="s">
        <v>1848</v>
      </c>
      <c r="V31" s="367" t="s">
        <v>1673</v>
      </c>
      <c r="W31" s="367" t="str">
        <f>TRIM(IF(Values!A7="",Values!A5,_xlfn.CONCAT(Values!A5," Rev. ",Values!A7)))</f>
        <v>WSI 152.2553-RD-4042-6 Rev. 1</v>
      </c>
      <c r="X31" s="387" t="s">
        <v>1353</v>
      </c>
      <c r="AA31" s="367" t="str">
        <f>Auxiliar2!AK27</f>
        <v/>
      </c>
      <c r="AB31" s="367" t="str">
        <f>Auxiliar2!AL27</f>
        <v/>
      </c>
    </row>
    <row r="32" spans="1:28" x14ac:dyDescent="0.2">
      <c r="A32" s="840"/>
      <c r="B32" s="600" t="s">
        <v>1874</v>
      </c>
      <c r="C32" s="377"/>
      <c r="D32" s="370">
        <f>ROUNDUP(C32,2)*(-1)</f>
        <v>0</v>
      </c>
      <c r="E32" s="385" t="s">
        <v>1268</v>
      </c>
      <c r="F32" s="515"/>
      <c r="G32" s="840"/>
      <c r="H32" s="603" t="s">
        <v>1889</v>
      </c>
      <c r="I32" s="377"/>
      <c r="J32" s="365">
        <f>ROUND(I32/9.81,2)</f>
        <v>0</v>
      </c>
      <c r="K32" s="385" t="s">
        <v>1291</v>
      </c>
      <c r="L32" s="515"/>
      <c r="M32" s="840"/>
      <c r="N32" s="600" t="s">
        <v>1879</v>
      </c>
      <c r="O32" s="377"/>
      <c r="P32" s="365">
        <f>ROUNDUP(O32,2)</f>
        <v>0</v>
      </c>
      <c r="Q32" s="385" t="s">
        <v>1265</v>
      </c>
      <c r="R32" s="515"/>
      <c r="T32" s="388" t="s">
        <v>1850</v>
      </c>
      <c r="U32" s="383" t="s">
        <v>1848</v>
      </c>
      <c r="V32" s="367">
        <f>IF((Values!C4/1000)=0, "", Values!C4/1000)</f>
        <v>0.16619999999999999</v>
      </c>
      <c r="W32" s="367">
        <f>ROUNDUP(V32, 2)</f>
        <v>0.17</v>
      </c>
      <c r="X32" s="387" t="s">
        <v>1856</v>
      </c>
      <c r="AA32" s="367" t="str">
        <f>Auxiliar2!AK28</f>
        <v/>
      </c>
      <c r="AB32" s="367" t="str">
        <f>Auxiliar2!AL28</f>
        <v/>
      </c>
    </row>
    <row r="33" spans="1:28" x14ac:dyDescent="0.2">
      <c r="A33" s="840"/>
      <c r="B33" s="600" t="s">
        <v>1877</v>
      </c>
      <c r="C33" s="377"/>
      <c r="D33" s="365">
        <f>ROUNDUP(C33,2)</f>
        <v>0</v>
      </c>
      <c r="E33" s="385" t="s">
        <v>1262</v>
      </c>
      <c r="F33" s="515"/>
      <c r="G33" s="840"/>
      <c r="H33" s="603" t="s">
        <v>1890</v>
      </c>
      <c r="I33" s="377"/>
      <c r="J33" s="365">
        <f>ROUND(I33/9.81,2)</f>
        <v>0</v>
      </c>
      <c r="K33" s="385" t="s">
        <v>1291</v>
      </c>
      <c r="L33" s="515"/>
      <c r="M33" s="840"/>
      <c r="N33" s="601" t="s">
        <v>1880</v>
      </c>
      <c r="O33" s="377"/>
      <c r="P33" s="365">
        <f>ROUNDUP(O33,2)</f>
        <v>0</v>
      </c>
      <c r="Q33" s="385" t="s">
        <v>1268</v>
      </c>
      <c r="R33" s="515"/>
      <c r="T33" s="388" t="s">
        <v>1736</v>
      </c>
      <c r="U33" s="383" t="s">
        <v>1848</v>
      </c>
      <c r="V33" s="367" t="s">
        <v>1673</v>
      </c>
      <c r="W33" s="367" t="str">
        <f>TRIM(IF(Values!A22="",Values!A20,_xlfn.CONCAT(Values!A20," Rev. ",Values!A22)))</f>
        <v>CB-BR1522553-00-01 Rev. 1</v>
      </c>
      <c r="X33" s="387" t="s">
        <v>1353</v>
      </c>
      <c r="AA33" s="367" t="str">
        <f>Auxiliar2!AK29</f>
        <v/>
      </c>
      <c r="AB33" s="367" t="str">
        <f>Auxiliar2!AL29</f>
        <v/>
      </c>
    </row>
    <row r="34" spans="1:28" x14ac:dyDescent="0.2">
      <c r="A34" s="840"/>
      <c r="B34" s="601" t="s">
        <v>1878</v>
      </c>
      <c r="C34" s="377"/>
      <c r="D34" s="365">
        <f>ROUNDUP(C34,2)</f>
        <v>0</v>
      </c>
      <c r="E34" s="385" t="s">
        <v>1262</v>
      </c>
      <c r="F34" s="515"/>
      <c r="G34" s="840"/>
      <c r="H34" s="376"/>
      <c r="I34" s="377"/>
      <c r="J34" s="370"/>
      <c r="K34" s="385"/>
      <c r="L34" s="515"/>
      <c r="M34" s="840"/>
      <c r="N34" s="376"/>
      <c r="O34" s="377"/>
      <c r="P34" s="365"/>
      <c r="Q34" s="385"/>
      <c r="R34" s="515"/>
      <c r="T34" s="388" t="s">
        <v>1851</v>
      </c>
      <c r="U34" s="383" t="s">
        <v>1848</v>
      </c>
      <c r="V34" s="367">
        <f>IF(Values!C21=0, "", Values!C21)</f>
        <v>0.26846566338003808</v>
      </c>
      <c r="W34" s="367">
        <f>ROUNDUP(V34, 2)</f>
        <v>0.27</v>
      </c>
      <c r="X34" s="387" t="s">
        <v>1855</v>
      </c>
      <c r="AA34" s="367" t="str">
        <f>Auxiliar2!AK30</f>
        <v/>
      </c>
      <c r="AB34" s="367" t="str">
        <f>Auxiliar2!AL30</f>
        <v/>
      </c>
    </row>
    <row r="35" spans="1:28" x14ac:dyDescent="0.2">
      <c r="A35" s="840"/>
      <c r="B35" s="600" t="s">
        <v>1879</v>
      </c>
      <c r="C35" s="377"/>
      <c r="D35" s="365">
        <f>ROUNDUP(C35,1)</f>
        <v>0</v>
      </c>
      <c r="E35" s="385" t="s">
        <v>1265</v>
      </c>
      <c r="F35" s="515"/>
      <c r="G35" s="840"/>
      <c r="H35" s="376"/>
      <c r="I35" s="377"/>
      <c r="J35" s="370"/>
      <c r="K35" s="385"/>
      <c r="L35" s="515"/>
      <c r="M35" s="840"/>
      <c r="N35" s="376"/>
      <c r="O35" s="377"/>
      <c r="P35" s="365"/>
      <c r="Q35" s="385"/>
      <c r="R35" s="515"/>
      <c r="T35" s="388" t="s">
        <v>1737</v>
      </c>
      <c r="U35" s="383" t="s">
        <v>1848</v>
      </c>
      <c r="V35" s="367" t="s">
        <v>1673</v>
      </c>
      <c r="W35" s="367" t="str">
        <f>TRIM(IF(Values!A42="",Values!A40,_xlfn.CONCAT(Values!A40," Rev. ",Values!A42)))</f>
        <v>CB-EF1522540-00-05 Rev. 4</v>
      </c>
      <c r="X35" s="387" t="s">
        <v>1353</v>
      </c>
      <c r="AA35" s="367" t="str">
        <f>Auxiliar2!AK31</f>
        <v/>
      </c>
      <c r="AB35" s="367" t="str">
        <f>Auxiliar2!AL31</f>
        <v/>
      </c>
    </row>
    <row r="36" spans="1:28" x14ac:dyDescent="0.2">
      <c r="A36" s="840"/>
      <c r="B36" s="602" t="s">
        <v>1880</v>
      </c>
      <c r="C36" s="377"/>
      <c r="D36" s="365">
        <f>ROUNDUP(C36,1)</f>
        <v>0</v>
      </c>
      <c r="E36" s="385" t="s">
        <v>1268</v>
      </c>
      <c r="F36" s="515"/>
      <c r="G36" s="840"/>
      <c r="H36" s="376"/>
      <c r="I36" s="377"/>
      <c r="J36" s="370"/>
      <c r="K36" s="385"/>
      <c r="L36" s="515"/>
      <c r="M36" s="840"/>
      <c r="N36" s="380"/>
      <c r="O36" s="377"/>
      <c r="P36" s="370"/>
      <c r="Q36" s="385"/>
      <c r="R36" s="515"/>
      <c r="T36" s="388" t="s">
        <v>1852</v>
      </c>
      <c r="U36" s="383" t="s">
        <v>1848</v>
      </c>
      <c r="V36" s="367">
        <f>IF(Values!C41=0, "", Values!C41)</f>
        <v>1.1716989634970709</v>
      </c>
      <c r="W36" s="367">
        <f>ROUNDUP(V36, 2)</f>
        <v>1.18</v>
      </c>
      <c r="X36" s="387" t="s">
        <v>1855</v>
      </c>
      <c r="AA36" s="367" t="str">
        <f>Auxiliar2!AK32</f>
        <v/>
      </c>
      <c r="AB36" s="367" t="str">
        <f>Auxiliar2!AL32</f>
        <v/>
      </c>
    </row>
    <row r="37" spans="1:28" x14ac:dyDescent="0.2">
      <c r="A37" s="840"/>
      <c r="B37" s="602" t="s">
        <v>1881</v>
      </c>
      <c r="C37" s="377"/>
      <c r="D37" s="370">
        <f>ROUND(C37, 0)</f>
        <v>0</v>
      </c>
      <c r="E37" s="385" t="s">
        <v>1262</v>
      </c>
      <c r="F37" s="515"/>
      <c r="G37" s="840"/>
      <c r="H37" s="375"/>
      <c r="I37" s="375"/>
      <c r="J37" s="367"/>
      <c r="K37" s="386"/>
      <c r="L37" s="515"/>
      <c r="M37" s="840"/>
      <c r="N37" s="375"/>
      <c r="O37" s="375"/>
      <c r="P37" s="367"/>
      <c r="Q37" s="386"/>
      <c r="R37" s="515"/>
      <c r="T37" s="388" t="s">
        <v>1738</v>
      </c>
      <c r="U37" s="383" t="s">
        <v>1848</v>
      </c>
      <c r="V37" s="367" t="s">
        <v>1673</v>
      </c>
      <c r="W37" s="367" t="str">
        <f>TRIM(IF(Values!A53="","xinputx",IF(Values!A55="",Values!A53,_xlfn.CONCAT(Values!A53," Rev. ",Values!A55))))</f>
        <v>xinputx</v>
      </c>
      <c r="X37" s="387" t="s">
        <v>1353</v>
      </c>
      <c r="AA37" s="367" t="str">
        <f>Auxiliar2!AK33</f>
        <v/>
      </c>
      <c r="AB37" s="367" t="str">
        <f>Auxiliar2!AL33</f>
        <v/>
      </c>
    </row>
    <row r="38" spans="1:28" x14ac:dyDescent="0.2">
      <c r="A38" s="840"/>
      <c r="B38" s="602" t="s">
        <v>1882</v>
      </c>
      <c r="C38" s="377"/>
      <c r="D38" s="370">
        <f>ROUND(C38,0)</f>
        <v>0</v>
      </c>
      <c r="E38" s="385" t="s">
        <v>1262</v>
      </c>
      <c r="F38" s="515"/>
      <c r="G38" s="840"/>
      <c r="H38" s="375"/>
      <c r="I38" s="375"/>
      <c r="J38" s="367"/>
      <c r="K38" s="386"/>
      <c r="L38" s="515"/>
      <c r="M38" s="840"/>
      <c r="N38" s="375"/>
      <c r="O38" s="375"/>
      <c r="P38" s="367"/>
      <c r="Q38" s="386"/>
      <c r="R38" s="515"/>
      <c r="T38" s="388" t="s">
        <v>1853</v>
      </c>
      <c r="U38" s="383" t="s">
        <v>1848</v>
      </c>
      <c r="V38" s="367" t="e">
        <f>IF(Values!C54=0, "", Values!C54)</f>
        <v>#DIV/0!</v>
      </c>
      <c r="W38" s="367" t="e">
        <f>ROUNDUP(V38, 2)</f>
        <v>#DIV/0!</v>
      </c>
      <c r="X38" s="387" t="s">
        <v>1855</v>
      </c>
      <c r="AA38" s="367" t="str">
        <f>Auxiliar2!AK34</f>
        <v/>
      </c>
      <c r="AB38" s="367" t="str">
        <f>Auxiliar2!AL34</f>
        <v/>
      </c>
    </row>
    <row r="39" spans="1:28" x14ac:dyDescent="0.2">
      <c r="A39" s="840"/>
      <c r="B39" s="600" t="s">
        <v>1883</v>
      </c>
      <c r="C39" s="377"/>
      <c r="D39" s="370">
        <f>ROUND(C39,2)</f>
        <v>0</v>
      </c>
      <c r="E39" s="385" t="s">
        <v>1262</v>
      </c>
      <c r="F39" s="515"/>
      <c r="G39" s="840"/>
      <c r="H39" s="375"/>
      <c r="I39" s="375"/>
      <c r="J39" s="367"/>
      <c r="K39" s="386"/>
      <c r="L39" s="515"/>
      <c r="M39" s="840"/>
      <c r="N39" s="375"/>
      <c r="O39" s="375"/>
      <c r="P39" s="367"/>
      <c r="Q39" s="386"/>
      <c r="R39" s="515"/>
      <c r="T39" s="388" t="s">
        <v>1739</v>
      </c>
      <c r="U39" s="383" t="s">
        <v>1848</v>
      </c>
      <c r="V39" s="367" t="s">
        <v>1673</v>
      </c>
      <c r="W39" s="367" t="str">
        <f>TRIM(IF(AND('MCV e Guindaste'!B4=0,'MCV e Guindaste'!B5=0),"xinputx",IF('MCV e Guindaste'!B4="",'MCV e Guindaste'!B5,IF('MCV e Guindaste'!B5="",'MCV e Guindaste'!B4,_xlfn.CONCAT('MCV e Guindaste'!B5," / ",'MCV e Guindaste'!B4)))))</f>
        <v>TechnipFMC / D</v>
      </c>
      <c r="X39" s="387" t="s">
        <v>1353</v>
      </c>
      <c r="AA39" s="367" t="str">
        <f>Auxiliar2!AK35</f>
        <v/>
      </c>
      <c r="AB39" s="367" t="str">
        <f>Auxiliar2!AL35</f>
        <v/>
      </c>
    </row>
    <row r="40" spans="1:28" x14ac:dyDescent="0.2">
      <c r="A40" s="840"/>
      <c r="B40" s="600" t="s">
        <v>1884</v>
      </c>
      <c r="C40" s="377"/>
      <c r="D40" s="370">
        <f>ROUND(C40,0)</f>
        <v>0</v>
      </c>
      <c r="E40" s="385" t="s">
        <v>1262</v>
      </c>
      <c r="F40" s="515"/>
      <c r="G40" s="840"/>
      <c r="H40" s="375"/>
      <c r="I40" s="375"/>
      <c r="J40" s="367"/>
      <c r="K40" s="386"/>
      <c r="L40" s="515"/>
      <c r="M40" s="840"/>
      <c r="N40" s="375"/>
      <c r="O40" s="375"/>
      <c r="P40" s="367"/>
      <c r="Q40" s="386"/>
      <c r="R40" s="515"/>
      <c r="T40" s="388" t="s">
        <v>1854</v>
      </c>
      <c r="U40" s="383" t="s">
        <v>1848</v>
      </c>
      <c r="V40" s="367">
        <f>'MCV e Guindaste'!C18/1000</f>
        <v>5.0430000000000001</v>
      </c>
      <c r="W40" s="367">
        <f>ROUNDUP(V40, 2)</f>
        <v>5.05</v>
      </c>
      <c r="X40" s="387" t="s">
        <v>1855</v>
      </c>
      <c r="AA40" s="367" t="str">
        <f>Auxiliar2!AK36</f>
        <v/>
      </c>
      <c r="AB40" s="367" t="str">
        <f>Auxiliar2!AL36</f>
        <v/>
      </c>
    </row>
    <row r="41" spans="1:28" x14ac:dyDescent="0.2">
      <c r="A41" s="840"/>
      <c r="B41" s="600" t="s">
        <v>1885</v>
      </c>
      <c r="C41" s="377"/>
      <c r="D41" s="370">
        <f>ROUND(C41,0)</f>
        <v>0</v>
      </c>
      <c r="E41" s="385" t="s">
        <v>1262</v>
      </c>
      <c r="F41" s="515"/>
      <c r="G41" s="840"/>
      <c r="H41" s="375"/>
      <c r="I41" s="375"/>
      <c r="J41" s="367"/>
      <c r="K41" s="386"/>
      <c r="L41" s="515"/>
      <c r="M41" s="840"/>
      <c r="N41" s="375"/>
      <c r="O41" s="375"/>
      <c r="P41" s="367"/>
      <c r="Q41" s="386"/>
      <c r="R41" s="515"/>
      <c r="T41" s="383" t="s">
        <v>1598</v>
      </c>
      <c r="U41" s="383" t="s">
        <v>404</v>
      </c>
      <c r="V41" s="367" t="s">
        <v>1673</v>
      </c>
      <c r="W41" s="368">
        <f>postproc_orcaflex_version</f>
        <v>0</v>
      </c>
      <c r="X41" s="387" t="s">
        <v>1353</v>
      </c>
      <c r="AA41" s="367" t="str">
        <f>Auxiliar2!AK37</f>
        <v/>
      </c>
      <c r="AB41" s="367" t="str">
        <f>Auxiliar2!AL37</f>
        <v/>
      </c>
    </row>
    <row r="42" spans="1:28" x14ac:dyDescent="0.2">
      <c r="A42" s="840"/>
      <c r="B42" s="600" t="s">
        <v>464</v>
      </c>
      <c r="C42" s="375"/>
      <c r="D42" s="370">
        <f t="shared" ref="D42:D43" si="3">ROUND(C42,2)</f>
        <v>0</v>
      </c>
      <c r="E42" s="387" t="s">
        <v>1262</v>
      </c>
      <c r="F42" s="515"/>
      <c r="G42" s="840"/>
      <c r="H42" s="375"/>
      <c r="I42" s="375"/>
      <c r="J42" s="367"/>
      <c r="K42" s="386"/>
      <c r="L42" s="515"/>
      <c r="M42" s="840"/>
      <c r="N42" s="375"/>
      <c r="O42" s="375"/>
      <c r="P42" s="367"/>
      <c r="Q42" s="386"/>
      <c r="R42" s="515"/>
      <c r="T42" s="388" t="s">
        <v>1891</v>
      </c>
      <c r="U42" s="383" t="s">
        <v>404</v>
      </c>
      <c r="V42" s="367" t="s">
        <v>1673</v>
      </c>
      <c r="W42" s="367">
        <f>MIN(case2_est_mbr_linha, case3i_din_mbr_linha)</f>
        <v>0</v>
      </c>
      <c r="X42" s="385" t="s">
        <v>1262</v>
      </c>
      <c r="AA42" s="367" t="str">
        <f>Auxiliar2!AK38</f>
        <v/>
      </c>
      <c r="AB42" s="367" t="str">
        <f>Auxiliar2!AL38</f>
        <v/>
      </c>
    </row>
    <row r="43" spans="1:28" x14ac:dyDescent="0.2">
      <c r="A43" s="840"/>
      <c r="B43" s="600" t="s">
        <v>463</v>
      </c>
      <c r="C43" s="375"/>
      <c r="D43" s="370">
        <f t="shared" si="3"/>
        <v>0</v>
      </c>
      <c r="E43" s="387" t="s">
        <v>1262</v>
      </c>
      <c r="F43" s="515"/>
      <c r="G43" s="840"/>
      <c r="H43" s="375"/>
      <c r="I43" s="375"/>
      <c r="J43" s="367"/>
      <c r="K43" s="386"/>
      <c r="L43" s="515"/>
      <c r="M43" s="840"/>
      <c r="N43" s="375"/>
      <c r="O43" s="375"/>
      <c r="P43" s="367"/>
      <c r="Q43" s="386"/>
      <c r="R43" s="515"/>
      <c r="T43" s="388" t="s">
        <v>1892</v>
      </c>
      <c r="U43" s="383" t="s">
        <v>404</v>
      </c>
      <c r="V43" s="367" t="s">
        <v>1673</v>
      </c>
      <c r="W43" s="367">
        <f>MIN(case2_est_mbr_vert, case3i_din_mbr_vert)</f>
        <v>0</v>
      </c>
      <c r="X43" s="385" t="s">
        <v>1262</v>
      </c>
      <c r="AA43" s="367" t="str">
        <f>Auxiliar2!AK39</f>
        <v/>
      </c>
      <c r="AB43" s="367" t="str">
        <f>Auxiliar2!AL39</f>
        <v/>
      </c>
    </row>
    <row r="44" spans="1:28" x14ac:dyDescent="0.2">
      <c r="A44" s="840"/>
      <c r="B44" s="374"/>
      <c r="C44" s="375"/>
      <c r="D44" s="367"/>
      <c r="E44" s="387"/>
      <c r="F44" s="515"/>
      <c r="G44" s="840"/>
      <c r="H44" s="375"/>
      <c r="I44" s="375"/>
      <c r="J44" s="367"/>
      <c r="K44" s="386"/>
      <c r="L44" s="515"/>
      <c r="M44" s="840"/>
      <c r="N44" s="375"/>
      <c r="O44" s="375"/>
      <c r="P44" s="367"/>
      <c r="Q44" s="386"/>
      <c r="R44" s="515"/>
      <c r="T44" s="388" t="s">
        <v>1751</v>
      </c>
      <c r="U44" s="383" t="s">
        <v>404</v>
      </c>
      <c r="V44" s="367" t="s">
        <v>1673</v>
      </c>
      <c r="W44" s="367">
        <f>SUM(Data!AA6:AA55)</f>
        <v>0</v>
      </c>
      <c r="X44" s="385" t="s">
        <v>1295</v>
      </c>
      <c r="AA44" s="367" t="str">
        <f>Auxiliar2!AK40</f>
        <v/>
      </c>
      <c r="AB44" s="367" t="str">
        <f>Auxiliar2!AL40</f>
        <v/>
      </c>
    </row>
    <row r="45" spans="1:28" x14ac:dyDescent="0.2">
      <c r="A45" s="840"/>
      <c r="B45" s="374"/>
      <c r="C45" s="375"/>
      <c r="D45" s="367"/>
      <c r="E45" s="387"/>
      <c r="F45" s="515"/>
      <c r="G45" s="840"/>
      <c r="H45" s="375"/>
      <c r="I45" s="375"/>
      <c r="J45" s="367"/>
      <c r="K45" s="386"/>
      <c r="L45" s="515"/>
      <c r="M45" s="840"/>
      <c r="N45" s="375"/>
      <c r="O45" s="375"/>
      <c r="P45" s="367"/>
      <c r="Q45" s="386"/>
      <c r="R45" s="515"/>
      <c r="T45" s="385" t="s">
        <v>1301</v>
      </c>
      <c r="U45" s="383" t="s">
        <v>404</v>
      </c>
      <c r="V45" s="367" t="s">
        <v>1673</v>
      </c>
      <c r="W45" s="367">
        <f>COUNT(Data!AB6:AB55)</f>
        <v>0</v>
      </c>
      <c r="X45" s="385" t="s">
        <v>1353</v>
      </c>
      <c r="AA45" s="367" t="str">
        <f>Auxiliar2!AK41</f>
        <v/>
      </c>
      <c r="AB45" s="367" t="str">
        <f>Auxiliar2!AL41</f>
        <v/>
      </c>
    </row>
    <row r="46" spans="1:28" x14ac:dyDescent="0.2">
      <c r="A46" s="840"/>
      <c r="B46" s="374"/>
      <c r="C46" s="375"/>
      <c r="D46" s="367"/>
      <c r="E46" s="387"/>
      <c r="F46" s="515"/>
      <c r="G46" s="840"/>
      <c r="H46" s="375"/>
      <c r="I46" s="375"/>
      <c r="J46" s="367"/>
      <c r="K46" s="386"/>
      <c r="L46" s="515"/>
      <c r="M46" s="840"/>
      <c r="N46" s="375"/>
      <c r="O46" s="375"/>
      <c r="P46" s="367"/>
      <c r="Q46" s="386"/>
      <c r="R46" s="515"/>
      <c r="T46" s="385" t="s">
        <v>1302</v>
      </c>
      <c r="U46" s="383" t="s">
        <v>404</v>
      </c>
      <c r="V46" s="367" t="s">
        <v>1673</v>
      </c>
      <c r="W46" s="367" cm="1">
        <f t="array" ref="W46">IF(ISNUMBER(INDEX(Data!AB6:AB55,MATCH(TRUE,ISNUMBER(Data!AB6:AB55),0))),INDEX(Data!AB6:AB55,MATCH(TRUE,ISNUMBER(Data!AB6:AB55),0)),0)</f>
        <v>0</v>
      </c>
      <c r="X46" s="385" t="s">
        <v>1262</v>
      </c>
      <c r="AA46" s="367" t="str">
        <f>Auxiliar2!AK42</f>
        <v/>
      </c>
      <c r="AB46" s="367" t="str">
        <f>Auxiliar2!AL42</f>
        <v/>
      </c>
    </row>
    <row r="47" spans="1:28" x14ac:dyDescent="0.2">
      <c r="A47" s="840"/>
      <c r="B47" s="374"/>
      <c r="C47" s="375"/>
      <c r="D47" s="367"/>
      <c r="E47" s="387"/>
      <c r="F47" s="515"/>
      <c r="G47" s="840"/>
      <c r="H47" s="375"/>
      <c r="I47" s="375"/>
      <c r="J47" s="367"/>
      <c r="K47" s="386"/>
      <c r="L47" s="515"/>
      <c r="M47" s="840"/>
      <c r="N47" s="375"/>
      <c r="O47" s="375"/>
      <c r="P47" s="367"/>
      <c r="Q47" s="386"/>
      <c r="R47" s="515"/>
      <c r="T47" s="388" t="s">
        <v>1847</v>
      </c>
      <c r="U47" s="383" t="s">
        <v>404</v>
      </c>
      <c r="V47" s="367" t="s">
        <v>1673</v>
      </c>
      <c r="W47" s="367" t="str">
        <f>Auxiliar2!$Z$2</f>
        <v>Boia</v>
      </c>
      <c r="X47" s="385" t="s">
        <v>1353</v>
      </c>
      <c r="AA47" s="367" t="str">
        <f>Auxiliar2!AK43</f>
        <v/>
      </c>
      <c r="AB47" s="367" t="str">
        <f>Auxiliar2!AL43</f>
        <v/>
      </c>
    </row>
    <row r="48" spans="1:28" x14ac:dyDescent="0.2">
      <c r="A48" s="840"/>
      <c r="B48" s="374"/>
      <c r="C48" s="375"/>
      <c r="D48" s="367"/>
      <c r="E48" s="387"/>
      <c r="F48" s="515"/>
      <c r="G48" s="840"/>
      <c r="H48" s="375"/>
      <c r="I48" s="375"/>
      <c r="J48" s="367"/>
      <c r="K48" s="386"/>
      <c r="L48" s="515"/>
      <c r="M48" s="840"/>
      <c r="N48" s="375"/>
      <c r="O48" s="375"/>
      <c r="P48" s="367"/>
      <c r="Q48" s="386"/>
      <c r="R48" s="515"/>
      <c r="AA48" s="367" t="str">
        <f>Auxiliar2!AK44</f>
        <v/>
      </c>
      <c r="AB48" s="367" t="str">
        <f>Auxiliar2!AL44</f>
        <v/>
      </c>
    </row>
    <row r="49" spans="1:28" x14ac:dyDescent="0.2">
      <c r="A49" s="840"/>
      <c r="B49" s="374"/>
      <c r="C49" s="375"/>
      <c r="D49" s="367"/>
      <c r="E49" s="387"/>
      <c r="F49" s="515"/>
      <c r="G49" s="840"/>
      <c r="H49" s="375"/>
      <c r="I49" s="375"/>
      <c r="J49" s="367"/>
      <c r="K49" s="386"/>
      <c r="L49" s="515"/>
      <c r="M49" s="840"/>
      <c r="N49" s="375"/>
      <c r="O49" s="375"/>
      <c r="P49" s="367"/>
      <c r="Q49" s="386"/>
      <c r="R49" s="515"/>
      <c r="T49" s="519" t="s">
        <v>1748</v>
      </c>
      <c r="V49" s="389" t="s">
        <v>1747</v>
      </c>
      <c r="X49" s="549" t="s">
        <v>1770</v>
      </c>
      <c r="AA49" s="367" t="str">
        <f>Auxiliar2!AK45</f>
        <v/>
      </c>
      <c r="AB49" s="367" t="str">
        <f>Auxiliar2!AL45</f>
        <v/>
      </c>
    </row>
    <row r="50" spans="1:28" x14ac:dyDescent="0.2">
      <c r="A50" s="840"/>
      <c r="B50" s="374"/>
      <c r="C50" s="375"/>
      <c r="D50" s="367"/>
      <c r="E50" s="387"/>
      <c r="F50" s="515"/>
      <c r="G50" s="840"/>
      <c r="H50" s="375"/>
      <c r="I50" s="375"/>
      <c r="J50" s="367"/>
      <c r="K50" s="386"/>
      <c r="L50" s="515"/>
      <c r="M50" s="840"/>
      <c r="N50" s="375"/>
      <c r="O50" s="375"/>
      <c r="P50" s="367"/>
      <c r="Q50" s="386"/>
      <c r="R50" s="515"/>
      <c r="T50" s="388" t="s">
        <v>1778</v>
      </c>
      <c r="V50" s="356" t="s">
        <v>1303</v>
      </c>
      <c r="X50" s="553">
        <v>1</v>
      </c>
      <c r="AA50" s="367" t="str">
        <f>Auxiliar2!AK46</f>
        <v/>
      </c>
      <c r="AB50" s="367" t="str">
        <f>Auxiliar2!AL46</f>
        <v/>
      </c>
    </row>
    <row r="51" spans="1:28" x14ac:dyDescent="0.2">
      <c r="A51" s="840"/>
      <c r="B51" s="374"/>
      <c r="C51" s="375"/>
      <c r="D51" s="367"/>
      <c r="E51" s="387"/>
      <c r="F51" s="515"/>
      <c r="G51" s="840"/>
      <c r="H51" s="375"/>
      <c r="I51" s="375"/>
      <c r="J51" s="367"/>
      <c r="K51" s="386"/>
      <c r="L51" s="515"/>
      <c r="M51" s="840"/>
      <c r="N51" s="375"/>
      <c r="O51" s="375"/>
      <c r="P51" s="367"/>
      <c r="Q51" s="386"/>
      <c r="R51" s="515"/>
      <c r="T51" s="388" t="s">
        <v>1779</v>
      </c>
      <c r="V51" s="356" t="s">
        <v>1304</v>
      </c>
      <c r="AA51" s="367" t="str">
        <f>Auxiliar2!AK47</f>
        <v/>
      </c>
      <c r="AB51" s="367" t="str">
        <f>Auxiliar2!AL47</f>
        <v/>
      </c>
    </row>
    <row r="52" spans="1:28" x14ac:dyDescent="0.2">
      <c r="A52" s="840"/>
      <c r="B52" s="374"/>
      <c r="C52" s="375"/>
      <c r="D52" s="367"/>
      <c r="E52" s="387"/>
      <c r="F52" s="515"/>
      <c r="G52" s="840"/>
      <c r="H52" s="375"/>
      <c r="I52" s="375"/>
      <c r="J52" s="367"/>
      <c r="K52" s="386"/>
      <c r="L52" s="515"/>
      <c r="M52" s="840"/>
      <c r="N52" s="375"/>
      <c r="O52" s="375"/>
      <c r="P52" s="367"/>
      <c r="Q52" s="386"/>
      <c r="R52" s="515"/>
      <c r="T52" s="388" t="s">
        <v>1749</v>
      </c>
      <c r="V52" s="356" t="s">
        <v>1305</v>
      </c>
      <c r="AA52" s="367" t="str">
        <f>Auxiliar2!AK48</f>
        <v/>
      </c>
      <c r="AB52" s="367" t="str">
        <f>Auxiliar2!AL48</f>
        <v/>
      </c>
    </row>
    <row r="53" spans="1:28" x14ac:dyDescent="0.2">
      <c r="A53" s="840"/>
      <c r="B53" s="374"/>
      <c r="C53" s="375"/>
      <c r="D53" s="367"/>
      <c r="E53" s="387"/>
      <c r="F53" s="515"/>
      <c r="G53" s="840"/>
      <c r="H53" s="375"/>
      <c r="I53" s="375"/>
      <c r="J53" s="367"/>
      <c r="K53" s="386"/>
      <c r="L53" s="515"/>
      <c r="M53" s="840"/>
      <c r="N53" s="375"/>
      <c r="O53" s="375"/>
      <c r="P53" s="367"/>
      <c r="Q53" s="386"/>
      <c r="R53" s="515"/>
      <c r="T53" s="388" t="s">
        <v>2188</v>
      </c>
      <c r="V53" s="356" t="s">
        <v>1306</v>
      </c>
      <c r="AA53" s="367" t="str">
        <f>Auxiliar2!AK49</f>
        <v/>
      </c>
      <c r="AB53" s="367" t="str">
        <f>Auxiliar2!AL49</f>
        <v/>
      </c>
    </row>
    <row r="54" spans="1:28" x14ac:dyDescent="0.2">
      <c r="A54" s="840"/>
      <c r="B54" s="374"/>
      <c r="C54" s="375"/>
      <c r="D54" s="367"/>
      <c r="E54" s="387"/>
      <c r="F54" s="515"/>
      <c r="G54" s="840"/>
      <c r="H54" s="375"/>
      <c r="I54" s="375"/>
      <c r="J54" s="367"/>
      <c r="K54" s="386"/>
      <c r="L54" s="515"/>
      <c r="M54" s="840"/>
      <c r="N54" s="375"/>
      <c r="O54" s="375"/>
      <c r="P54" s="367"/>
      <c r="Q54" s="386"/>
      <c r="R54" s="515"/>
      <c r="T54" s="388" t="s">
        <v>2187</v>
      </c>
      <c r="V54" s="356" t="s">
        <v>1307</v>
      </c>
      <c r="AA54" s="367" t="str">
        <f>Auxiliar2!AK50</f>
        <v/>
      </c>
      <c r="AB54" s="367" t="str">
        <f>Auxiliar2!AL50</f>
        <v/>
      </c>
    </row>
    <row r="55" spans="1:28" x14ac:dyDescent="0.2">
      <c r="A55" s="840"/>
      <c r="B55" s="374"/>
      <c r="C55" s="375"/>
      <c r="D55" s="367"/>
      <c r="E55" s="387"/>
      <c r="F55" s="515"/>
      <c r="G55" s="840"/>
      <c r="H55" s="375"/>
      <c r="I55" s="375"/>
      <c r="J55" s="367"/>
      <c r="K55" s="386"/>
      <c r="L55" s="515"/>
      <c r="M55" s="840"/>
      <c r="N55" s="375"/>
      <c r="O55" s="375"/>
      <c r="P55" s="367"/>
      <c r="Q55" s="386"/>
      <c r="R55" s="515"/>
      <c r="T55" s="388" t="s">
        <v>2189</v>
      </c>
      <c r="V55" s="356" t="s">
        <v>1308</v>
      </c>
      <c r="AA55" s="367" t="str">
        <f>Auxiliar2!AK51</f>
        <v/>
      </c>
      <c r="AB55" s="367" t="str">
        <f>Auxiliar2!AL51</f>
        <v/>
      </c>
    </row>
    <row r="56" spans="1:28" x14ac:dyDescent="0.2">
      <c r="T56" s="388" t="s">
        <v>1335</v>
      </c>
      <c r="V56" s="356" t="s">
        <v>1309</v>
      </c>
    </row>
    <row r="57" spans="1:28" x14ac:dyDescent="0.2">
      <c r="T57" s="388" t="s">
        <v>1336</v>
      </c>
    </row>
    <row r="58" spans="1:28" x14ac:dyDescent="0.2">
      <c r="B58" s="838" t="s">
        <v>1293</v>
      </c>
      <c r="C58" s="838"/>
      <c r="D58" s="838"/>
      <c r="E58" s="838"/>
      <c r="H58" s="838" t="s">
        <v>1296</v>
      </c>
      <c r="I58" s="838"/>
      <c r="J58" s="838"/>
      <c r="K58" s="838"/>
      <c r="N58" s="838" t="s">
        <v>1679</v>
      </c>
      <c r="O58" s="838"/>
      <c r="P58" s="838"/>
      <c r="Q58" s="838"/>
    </row>
    <row r="59" spans="1:28" ht="25.5" x14ac:dyDescent="0.2">
      <c r="B59" s="362" t="s">
        <v>1676</v>
      </c>
      <c r="C59" s="362" t="s">
        <v>1677</v>
      </c>
      <c r="D59" s="362" t="s">
        <v>1678</v>
      </c>
      <c r="E59" s="362" t="s">
        <v>1427</v>
      </c>
      <c r="H59" s="362" t="s">
        <v>1676</v>
      </c>
      <c r="I59" s="362" t="s">
        <v>1677</v>
      </c>
      <c r="J59" s="362" t="s">
        <v>1678</v>
      </c>
      <c r="K59" s="362" t="s">
        <v>1427</v>
      </c>
      <c r="N59" s="362" t="s">
        <v>1676</v>
      </c>
      <c r="O59" s="362" t="s">
        <v>1677</v>
      </c>
      <c r="P59" s="362" t="s">
        <v>1678</v>
      </c>
      <c r="Q59" s="362" t="s">
        <v>1427</v>
      </c>
    </row>
    <row r="60" spans="1:28" ht="12.75" customHeight="1" x14ac:dyDescent="0.2">
      <c r="A60" s="835" t="s">
        <v>1675</v>
      </c>
      <c r="B60" s="366" t="s">
        <v>1698</v>
      </c>
      <c r="C60" s="365">
        <f>Auxiliar3!X4</f>
        <v>0</v>
      </c>
      <c r="D60" s="370">
        <f>ROUND(C60,2)</f>
        <v>0</v>
      </c>
      <c r="E60" s="385" t="s">
        <v>1262</v>
      </c>
      <c r="F60" s="517"/>
      <c r="G60" s="835" t="s">
        <v>1675</v>
      </c>
      <c r="H60" s="366" t="s">
        <v>1893</v>
      </c>
      <c r="I60" s="365">
        <f>Auxiliar4!X4</f>
        <v>0</v>
      </c>
      <c r="J60" s="370">
        <f>ROUND(I60,2)</f>
        <v>0</v>
      </c>
      <c r="K60" s="385" t="s">
        <v>1262</v>
      </c>
      <c r="L60" s="517"/>
      <c r="M60" s="835" t="s">
        <v>1675</v>
      </c>
      <c r="N60" s="364" t="s">
        <v>1903</v>
      </c>
      <c r="O60" s="367">
        <f>hmax_arclength_line_endb - hmax_arclength_line_touchdown</f>
        <v>0</v>
      </c>
      <c r="P60" s="367" t="str">
        <f t="shared" ref="P60:P65" si="4">IF(estudo_cvd_type=2, ROUND(O60, 2), "")</f>
        <v/>
      </c>
      <c r="Q60" s="387" t="s">
        <v>1262</v>
      </c>
      <c r="R60" s="517"/>
    </row>
    <row r="61" spans="1:28" x14ac:dyDescent="0.2">
      <c r="A61" s="836"/>
      <c r="B61" s="366" t="s">
        <v>1294</v>
      </c>
      <c r="C61" s="365">
        <f>Auxiliar3!X6</f>
        <v>0</v>
      </c>
      <c r="D61" s="370">
        <f>ROUND(C61,2)</f>
        <v>0</v>
      </c>
      <c r="E61" s="385" t="s">
        <v>1295</v>
      </c>
      <c r="F61" s="517"/>
      <c r="G61" s="836"/>
      <c r="H61" s="366" t="s">
        <v>1294</v>
      </c>
      <c r="I61" s="365">
        <f>Auxiliar4!X6</f>
        <v>0</v>
      </c>
      <c r="J61" s="370">
        <f>ROUND(I61,2)</f>
        <v>0</v>
      </c>
      <c r="K61" s="385" t="s">
        <v>1295</v>
      </c>
      <c r="L61" s="517"/>
      <c r="M61" s="836"/>
      <c r="N61" s="364" t="s">
        <v>1894</v>
      </c>
      <c r="O61" s="367">
        <f>hmax_z_line_endb + case2_est_lda</f>
        <v>0</v>
      </c>
      <c r="P61" s="367" t="str">
        <f t="shared" si="4"/>
        <v/>
      </c>
      <c r="Q61" s="387" t="s">
        <v>1262</v>
      </c>
      <c r="R61" s="517"/>
    </row>
    <row r="62" spans="1:28" x14ac:dyDescent="0.2">
      <c r="A62" s="836"/>
      <c r="B62" s="364"/>
      <c r="C62" s="367"/>
      <c r="D62" s="367"/>
      <c r="E62" s="387"/>
      <c r="F62" s="517"/>
      <c r="G62" s="836"/>
      <c r="H62" s="364"/>
      <c r="I62" s="367"/>
      <c r="J62" s="367"/>
      <c r="K62" s="387"/>
      <c r="L62" s="517"/>
      <c r="M62" s="836"/>
      <c r="N62" s="364" t="s">
        <v>1895</v>
      </c>
      <c r="O62" s="367">
        <f>hmax_x_line_touchdown - hmax_x_line_endb</f>
        <v>0</v>
      </c>
      <c r="P62" s="367" t="str">
        <f t="shared" si="4"/>
        <v/>
      </c>
      <c r="Q62" s="387" t="s">
        <v>1262</v>
      </c>
      <c r="R62" s="517"/>
    </row>
    <row r="63" spans="1:28" x14ac:dyDescent="0.2">
      <c r="A63" s="836"/>
      <c r="B63" s="364"/>
      <c r="C63" s="367"/>
      <c r="D63" s="367"/>
      <c r="E63" s="387"/>
      <c r="F63" s="517"/>
      <c r="G63" s="836"/>
      <c r="H63" s="364"/>
      <c r="I63" s="367"/>
      <c r="J63" s="367"/>
      <c r="K63" s="387"/>
      <c r="L63" s="517"/>
      <c r="M63" s="836"/>
      <c r="N63" s="364" t="s">
        <v>1896</v>
      </c>
      <c r="O63" s="367">
        <f>hmax_arclength_line_endb - case2_est_position_corc1</f>
        <v>0</v>
      </c>
      <c r="P63" s="367" t="str">
        <f t="shared" si="4"/>
        <v/>
      </c>
      <c r="Q63" s="387"/>
      <c r="R63" s="517"/>
    </row>
    <row r="64" spans="1:28" x14ac:dyDescent="0.2">
      <c r="A64" s="836"/>
      <c r="B64" s="364"/>
      <c r="C64" s="367"/>
      <c r="D64" s="367"/>
      <c r="E64" s="387"/>
      <c r="F64" s="517"/>
      <c r="G64" s="836"/>
      <c r="H64" s="364"/>
      <c r="I64" s="367"/>
      <c r="J64" s="367"/>
      <c r="K64" s="387"/>
      <c r="L64" s="517"/>
      <c r="M64" s="836"/>
      <c r="N64" s="364" t="s">
        <v>1897</v>
      </c>
      <c r="O64" s="367">
        <f>hmax_arclength_line_endb - case2_est_position_corc2</f>
        <v>0</v>
      </c>
      <c r="P64" s="367" t="str">
        <f t="shared" si="4"/>
        <v/>
      </c>
      <c r="Q64" s="387"/>
      <c r="R64" s="517"/>
    </row>
    <row r="65" spans="1:18" x14ac:dyDescent="0.2">
      <c r="A65" s="836"/>
      <c r="B65" s="364"/>
      <c r="C65" s="367"/>
      <c r="D65" s="367"/>
      <c r="E65" s="387"/>
      <c r="F65" s="517"/>
      <c r="G65" s="836"/>
      <c r="H65" s="364"/>
      <c r="I65" s="367"/>
      <c r="J65" s="367"/>
      <c r="K65" s="387"/>
      <c r="L65" s="517"/>
      <c r="M65" s="836"/>
      <c r="N65" s="364" t="s">
        <v>1252</v>
      </c>
      <c r="O65" s="367" t="e">
        <f>hmax_comp_susp - hmax_dist_tdp_flange</f>
        <v>#VALUE!</v>
      </c>
      <c r="P65" s="367" t="str">
        <f t="shared" si="4"/>
        <v/>
      </c>
      <c r="Q65" s="387" t="s">
        <v>1262</v>
      </c>
      <c r="R65" s="517"/>
    </row>
    <row r="66" spans="1:18" x14ac:dyDescent="0.2">
      <c r="A66" s="836"/>
      <c r="B66" s="364"/>
      <c r="C66" s="367"/>
      <c r="D66" s="367"/>
      <c r="E66" s="387"/>
      <c r="F66" s="517"/>
      <c r="G66" s="836"/>
      <c r="H66" s="364"/>
      <c r="I66" s="367"/>
      <c r="J66" s="367"/>
      <c r="K66" s="387"/>
      <c r="L66" s="517"/>
      <c r="M66" s="836"/>
      <c r="N66" s="364"/>
      <c r="O66" s="367"/>
      <c r="P66" s="367"/>
      <c r="Q66" s="387"/>
      <c r="R66" s="517"/>
    </row>
    <row r="67" spans="1:18" x14ac:dyDescent="0.2">
      <c r="A67" s="836"/>
      <c r="B67" s="364"/>
      <c r="C67" s="367"/>
      <c r="D67" s="367"/>
      <c r="E67" s="387"/>
      <c r="F67" s="517"/>
      <c r="G67" s="836"/>
      <c r="H67" s="364"/>
      <c r="I67" s="367"/>
      <c r="J67" s="367"/>
      <c r="K67" s="387"/>
      <c r="L67" s="517"/>
      <c r="M67" s="836"/>
      <c r="N67" s="364"/>
      <c r="O67" s="367"/>
      <c r="P67" s="367"/>
      <c r="Q67" s="387"/>
      <c r="R67" s="517"/>
    </row>
    <row r="68" spans="1:18" x14ac:dyDescent="0.2">
      <c r="A68" s="836"/>
      <c r="B68" s="364"/>
      <c r="C68" s="367"/>
      <c r="D68" s="367"/>
      <c r="E68" s="387"/>
      <c r="F68" s="517"/>
      <c r="G68" s="836"/>
      <c r="H68" s="364"/>
      <c r="I68" s="367"/>
      <c r="J68" s="367"/>
      <c r="K68" s="387"/>
      <c r="L68" s="517"/>
      <c r="M68" s="836"/>
      <c r="N68" s="364"/>
      <c r="O68" s="367"/>
      <c r="P68" s="367"/>
      <c r="Q68" s="387"/>
      <c r="R68" s="517"/>
    </row>
    <row r="69" spans="1:18" x14ac:dyDescent="0.2">
      <c r="A69" s="836"/>
      <c r="B69" s="364"/>
      <c r="C69" s="367"/>
      <c r="D69" s="367"/>
      <c r="E69" s="387"/>
      <c r="F69" s="517"/>
      <c r="G69" s="836"/>
      <c r="H69" s="364"/>
      <c r="I69" s="367"/>
      <c r="J69" s="367"/>
      <c r="K69" s="387"/>
      <c r="L69" s="517"/>
      <c r="M69" s="836"/>
      <c r="N69" s="364"/>
      <c r="O69" s="367"/>
      <c r="P69" s="367"/>
      <c r="Q69" s="387"/>
      <c r="R69" s="517"/>
    </row>
    <row r="70" spans="1:18" x14ac:dyDescent="0.2">
      <c r="A70" s="836"/>
      <c r="B70" s="364"/>
      <c r="C70" s="367"/>
      <c r="D70" s="367"/>
      <c r="E70" s="387"/>
      <c r="F70" s="517"/>
      <c r="G70" s="836"/>
      <c r="H70" s="364"/>
      <c r="I70" s="367"/>
      <c r="J70" s="367"/>
      <c r="K70" s="387"/>
      <c r="L70" s="517"/>
      <c r="M70" s="836"/>
      <c r="N70" s="364"/>
      <c r="O70" s="367"/>
      <c r="P70" s="367"/>
      <c r="Q70" s="387"/>
      <c r="R70" s="517"/>
    </row>
    <row r="71" spans="1:18" x14ac:dyDescent="0.2">
      <c r="A71" s="836"/>
      <c r="B71" s="364"/>
      <c r="C71" s="367"/>
      <c r="D71" s="367"/>
      <c r="E71" s="387"/>
      <c r="F71" s="517"/>
      <c r="G71" s="836"/>
      <c r="H71" s="364"/>
      <c r="I71" s="367"/>
      <c r="J71" s="367"/>
      <c r="K71" s="387"/>
      <c r="L71" s="517"/>
      <c r="M71" s="836"/>
      <c r="N71" s="364"/>
      <c r="O71" s="367"/>
      <c r="P71" s="367"/>
      <c r="Q71" s="387"/>
      <c r="R71" s="517"/>
    </row>
    <row r="72" spans="1:18" x14ac:dyDescent="0.2">
      <c r="A72" s="836"/>
      <c r="B72" s="364"/>
      <c r="C72" s="367"/>
      <c r="D72" s="367"/>
      <c r="E72" s="387"/>
      <c r="F72" s="517"/>
      <c r="G72" s="836"/>
      <c r="H72" s="364"/>
      <c r="I72" s="367"/>
      <c r="J72" s="367"/>
      <c r="K72" s="387"/>
      <c r="L72" s="517"/>
      <c r="M72" s="836"/>
      <c r="N72" s="364"/>
      <c r="O72" s="367"/>
      <c r="P72" s="367"/>
      <c r="Q72" s="387"/>
      <c r="R72" s="517"/>
    </row>
    <row r="73" spans="1:18" x14ac:dyDescent="0.2">
      <c r="A73" s="836"/>
      <c r="B73" s="364"/>
      <c r="C73" s="367"/>
      <c r="D73" s="367"/>
      <c r="E73" s="387"/>
      <c r="F73" s="517"/>
      <c r="G73" s="836"/>
      <c r="H73" s="364"/>
      <c r="I73" s="367"/>
      <c r="J73" s="367"/>
      <c r="K73" s="387"/>
      <c r="L73" s="517"/>
      <c r="M73" s="836"/>
      <c r="N73" s="364"/>
      <c r="O73" s="367"/>
      <c r="P73" s="367"/>
      <c r="Q73" s="387"/>
      <c r="R73" s="517"/>
    </row>
    <row r="74" spans="1:18" x14ac:dyDescent="0.2">
      <c r="A74" s="837"/>
      <c r="B74" s="364"/>
      <c r="C74" s="367"/>
      <c r="D74" s="367"/>
      <c r="E74" s="387"/>
      <c r="F74" s="517"/>
      <c r="G74" s="837"/>
      <c r="H74" s="364"/>
      <c r="I74" s="367"/>
      <c r="J74" s="367"/>
      <c r="K74" s="387"/>
      <c r="L74" s="517"/>
      <c r="M74" s="837"/>
      <c r="N74" s="364"/>
      <c r="O74" s="367"/>
      <c r="P74" s="367"/>
      <c r="Q74" s="387"/>
      <c r="R74" s="517"/>
    </row>
    <row r="75" spans="1:18" ht="12.75" customHeight="1" x14ac:dyDescent="0.2">
      <c r="A75" s="841" t="s">
        <v>1674</v>
      </c>
      <c r="B75" s="600" t="s">
        <v>1879</v>
      </c>
      <c r="C75" s="377"/>
      <c r="D75" s="365">
        <f>ROUNDUP(C75,2)</f>
        <v>0</v>
      </c>
      <c r="E75" s="385" t="s">
        <v>1265</v>
      </c>
      <c r="F75" s="517"/>
      <c r="G75" s="841" t="s">
        <v>1674</v>
      </c>
      <c r="H75" s="600" t="s">
        <v>1879</v>
      </c>
      <c r="I75" s="377"/>
      <c r="J75" s="365">
        <f>ROUNDUP(I75,2)</f>
        <v>0</v>
      </c>
      <c r="K75" s="385" t="s">
        <v>1265</v>
      </c>
      <c r="L75" s="517"/>
      <c r="M75" s="841" t="s">
        <v>1674</v>
      </c>
      <c r="N75" s="600" t="s">
        <v>1877</v>
      </c>
      <c r="O75" s="377"/>
      <c r="P75" s="370">
        <f>ROUNDDOWN(O75,2)</f>
        <v>0</v>
      </c>
      <c r="Q75" s="385" t="s">
        <v>1262</v>
      </c>
      <c r="R75" s="517"/>
    </row>
    <row r="76" spans="1:18" x14ac:dyDescent="0.2">
      <c r="A76" s="841"/>
      <c r="B76" s="600" t="s">
        <v>1880</v>
      </c>
      <c r="C76" s="377"/>
      <c r="D76" s="365">
        <f>ROUNDUP(C76,2)</f>
        <v>0</v>
      </c>
      <c r="E76" s="385" t="s">
        <v>1268</v>
      </c>
      <c r="F76" s="517"/>
      <c r="G76" s="841"/>
      <c r="H76" s="601" t="s">
        <v>1880</v>
      </c>
      <c r="I76" s="377"/>
      <c r="J76" s="365">
        <f>ROUNDUP(I76,2)</f>
        <v>0</v>
      </c>
      <c r="K76" s="385" t="s">
        <v>1268</v>
      </c>
      <c r="L76" s="517"/>
      <c r="M76" s="841"/>
      <c r="N76" s="600" t="s">
        <v>1878</v>
      </c>
      <c r="O76" s="377"/>
      <c r="P76" s="370">
        <f>ROUNDDOWN(O76,2)</f>
        <v>0</v>
      </c>
      <c r="Q76" s="385" t="s">
        <v>1262</v>
      </c>
      <c r="R76" s="517"/>
    </row>
    <row r="77" spans="1:18" x14ac:dyDescent="0.2">
      <c r="A77" s="841"/>
      <c r="B77" s="600" t="s">
        <v>1878</v>
      </c>
      <c r="C77" s="377"/>
      <c r="D77" s="370">
        <f>ROUNDDOWN(C77,2)</f>
        <v>0</v>
      </c>
      <c r="E77" s="385" t="s">
        <v>1262</v>
      </c>
      <c r="F77" s="517"/>
      <c r="G77" s="841"/>
      <c r="H77" s="600" t="s">
        <v>1878</v>
      </c>
      <c r="I77" s="377"/>
      <c r="J77" s="370">
        <f>ROUNDDOWN(I77,2)</f>
        <v>0</v>
      </c>
      <c r="K77" s="385" t="s">
        <v>1262</v>
      </c>
      <c r="L77" s="517"/>
      <c r="M77" s="841"/>
      <c r="N77" s="600" t="s">
        <v>1871</v>
      </c>
      <c r="O77" s="377"/>
      <c r="P77" s="370">
        <f>ROUNDUP(O77,2)</f>
        <v>0</v>
      </c>
      <c r="Q77" s="385" t="s">
        <v>1292</v>
      </c>
      <c r="R77" s="517"/>
    </row>
    <row r="78" spans="1:18" x14ac:dyDescent="0.2">
      <c r="A78" s="841"/>
      <c r="B78" s="600" t="s">
        <v>1877</v>
      </c>
      <c r="C78" s="377"/>
      <c r="D78" s="370">
        <f>ROUNDDOWN(C78,2)</f>
        <v>0</v>
      </c>
      <c r="E78" s="385" t="s">
        <v>1262</v>
      </c>
      <c r="F78" s="517"/>
      <c r="G78" s="841"/>
      <c r="H78" s="600" t="s">
        <v>1877</v>
      </c>
      <c r="I78" s="377"/>
      <c r="J78" s="370">
        <f>ROUNDDOWN(I78,2)</f>
        <v>0</v>
      </c>
      <c r="K78" s="385" t="s">
        <v>1262</v>
      </c>
      <c r="L78" s="517"/>
      <c r="M78" s="841"/>
      <c r="N78" s="600" t="s">
        <v>1899</v>
      </c>
      <c r="O78" s="377"/>
      <c r="P78" s="365">
        <f>ROUND(O78,2)</f>
        <v>0</v>
      </c>
      <c r="Q78" s="385" t="s">
        <v>1262</v>
      </c>
      <c r="R78" s="517"/>
    </row>
    <row r="79" spans="1:18" x14ac:dyDescent="0.2">
      <c r="A79" s="841"/>
      <c r="B79" s="600" t="s">
        <v>1874</v>
      </c>
      <c r="C79" s="377"/>
      <c r="D79" s="370">
        <f>ROUNDUP(C79,2)*(-1)</f>
        <v>0</v>
      </c>
      <c r="E79" s="385" t="s">
        <v>1265</v>
      </c>
      <c r="F79" s="517"/>
      <c r="G79" s="841"/>
      <c r="H79" s="600" t="s">
        <v>1874</v>
      </c>
      <c r="I79" s="377"/>
      <c r="J79" s="370">
        <f>ROUNDUP(I79,2)*(-1)</f>
        <v>0</v>
      </c>
      <c r="K79" s="385" t="s">
        <v>1265</v>
      </c>
      <c r="L79" s="517"/>
      <c r="M79" s="841"/>
      <c r="N79" s="600" t="s">
        <v>1900</v>
      </c>
      <c r="O79" s="377"/>
      <c r="P79" s="370">
        <f>ROUND(O79,4)</f>
        <v>0</v>
      </c>
      <c r="Q79" s="385" t="s">
        <v>1262</v>
      </c>
      <c r="R79" s="517"/>
    </row>
    <row r="80" spans="1:18" ht="12.75" customHeight="1" x14ac:dyDescent="0.2">
      <c r="A80" s="841"/>
      <c r="B80" s="600" t="s">
        <v>2166</v>
      </c>
      <c r="C80" s="377"/>
      <c r="D80" s="365">
        <f>ROUNDUP(C80,2)</f>
        <v>0</v>
      </c>
      <c r="E80" s="385" t="s">
        <v>1268</v>
      </c>
      <c r="F80" s="517"/>
      <c r="G80" s="841"/>
      <c r="H80" s="600" t="s">
        <v>2166</v>
      </c>
      <c r="I80" s="377"/>
      <c r="J80" s="365">
        <f>ROUNDUP(I80,2)</f>
        <v>0</v>
      </c>
      <c r="K80" s="385" t="s">
        <v>1268</v>
      </c>
      <c r="L80" s="517"/>
      <c r="M80" s="841"/>
      <c r="N80" s="600" t="s">
        <v>1901</v>
      </c>
      <c r="O80" s="377"/>
      <c r="P80" s="370">
        <f t="shared" ref="P80:P83" si="5">ROUND(O80,4)</f>
        <v>0</v>
      </c>
      <c r="Q80" s="385" t="s">
        <v>1262</v>
      </c>
      <c r="R80" s="517"/>
    </row>
    <row r="81" spans="1:21" x14ac:dyDescent="0.2">
      <c r="A81" s="841"/>
      <c r="B81" s="379"/>
      <c r="C81" s="377"/>
      <c r="D81" s="365"/>
      <c r="E81" s="385"/>
      <c r="F81" s="517"/>
      <c r="G81" s="841"/>
      <c r="H81" s="381"/>
      <c r="I81" s="377"/>
      <c r="J81" s="365"/>
      <c r="K81" s="385"/>
      <c r="L81" s="517"/>
      <c r="M81" s="841"/>
      <c r="N81" s="600" t="s">
        <v>1902</v>
      </c>
      <c r="O81" s="377"/>
      <c r="P81" s="370">
        <f t="shared" si="5"/>
        <v>0</v>
      </c>
      <c r="Q81" s="385" t="s">
        <v>1262</v>
      </c>
      <c r="R81" s="517"/>
    </row>
    <row r="82" spans="1:21" x14ac:dyDescent="0.2">
      <c r="A82" s="841"/>
      <c r="B82" s="381"/>
      <c r="C82" s="377"/>
      <c r="D82" s="365"/>
      <c r="E82" s="385"/>
      <c r="F82" s="517"/>
      <c r="G82" s="841"/>
      <c r="H82" s="381"/>
      <c r="I82" s="377"/>
      <c r="J82" s="365"/>
      <c r="K82" s="385"/>
      <c r="L82" s="517"/>
      <c r="M82" s="841"/>
      <c r="N82" s="600" t="s">
        <v>1873</v>
      </c>
      <c r="O82" s="377"/>
      <c r="P82" s="370">
        <f t="shared" si="5"/>
        <v>0</v>
      </c>
      <c r="Q82" s="385" t="s">
        <v>1262</v>
      </c>
      <c r="R82" s="517"/>
    </row>
    <row r="83" spans="1:21" x14ac:dyDescent="0.2">
      <c r="A83" s="841"/>
      <c r="B83" s="379"/>
      <c r="C83" s="377"/>
      <c r="D83" s="365"/>
      <c r="E83" s="385"/>
      <c r="F83" s="517"/>
      <c r="G83" s="841"/>
      <c r="H83" s="379"/>
      <c r="I83" s="377"/>
      <c r="J83" s="365"/>
      <c r="K83" s="385"/>
      <c r="L83" s="517"/>
      <c r="M83" s="841"/>
      <c r="N83" s="600" t="s">
        <v>2153</v>
      </c>
      <c r="O83" s="377"/>
      <c r="P83" s="370">
        <f t="shared" si="5"/>
        <v>0</v>
      </c>
      <c r="Q83" s="385" t="s">
        <v>1262</v>
      </c>
      <c r="R83" s="517"/>
    </row>
    <row r="84" spans="1:21" x14ac:dyDescent="0.2">
      <c r="A84" s="841"/>
      <c r="B84" s="381"/>
      <c r="C84" s="377"/>
      <c r="D84" s="365"/>
      <c r="E84" s="385"/>
      <c r="F84" s="517"/>
      <c r="G84" s="841"/>
      <c r="H84" s="381"/>
      <c r="I84" s="377"/>
      <c r="J84" s="365"/>
      <c r="K84" s="385"/>
      <c r="L84" s="517"/>
      <c r="M84" s="841"/>
      <c r="N84" s="379"/>
      <c r="O84" s="377"/>
      <c r="P84" s="365"/>
      <c r="Q84" s="385"/>
      <c r="R84" s="517"/>
    </row>
    <row r="85" spans="1:21" x14ac:dyDescent="0.2">
      <c r="A85" s="841"/>
      <c r="B85" s="374"/>
      <c r="C85" s="377"/>
      <c r="D85" s="370"/>
      <c r="E85" s="385"/>
      <c r="F85" s="517"/>
      <c r="G85" s="841"/>
      <c r="H85" s="374"/>
      <c r="I85" s="377"/>
      <c r="J85" s="370"/>
      <c r="K85" s="385"/>
      <c r="L85" s="517"/>
      <c r="M85" s="841"/>
      <c r="N85" s="379"/>
      <c r="O85" s="377"/>
      <c r="P85" s="365"/>
      <c r="Q85" s="385"/>
      <c r="R85" s="517"/>
    </row>
    <row r="86" spans="1:21" x14ac:dyDescent="0.2">
      <c r="A86" s="841"/>
      <c r="B86" s="379"/>
      <c r="C86" s="377"/>
      <c r="D86" s="365"/>
      <c r="E86" s="385"/>
      <c r="F86" s="517"/>
      <c r="G86" s="841"/>
      <c r="H86" s="379"/>
      <c r="I86" s="377"/>
      <c r="J86" s="365"/>
      <c r="K86" s="385"/>
      <c r="L86" s="517"/>
      <c r="M86" s="841"/>
      <c r="N86" s="379"/>
      <c r="O86" s="377"/>
      <c r="P86" s="365"/>
      <c r="Q86" s="385"/>
      <c r="R86" s="517"/>
    </row>
    <row r="87" spans="1:21" x14ac:dyDescent="0.2">
      <c r="A87" s="841"/>
      <c r="B87" s="379"/>
      <c r="C87" s="377"/>
      <c r="D87" s="365"/>
      <c r="E87" s="385"/>
      <c r="F87" s="517"/>
      <c r="G87" s="841"/>
      <c r="H87" s="379"/>
      <c r="I87" s="377"/>
      <c r="J87" s="365"/>
      <c r="K87" s="385"/>
      <c r="L87" s="517"/>
      <c r="M87" s="841"/>
      <c r="N87" s="379"/>
      <c r="O87" s="377"/>
      <c r="P87" s="365"/>
      <c r="Q87" s="385"/>
      <c r="R87" s="517"/>
    </row>
    <row r="88" spans="1:21" x14ac:dyDescent="0.2">
      <c r="A88" s="841"/>
      <c r="B88" s="379"/>
      <c r="C88" s="377"/>
      <c r="D88" s="365"/>
      <c r="E88" s="385"/>
      <c r="F88" s="517"/>
      <c r="G88" s="841"/>
      <c r="H88" s="379"/>
      <c r="I88" s="377"/>
      <c r="J88" s="365"/>
      <c r="K88" s="385"/>
      <c r="L88" s="517"/>
      <c r="M88" s="841"/>
      <c r="N88" s="379"/>
      <c r="O88" s="377"/>
      <c r="P88" s="365"/>
      <c r="Q88" s="385"/>
      <c r="R88" s="517"/>
    </row>
    <row r="89" spans="1:21" x14ac:dyDescent="0.2">
      <c r="A89" s="841"/>
      <c r="B89" s="379"/>
      <c r="C89" s="377"/>
      <c r="D89" s="365"/>
      <c r="E89" s="385"/>
      <c r="F89" s="517"/>
      <c r="G89" s="841"/>
      <c r="H89" s="379"/>
      <c r="I89" s="377"/>
      <c r="J89" s="365"/>
      <c r="K89" s="385"/>
      <c r="L89" s="517"/>
      <c r="M89" s="841"/>
      <c r="N89" s="379"/>
      <c r="O89" s="377"/>
      <c r="P89" s="365"/>
      <c r="Q89" s="385"/>
      <c r="R89" s="517"/>
    </row>
    <row r="90" spans="1:21" x14ac:dyDescent="0.2">
      <c r="A90" s="841"/>
      <c r="B90" s="390"/>
      <c r="C90" s="377"/>
      <c r="D90" s="370"/>
      <c r="E90" s="385"/>
      <c r="F90" s="517"/>
      <c r="G90" s="841"/>
      <c r="H90" s="390"/>
      <c r="I90" s="377"/>
      <c r="J90" s="370"/>
      <c r="K90" s="385"/>
      <c r="L90" s="517"/>
      <c r="M90" s="841"/>
      <c r="N90" s="390"/>
      <c r="O90" s="377"/>
      <c r="P90" s="370"/>
      <c r="Q90" s="385"/>
      <c r="R90" s="517"/>
      <c r="T90" s="382"/>
      <c r="U90" s="382"/>
    </row>
    <row r="91" spans="1:21" x14ac:dyDescent="0.2">
      <c r="A91" s="841"/>
      <c r="B91" s="374"/>
      <c r="C91" s="375"/>
      <c r="D91" s="367"/>
      <c r="E91" s="387"/>
      <c r="F91" s="517"/>
      <c r="G91" s="841"/>
      <c r="H91" s="374"/>
      <c r="I91" s="375"/>
      <c r="J91" s="367"/>
      <c r="K91" s="387"/>
      <c r="L91" s="517"/>
      <c r="M91" s="841"/>
      <c r="N91" s="374"/>
      <c r="O91" s="375"/>
      <c r="P91" s="367"/>
      <c r="Q91" s="387"/>
      <c r="R91" s="517"/>
    </row>
    <row r="92" spans="1:21" x14ac:dyDescent="0.2">
      <c r="A92" s="841"/>
      <c r="B92" s="374"/>
      <c r="C92" s="375"/>
      <c r="D92" s="367"/>
      <c r="E92" s="387"/>
      <c r="F92" s="517"/>
      <c r="G92" s="841"/>
      <c r="H92" s="374"/>
      <c r="I92" s="375"/>
      <c r="J92" s="367"/>
      <c r="K92" s="387"/>
      <c r="L92" s="517"/>
      <c r="M92" s="841"/>
      <c r="N92" s="374"/>
      <c r="O92" s="375"/>
      <c r="P92" s="367"/>
      <c r="Q92" s="387"/>
      <c r="R92" s="517"/>
    </row>
    <row r="93" spans="1:21" x14ac:dyDescent="0.2">
      <c r="A93" s="841"/>
      <c r="B93" s="374"/>
      <c r="C93" s="375"/>
      <c r="D93" s="367"/>
      <c r="E93" s="387"/>
      <c r="F93" s="517"/>
      <c r="G93" s="841"/>
      <c r="H93" s="374"/>
      <c r="I93" s="375"/>
      <c r="J93" s="367"/>
      <c r="K93" s="387"/>
      <c r="L93" s="517"/>
      <c r="M93" s="841"/>
      <c r="N93" s="374"/>
      <c r="O93" s="375"/>
      <c r="P93" s="367"/>
      <c r="Q93" s="387"/>
      <c r="R93" s="517"/>
    </row>
    <row r="94" spans="1:21" x14ac:dyDescent="0.2">
      <c r="A94" s="841"/>
      <c r="B94" s="374"/>
      <c r="C94" s="375"/>
      <c r="D94" s="367"/>
      <c r="E94" s="387"/>
      <c r="F94" s="517"/>
      <c r="G94" s="841"/>
      <c r="H94" s="374"/>
      <c r="I94" s="375"/>
      <c r="J94" s="367"/>
      <c r="K94" s="387"/>
      <c r="L94" s="517"/>
      <c r="M94" s="841"/>
      <c r="N94" s="374"/>
      <c r="O94" s="375"/>
      <c r="P94" s="367"/>
      <c r="Q94" s="387"/>
      <c r="R94" s="517"/>
    </row>
    <row r="95" spans="1:21" x14ac:dyDescent="0.2">
      <c r="A95" s="841"/>
      <c r="B95" s="374"/>
      <c r="C95" s="375"/>
      <c r="D95" s="367"/>
      <c r="E95" s="387"/>
      <c r="F95" s="517"/>
      <c r="G95" s="841"/>
      <c r="H95" s="374"/>
      <c r="I95" s="375"/>
      <c r="J95" s="367"/>
      <c r="K95" s="387"/>
      <c r="L95" s="517"/>
      <c r="M95" s="841"/>
      <c r="N95" s="374"/>
      <c r="O95" s="375"/>
      <c r="P95" s="367"/>
      <c r="Q95" s="387"/>
      <c r="R95" s="517"/>
    </row>
    <row r="96" spans="1:21" x14ac:dyDescent="0.2">
      <c r="A96" s="841"/>
      <c r="B96" s="374"/>
      <c r="C96" s="375"/>
      <c r="D96" s="367"/>
      <c r="E96" s="387"/>
      <c r="F96" s="517"/>
      <c r="G96" s="841"/>
      <c r="H96" s="374"/>
      <c r="I96" s="375"/>
      <c r="J96" s="367"/>
      <c r="K96" s="387"/>
      <c r="L96" s="517"/>
      <c r="M96" s="841"/>
      <c r="N96" s="374"/>
      <c r="O96" s="375"/>
      <c r="P96" s="367"/>
      <c r="Q96" s="387"/>
      <c r="R96" s="517"/>
    </row>
    <row r="97" spans="1:23" x14ac:dyDescent="0.2">
      <c r="A97" s="841"/>
      <c r="B97" s="374"/>
      <c r="C97" s="375"/>
      <c r="D97" s="367"/>
      <c r="E97" s="387"/>
      <c r="F97" s="517"/>
      <c r="G97" s="841"/>
      <c r="H97" s="374"/>
      <c r="I97" s="375"/>
      <c r="J97" s="367"/>
      <c r="K97" s="387"/>
      <c r="L97" s="517"/>
      <c r="M97" s="841"/>
      <c r="N97" s="374"/>
      <c r="O97" s="375"/>
      <c r="P97" s="367"/>
      <c r="Q97" s="387"/>
      <c r="R97" s="517"/>
    </row>
    <row r="98" spans="1:23" x14ac:dyDescent="0.2">
      <c r="A98" s="841"/>
      <c r="B98" s="374"/>
      <c r="C98" s="375"/>
      <c r="D98" s="367"/>
      <c r="E98" s="387"/>
      <c r="F98" s="517"/>
      <c r="G98" s="841"/>
      <c r="H98" s="374"/>
      <c r="I98" s="375"/>
      <c r="J98" s="367"/>
      <c r="K98" s="387"/>
      <c r="L98" s="517"/>
      <c r="M98" s="841"/>
      <c r="N98" s="374"/>
      <c r="O98" s="375"/>
      <c r="P98" s="367"/>
      <c r="Q98" s="387"/>
      <c r="R98" s="517"/>
    </row>
    <row r="99" spans="1:23" x14ac:dyDescent="0.2">
      <c r="A99" s="841"/>
      <c r="B99" s="374"/>
      <c r="C99" s="375"/>
      <c r="D99" s="367"/>
      <c r="E99" s="387"/>
      <c r="F99" s="517"/>
      <c r="G99" s="841"/>
      <c r="H99" s="374"/>
      <c r="I99" s="375"/>
      <c r="J99" s="367"/>
      <c r="K99" s="387"/>
      <c r="L99" s="517"/>
      <c r="M99" s="841"/>
      <c r="N99" s="374"/>
      <c r="O99" s="375"/>
      <c r="P99" s="367"/>
      <c r="Q99" s="387"/>
      <c r="R99" s="517"/>
    </row>
    <row r="100" spans="1:23" x14ac:dyDescent="0.2">
      <c r="A100" s="841"/>
      <c r="B100" s="374"/>
      <c r="C100" s="375"/>
      <c r="D100" s="367"/>
      <c r="E100" s="387"/>
      <c r="F100" s="517"/>
      <c r="G100" s="841"/>
      <c r="H100" s="374"/>
      <c r="I100" s="375"/>
      <c r="J100" s="367"/>
      <c r="K100" s="387"/>
      <c r="L100" s="517"/>
      <c r="M100" s="841"/>
      <c r="N100" s="374"/>
      <c r="O100" s="375"/>
      <c r="P100" s="367"/>
      <c r="Q100" s="387"/>
      <c r="R100" s="517"/>
    </row>
    <row r="101" spans="1:23" x14ac:dyDescent="0.2">
      <c r="A101" s="841"/>
      <c r="B101" s="374"/>
      <c r="C101" s="375"/>
      <c r="D101" s="367"/>
      <c r="E101" s="387"/>
      <c r="F101" s="517"/>
      <c r="G101" s="841"/>
      <c r="H101" s="374"/>
      <c r="I101" s="375"/>
      <c r="J101" s="367"/>
      <c r="K101" s="387"/>
      <c r="L101" s="517"/>
      <c r="M101" s="841"/>
      <c r="N101" s="374"/>
      <c r="O101" s="375"/>
      <c r="P101" s="367"/>
      <c r="Q101" s="387"/>
      <c r="R101" s="517"/>
      <c r="V101" s="382"/>
      <c r="W101" s="382"/>
    </row>
    <row r="102" spans="1:23" x14ac:dyDescent="0.2">
      <c r="A102" s="841"/>
      <c r="B102" s="374"/>
      <c r="C102" s="375"/>
      <c r="D102" s="367"/>
      <c r="E102" s="387"/>
      <c r="F102" s="517"/>
      <c r="G102" s="841"/>
      <c r="H102" s="374"/>
      <c r="I102" s="375"/>
      <c r="J102" s="367"/>
      <c r="K102" s="387"/>
      <c r="L102" s="517"/>
      <c r="M102" s="841"/>
      <c r="N102" s="374"/>
      <c r="O102" s="375"/>
      <c r="P102" s="367"/>
      <c r="Q102" s="387"/>
      <c r="R102" s="517"/>
    </row>
    <row r="103" spans="1:23" x14ac:dyDescent="0.2">
      <c r="A103" s="841"/>
      <c r="B103" s="374"/>
      <c r="C103" s="375"/>
      <c r="D103" s="367"/>
      <c r="E103" s="387"/>
      <c r="F103" s="517"/>
      <c r="G103" s="841"/>
      <c r="H103" s="374"/>
      <c r="I103" s="375"/>
      <c r="J103" s="367"/>
      <c r="K103" s="387"/>
      <c r="L103" s="517"/>
      <c r="M103" s="841"/>
      <c r="N103" s="374"/>
      <c r="O103" s="375"/>
      <c r="P103" s="367"/>
      <c r="Q103" s="387"/>
      <c r="R103" s="517"/>
    </row>
    <row r="104" spans="1:23" x14ac:dyDescent="0.2">
      <c r="A104" s="841"/>
      <c r="B104" s="374"/>
      <c r="C104" s="375"/>
      <c r="D104" s="367"/>
      <c r="E104" s="387"/>
      <c r="F104" s="517"/>
      <c r="G104" s="841"/>
      <c r="H104" s="374"/>
      <c r="I104" s="375"/>
      <c r="J104" s="367"/>
      <c r="K104" s="387"/>
      <c r="L104" s="517"/>
      <c r="M104" s="841"/>
      <c r="N104" s="374"/>
      <c r="O104" s="375"/>
      <c r="P104" s="367"/>
      <c r="Q104" s="387"/>
      <c r="R104" s="517"/>
    </row>
    <row r="105" spans="1:23" x14ac:dyDescent="0.2">
      <c r="A105" s="841"/>
      <c r="B105" s="374"/>
      <c r="C105" s="375"/>
      <c r="D105" s="367"/>
      <c r="E105" s="387"/>
      <c r="F105" s="517"/>
      <c r="G105" s="841"/>
      <c r="H105" s="374"/>
      <c r="I105" s="375"/>
      <c r="J105" s="367"/>
      <c r="K105" s="387"/>
      <c r="L105" s="517"/>
      <c r="M105" s="841"/>
      <c r="N105" s="374"/>
      <c r="O105" s="375"/>
      <c r="P105" s="367"/>
      <c r="Q105" s="387"/>
      <c r="R105" s="517"/>
    </row>
    <row r="106" spans="1:23" x14ac:dyDescent="0.2">
      <c r="A106" s="841"/>
      <c r="B106" s="374"/>
      <c r="C106" s="375"/>
      <c r="D106" s="367"/>
      <c r="E106" s="387"/>
      <c r="F106" s="517"/>
      <c r="G106" s="841"/>
      <c r="H106" s="374"/>
      <c r="I106" s="375"/>
      <c r="J106" s="367"/>
      <c r="K106" s="387"/>
      <c r="L106" s="517"/>
      <c r="M106" s="841"/>
      <c r="N106" s="374"/>
      <c r="O106" s="375"/>
      <c r="P106" s="367"/>
      <c r="Q106" s="387"/>
      <c r="R106" s="517"/>
    </row>
    <row r="107" spans="1:23" x14ac:dyDescent="0.2">
      <c r="A107" s="841"/>
      <c r="B107" s="374"/>
      <c r="C107" s="375"/>
      <c r="D107" s="367"/>
      <c r="E107" s="387"/>
      <c r="F107" s="517"/>
      <c r="G107" s="841"/>
      <c r="H107" s="374"/>
      <c r="I107" s="375"/>
      <c r="J107" s="367"/>
      <c r="K107" s="387"/>
      <c r="L107" s="517"/>
      <c r="M107" s="841"/>
      <c r="N107" s="374"/>
      <c r="O107" s="375"/>
      <c r="P107" s="367"/>
      <c r="Q107" s="387"/>
      <c r="R107" s="517"/>
    </row>
    <row r="108" spans="1:23" x14ac:dyDescent="0.2">
      <c r="A108" s="841"/>
      <c r="B108" s="374"/>
      <c r="C108" s="375"/>
      <c r="D108" s="367"/>
      <c r="E108" s="387"/>
      <c r="F108" s="517"/>
      <c r="G108" s="841"/>
      <c r="H108" s="374"/>
      <c r="I108" s="375"/>
      <c r="J108" s="367"/>
      <c r="K108" s="387"/>
      <c r="L108" s="517"/>
      <c r="M108" s="841"/>
      <c r="N108" s="374"/>
      <c r="O108" s="375"/>
      <c r="P108" s="367"/>
      <c r="Q108" s="387"/>
      <c r="R108" s="517"/>
    </row>
    <row r="109" spans="1:23" x14ac:dyDescent="0.2">
      <c r="A109" s="842"/>
      <c r="B109" s="374"/>
      <c r="C109" s="375"/>
      <c r="D109" s="367"/>
      <c r="E109" s="387"/>
      <c r="F109" s="517"/>
      <c r="G109" s="842"/>
      <c r="H109" s="374"/>
      <c r="I109" s="375"/>
      <c r="J109" s="367"/>
      <c r="K109" s="387"/>
      <c r="L109" s="517"/>
      <c r="M109" s="842"/>
      <c r="N109" s="374"/>
      <c r="O109" s="375"/>
      <c r="P109" s="367"/>
      <c r="Q109" s="387"/>
      <c r="R109" s="517"/>
    </row>
    <row r="110" spans="1:23" x14ac:dyDescent="0.2">
      <c r="B110" s="382"/>
      <c r="C110" s="382"/>
      <c r="D110" s="382"/>
      <c r="E110" s="382"/>
      <c r="F110" s="517"/>
      <c r="G110" s="382"/>
      <c r="H110" s="382"/>
      <c r="I110" s="382"/>
      <c r="J110" s="382"/>
      <c r="K110" s="382"/>
      <c r="L110" s="517"/>
      <c r="M110" s="382"/>
      <c r="N110" s="382"/>
      <c r="O110" s="382"/>
      <c r="P110" s="382"/>
      <c r="Q110" s="382"/>
      <c r="R110" s="517"/>
      <c r="S110" s="517"/>
    </row>
    <row r="111" spans="1:23" x14ac:dyDescent="0.2"/>
  </sheetData>
  <mergeCells count="21">
    <mergeCell ref="A75:A109"/>
    <mergeCell ref="G75:G109"/>
    <mergeCell ref="M75:M109"/>
    <mergeCell ref="B58:E58"/>
    <mergeCell ref="H58:K58"/>
    <mergeCell ref="N58:Q58"/>
    <mergeCell ref="A60:A74"/>
    <mergeCell ref="G60:G74"/>
    <mergeCell ref="M60:M74"/>
    <mergeCell ref="A26:A55"/>
    <mergeCell ref="G26:G55"/>
    <mergeCell ref="M26:M55"/>
    <mergeCell ref="AA4:AB4"/>
    <mergeCell ref="A6:A25"/>
    <mergeCell ref="G6:G25"/>
    <mergeCell ref="M6:M25"/>
    <mergeCell ref="B4:E4"/>
    <mergeCell ref="H4:K4"/>
    <mergeCell ref="N4:Q4"/>
    <mergeCell ref="T4:X4"/>
    <mergeCell ref="T22:X22"/>
  </mergeCells>
  <dataValidations count="4">
    <dataValidation allowBlank="1" showInputMessage="1" showErrorMessage="1" prompt="O conteúdo desta célula não deve ser alterado." sqref="V49:V56" xr:uid="{C737F6BD-2471-478A-B9F3-1D098DF4D8D4}"/>
    <dataValidation allowBlank="1" showErrorMessage="1" sqref="B30 B80 B6:B11 O11:O14 H30 B34:B36 E60:E61 B14 K30 K33 Q6:Q14 B79:C79 B75:C76 E75:E80 H75:I76 X43:X47 H79:H80 K80" xr:uid="{EE9B04CD-6C02-4AEE-8EF8-C76EBFFCDD0C}"/>
    <dataValidation allowBlank="1" showErrorMessage="1" prompt="O conteúdo desta célula não deve ser alterado." sqref="X29 W47 B39 T42:T47 T24:T25 T29:T30 V29:W30 B13:B14 B6:B11" xr:uid="{AE5A7B2A-B70B-454F-A39A-DBCCDD5A4D04}"/>
    <dataValidation allowBlank="1" sqref="Q34:Q36 N9:N14 E89:E90 E81:E84 K89:K90 Q89:Q90 K81:K84 X26:X28 E34:E36 H6:K6 K32 H77:J78 B60:D61 B77:D78 U24:U40 P65:Q65 P75:P83 B14:E14 W6:X11 C39:D39 C13:E13 H26:K27 H29:K31 H28:J33 K34:K36 H60:J61 D79:D80 D75:D76 J79:J80 J75:J76 P9:P14 W13:X15 W17:X17 P60:P64 Q60:Q62 W19:X20 J7:K13 H7:H13 B31:E32 N6:P8 T26:T28 V26:V28 D29 E38:E39 B37:D38 D42:D43 B40:E41 B27:E28 E30 B6:E11" xr:uid="{22533DE9-4956-45F6-906F-395F2FD95B1E}"/>
  </dataValidations>
  <pageMargins left="0.7" right="0.7" top="0.75" bottom="0.75" header="0.3" footer="0.3"/>
  <pageSetup paperSize="9" orientation="portrait" r:id="rId1"/>
  <ignoredErrors>
    <ignoredError sqref="C61:D61 I61:J61 D75:D79 J75:J78 P75:P83 D6" unlockedFormula="1"/>
  </ignoredErrors>
  <legacy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"/>
  <dimension ref="A1:O311"/>
  <sheetViews>
    <sheetView zoomScale="80" zoomScaleNormal="80" workbookViewId="0">
      <selection activeCell="C8" sqref="C8"/>
    </sheetView>
  </sheetViews>
  <sheetFormatPr defaultColWidth="12.7109375" defaultRowHeight="17.100000000000001" customHeight="1" x14ac:dyDescent="0.2"/>
  <cols>
    <col min="1" max="1" width="2.7109375" style="57" customWidth="1"/>
    <col min="2" max="2" width="30.7109375" style="57" customWidth="1"/>
    <col min="3" max="3" width="40.7109375" style="57" customWidth="1"/>
    <col min="4" max="4" width="5.7109375" style="57" customWidth="1"/>
    <col min="5" max="5" width="30.7109375" style="57" customWidth="1"/>
    <col min="6" max="6" width="5.7109375" style="57" customWidth="1"/>
    <col min="7" max="7" width="45" style="57" bestFit="1" customWidth="1"/>
    <col min="8" max="10" width="15.7109375" style="57" customWidth="1"/>
    <col min="11" max="11" width="12.7109375" style="57" customWidth="1"/>
    <col min="12" max="13" width="5.7109375" style="57" customWidth="1"/>
    <col min="14" max="25" width="12.7109375" style="57" customWidth="1"/>
    <col min="26" max="16384" width="12.7109375" style="57"/>
  </cols>
  <sheetData>
    <row r="1" spans="1:15" ht="17.100000000000001" customHeight="1" thickBot="1" x14ac:dyDescent="0.25">
      <c r="N1" s="51"/>
    </row>
    <row r="2" spans="1:15" ht="17.100000000000001" customHeight="1" thickBot="1" x14ac:dyDescent="0.25">
      <c r="B2" s="806" t="s">
        <v>1790</v>
      </c>
      <c r="C2" s="808"/>
      <c r="D2" s="642"/>
      <c r="E2" s="632" t="str">
        <f>IF(estudo_cvd_type=2, "CVD de 2ª", IF(estudo_cvd_type=1, "CVD de 1ª", "Selecione o tipo de CVD"))</f>
        <v>CVD de 1ª</v>
      </c>
      <c r="F2" s="55"/>
      <c r="G2" s="846" t="s">
        <v>1858</v>
      </c>
      <c r="H2" s="846"/>
      <c r="I2" s="846"/>
      <c r="M2" s="51"/>
      <c r="N2" s="51"/>
    </row>
    <row r="3" spans="1:15" ht="17.100000000000001" customHeight="1" thickTop="1" x14ac:dyDescent="0.2">
      <c r="B3" s="428" t="s">
        <v>1270</v>
      </c>
      <c r="C3" s="629" t="s">
        <v>1306</v>
      </c>
      <c r="D3" s="640"/>
      <c r="F3" s="55"/>
      <c r="G3" s="441" t="s">
        <v>1638</v>
      </c>
      <c r="H3" s="441" t="s">
        <v>1315</v>
      </c>
      <c r="I3" s="441" t="s">
        <v>1427</v>
      </c>
      <c r="J3" s="51"/>
      <c r="K3" s="51"/>
      <c r="L3" s="51"/>
      <c r="N3" s="51"/>
    </row>
    <row r="4" spans="1:15" ht="17.100000000000001" customHeight="1" x14ac:dyDescent="0.2">
      <c r="B4" s="429" t="s">
        <v>1272</v>
      </c>
      <c r="C4" s="412" t="s">
        <v>2213</v>
      </c>
      <c r="D4" s="640"/>
      <c r="G4" s="438" t="s">
        <v>1761</v>
      </c>
      <c r="H4" s="439">
        <f>data_empuxo_total</f>
        <v>0</v>
      </c>
      <c r="I4" s="439" t="s">
        <v>1869</v>
      </c>
      <c r="J4" s="51"/>
      <c r="K4" s="51"/>
      <c r="L4" s="51"/>
      <c r="N4" s="51"/>
    </row>
    <row r="5" spans="1:15" ht="17.100000000000001" customHeight="1" x14ac:dyDescent="0.2">
      <c r="B5" s="429" t="str">
        <f>C4</f>
        <v>Poço</v>
      </c>
      <c r="C5" s="776" t="s">
        <v>2214</v>
      </c>
      <c r="D5" s="643"/>
      <c r="G5" s="436" t="s">
        <v>1867</v>
      </c>
      <c r="H5" s="394">
        <f>data_qtd_conjuntos_boias</f>
        <v>0</v>
      </c>
      <c r="I5" s="394" t="s">
        <v>1353</v>
      </c>
      <c r="J5" s="51"/>
      <c r="K5" s="51"/>
      <c r="L5" s="51"/>
      <c r="N5" s="51"/>
      <c r="O5" s="51"/>
    </row>
    <row r="6" spans="1:15" ht="17.100000000000001" customHeight="1" x14ac:dyDescent="0.2">
      <c r="B6" s="429" t="s">
        <v>1273</v>
      </c>
      <c r="C6" s="412" t="s">
        <v>2215</v>
      </c>
      <c r="D6" s="640"/>
      <c r="G6" s="436" t="s">
        <v>1302</v>
      </c>
      <c r="H6" s="437">
        <f>data_dist_primeira_boia</f>
        <v>0</v>
      </c>
      <c r="I6" s="437" t="s">
        <v>1262</v>
      </c>
      <c r="J6" s="51"/>
      <c r="K6" s="51"/>
      <c r="L6" s="51"/>
      <c r="N6" s="51"/>
      <c r="O6" s="51"/>
    </row>
    <row r="7" spans="1:15" ht="17.100000000000001" customHeight="1" x14ac:dyDescent="0.2">
      <c r="B7" s="429" t="s">
        <v>196</v>
      </c>
      <c r="C7" s="433" t="s">
        <v>2216</v>
      </c>
      <c r="D7" s="639"/>
      <c r="G7" s="436" t="s">
        <v>1762</v>
      </c>
      <c r="H7" s="156" t="str">
        <f>IF(case3i_din_heave_up=0,"",ABS(case3i_din_heave_up))</f>
        <v/>
      </c>
      <c r="I7" s="156" t="s">
        <v>1262</v>
      </c>
      <c r="J7" s="51"/>
      <c r="K7" s="51"/>
      <c r="L7" s="51"/>
      <c r="N7" s="51"/>
    </row>
    <row r="8" spans="1:15" ht="17.100000000000001" customHeight="1" x14ac:dyDescent="0.2">
      <c r="B8" s="429" t="s">
        <v>1274</v>
      </c>
      <c r="C8" s="433">
        <v>2691</v>
      </c>
      <c r="D8" s="639"/>
      <c r="G8" s="436" t="s">
        <v>1763</v>
      </c>
      <c r="H8" s="156">
        <f>case3i_din_bm_vert</f>
        <v>0</v>
      </c>
      <c r="I8" s="156" t="s">
        <v>1265</v>
      </c>
      <c r="J8" s="51"/>
      <c r="K8" s="51"/>
      <c r="L8" s="51"/>
      <c r="N8" s="51"/>
    </row>
    <row r="9" spans="1:15" ht="17.100000000000001" customHeight="1" x14ac:dyDescent="0.2">
      <c r="B9" s="430" t="s">
        <v>1275</v>
      </c>
      <c r="C9" s="433">
        <v>0</v>
      </c>
      <c r="D9" s="639"/>
      <c r="G9" s="436" t="s">
        <v>1764</v>
      </c>
      <c r="H9" s="394" t="str">
        <f>IF(estudo_cvd_type=1, "IGNORAR", _xlfn.CONCAT(case2_est_position_corc1," : ",case2_est_position_corc2))</f>
        <v>IGNORAR</v>
      </c>
      <c r="I9" s="394" t="s">
        <v>1262</v>
      </c>
      <c r="J9" s="51"/>
      <c r="K9" s="51"/>
      <c r="L9" s="51"/>
      <c r="N9" s="51"/>
    </row>
    <row r="10" spans="1:15" ht="17.100000000000001" customHeight="1" x14ac:dyDescent="0.2">
      <c r="B10" s="430" t="s">
        <v>1276</v>
      </c>
      <c r="C10" s="630" t="s">
        <v>20</v>
      </c>
      <c r="D10" s="637"/>
      <c r="G10" s="436" t="s">
        <v>1765</v>
      </c>
      <c r="H10" s="394" t="str">
        <f>IF(estudo_cvd_type=1, "IGNORAR", _xlfn.CONCAT(case2_est_comp_lingada1," : ",case2_est_comp_lingada2))</f>
        <v>IGNORAR</v>
      </c>
      <c r="I10" s="394" t="s">
        <v>1262</v>
      </c>
      <c r="J10" s="51"/>
      <c r="K10" s="59"/>
      <c r="L10" s="59"/>
      <c r="N10" s="51"/>
    </row>
    <row r="11" spans="1:15" ht="17.100000000000001" customHeight="1" x14ac:dyDescent="0.2">
      <c r="A11" s="34"/>
      <c r="B11" s="431" t="s">
        <v>1277</v>
      </c>
      <c r="C11" s="631" t="s">
        <v>2217</v>
      </c>
      <c r="D11" s="637"/>
      <c r="G11" s="436" t="s">
        <v>1252</v>
      </c>
      <c r="H11" s="394" t="str">
        <f>IF(estudo_cvd_type=1, "IGNORAR", case2_est_overlength)</f>
        <v>IGNORAR</v>
      </c>
      <c r="I11" s="394" t="s">
        <v>1262</v>
      </c>
      <c r="N11" s="51"/>
    </row>
    <row r="12" spans="1:15" ht="17.100000000000001" customHeight="1" x14ac:dyDescent="0.2">
      <c r="A12" s="34"/>
      <c r="B12" s="431" t="s">
        <v>1279</v>
      </c>
      <c r="C12" s="432" t="s">
        <v>1757</v>
      </c>
      <c r="D12" s="637"/>
      <c r="N12" s="51"/>
    </row>
    <row r="13" spans="1:15" ht="17.100000000000001" customHeight="1" thickBot="1" x14ac:dyDescent="0.25">
      <c r="A13" s="34"/>
      <c r="B13" s="431" t="s">
        <v>1280</v>
      </c>
      <c r="C13" s="777" t="s">
        <v>2218</v>
      </c>
      <c r="D13" s="639"/>
      <c r="G13" s="806" t="s">
        <v>1859</v>
      </c>
      <c r="H13" s="807"/>
      <c r="I13" s="807"/>
      <c r="J13" s="808"/>
      <c r="N13" s="51"/>
    </row>
    <row r="14" spans="1:15" ht="17.100000000000001" customHeight="1" thickTop="1" x14ac:dyDescent="0.2">
      <c r="A14" s="34"/>
      <c r="B14" s="430" t="s">
        <v>1281</v>
      </c>
      <c r="C14" s="778" t="s">
        <v>2219</v>
      </c>
      <c r="D14" s="639"/>
      <c r="G14" s="847" t="s">
        <v>1637</v>
      </c>
      <c r="H14" s="444" t="s">
        <v>1758</v>
      </c>
      <c r="I14" s="444" t="s">
        <v>1759</v>
      </c>
      <c r="J14" s="444" t="s">
        <v>1760</v>
      </c>
      <c r="M14" s="51"/>
      <c r="N14" s="51"/>
    </row>
    <row r="15" spans="1:15" ht="17.100000000000001" customHeight="1" x14ac:dyDescent="0.2">
      <c r="B15" s="430" t="s">
        <v>1282</v>
      </c>
      <c r="C15" s="778" t="s">
        <v>2220</v>
      </c>
      <c r="D15" s="639"/>
      <c r="G15" s="848"/>
      <c r="H15" s="442" t="s">
        <v>1257</v>
      </c>
      <c r="I15" s="442" t="s">
        <v>1257</v>
      </c>
      <c r="J15" s="442" t="s">
        <v>1256</v>
      </c>
      <c r="M15" s="51"/>
      <c r="N15" s="51"/>
      <c r="O15" s="51"/>
    </row>
    <row r="16" spans="1:15" ht="17.100000000000001" customHeight="1" thickBot="1" x14ac:dyDescent="0.25">
      <c r="B16" s="430" t="s">
        <v>1283</v>
      </c>
      <c r="C16" s="778" t="s">
        <v>2221</v>
      </c>
      <c r="D16" s="639"/>
      <c r="E16" s="435" t="s">
        <v>1599</v>
      </c>
      <c r="G16" s="443" t="s">
        <v>1778</v>
      </c>
      <c r="H16" s="156">
        <f>case3i_din_ez_axial_max</f>
        <v>0</v>
      </c>
      <c r="I16" s="156">
        <f>case3i_din_ex_shear_force_max</f>
        <v>0</v>
      </c>
      <c r="J16" s="156">
        <f>case3i_din_ey_moment_max</f>
        <v>0</v>
      </c>
      <c r="M16" s="51"/>
      <c r="N16" s="51"/>
      <c r="O16" s="51"/>
    </row>
    <row r="17" spans="2:15" ht="17.100000000000001" customHeight="1" thickTop="1" x14ac:dyDescent="0.2">
      <c r="B17" s="429" t="s">
        <v>1284</v>
      </c>
      <c r="C17" s="434">
        <f>postproc_orcaflex_version</f>
        <v>0</v>
      </c>
      <c r="D17" s="638"/>
      <c r="E17" s="843" t="str">
        <f>IF(ISERROR(FIND("11.3d", postproc_orcaflex_version)), "ATENÇÃO! Versão incompatível ou não testada.Verifique a versão do OrcaFlex para evitar erros de pós-processamento!", "Versão compatível")</f>
        <v>ATENÇÃO! Versão incompatível ou não testada.Verifique a versão do OrcaFlex para evitar erros de pós-processamento!</v>
      </c>
      <c r="G17" s="443" t="s">
        <v>1779</v>
      </c>
      <c r="H17" s="391">
        <f>case3i_din_ez_axial_min</f>
        <v>0</v>
      </c>
      <c r="I17" s="391">
        <f>case3i_din_ex_shear_force_min</f>
        <v>0</v>
      </c>
      <c r="J17" s="156">
        <f>case3i_din_ey_moment_min</f>
        <v>0</v>
      </c>
      <c r="K17" s="285"/>
      <c r="L17" s="285"/>
      <c r="M17" s="51"/>
      <c r="N17" s="51"/>
      <c r="O17" s="51"/>
    </row>
    <row r="18" spans="2:15" ht="17.100000000000001" customHeight="1" x14ac:dyDescent="0.2">
      <c r="B18" s="429" t="s">
        <v>1628</v>
      </c>
      <c r="C18" s="433"/>
      <c r="D18" s="639"/>
      <c r="E18" s="844"/>
      <c r="G18" s="443" t="s">
        <v>1749</v>
      </c>
      <c r="H18" s="391">
        <f>case3ii_toque_ez_axial_max</f>
        <v>0</v>
      </c>
      <c r="I18" s="391">
        <f>case3ii_toque_ex_shear_force_max</f>
        <v>0</v>
      </c>
      <c r="J18" s="391">
        <f>case3ii_toque_ey_moment_max</f>
        <v>0</v>
      </c>
      <c r="K18" s="285"/>
      <c r="L18" s="285"/>
      <c r="M18" s="51"/>
      <c r="N18" s="51"/>
      <c r="O18" s="51"/>
    </row>
    <row r="19" spans="2:15" ht="17.100000000000001" customHeight="1" x14ac:dyDescent="0.2">
      <c r="B19" s="429" t="s">
        <v>1629</v>
      </c>
      <c r="C19" s="433"/>
      <c r="D19" s="639"/>
      <c r="E19" s="844"/>
      <c r="G19" s="443" t="s">
        <v>1860</v>
      </c>
      <c r="H19" s="156">
        <f>case4_et_result_ez_axial_with_buoys</f>
        <v>0</v>
      </c>
      <c r="I19" s="156">
        <f>case4_et_result_ex_shear_force_with_buoys</f>
        <v>0</v>
      </c>
      <c r="J19" s="156">
        <f>case4_et_result_ey_moment_with_buoys</f>
        <v>0</v>
      </c>
      <c r="K19" s="285"/>
      <c r="L19" s="285"/>
      <c r="M19" s="51"/>
      <c r="N19" s="51"/>
      <c r="O19" s="51"/>
    </row>
    <row r="20" spans="2:15" ht="17.100000000000001" customHeight="1" x14ac:dyDescent="0.2">
      <c r="B20" s="429" t="s">
        <v>1630</v>
      </c>
      <c r="C20" s="433"/>
      <c r="D20" s="639"/>
      <c r="E20" s="845"/>
      <c r="F20" s="51"/>
      <c r="G20" s="443" t="s">
        <v>1861</v>
      </c>
      <c r="H20" s="156">
        <f>case4_et_result_ez_axial_without_buoys</f>
        <v>0</v>
      </c>
      <c r="I20" s="156">
        <f>case4_et_result_ex_shear_force_without_buoys</f>
        <v>0</v>
      </c>
      <c r="J20" s="156">
        <f>case4_et_result_ey_moment_without_buoys</f>
        <v>0</v>
      </c>
      <c r="L20" s="285"/>
      <c r="M20" s="51"/>
      <c r="N20" s="51"/>
      <c r="O20" s="51"/>
    </row>
    <row r="21" spans="2:15" ht="17.100000000000001" customHeight="1" x14ac:dyDescent="0.2">
      <c r="B21" s="429" t="s">
        <v>1285</v>
      </c>
      <c r="C21" s="434" t="str">
        <f>_xlfn.CONCAT("RT-",C8)</f>
        <v>RT-2691</v>
      </c>
      <c r="D21" s="639"/>
      <c r="F21" s="51"/>
      <c r="G21" s="443" t="s">
        <v>1862</v>
      </c>
      <c r="H21" s="156">
        <f>case5_et_result_ez_axial</f>
        <v>0</v>
      </c>
      <c r="I21" s="156">
        <f>case5_et_result_ex_shear_force</f>
        <v>0</v>
      </c>
      <c r="J21" s="156">
        <f>case5_et_result_ey_moment</f>
        <v>0</v>
      </c>
      <c r="M21" s="51"/>
      <c r="N21" s="51"/>
      <c r="O21" s="51"/>
    </row>
    <row r="22" spans="2:15" ht="17.100000000000001" customHeight="1" thickBot="1" x14ac:dyDescent="0.25">
      <c r="B22" s="429" t="s">
        <v>1286</v>
      </c>
      <c r="C22" s="778">
        <v>0</v>
      </c>
      <c r="D22" s="639"/>
      <c r="E22" s="420" t="s">
        <v>1791</v>
      </c>
      <c r="F22" s="51"/>
      <c r="G22" s="443" t="s">
        <v>1841</v>
      </c>
      <c r="H22" s="156" t="str">
        <f>IF(estudo_cvd_type=1, "IGNORAR", puxada_ez_axial_max)</f>
        <v>IGNORAR</v>
      </c>
      <c r="I22" s="156" t="str">
        <f>IF(estudo_cvd_type=1, "IGNORAR", puxada_ex_shear_force_max)</f>
        <v>IGNORAR</v>
      </c>
      <c r="J22" s="156" t="str">
        <f>IF(estudo_cvd_type=1, "IGNORAR", puxada_ey_moment_max)</f>
        <v>IGNORAR</v>
      </c>
      <c r="M22" s="51"/>
      <c r="N22" s="51"/>
      <c r="O22" s="51"/>
    </row>
    <row r="23" spans="2:15" ht="17.100000000000001" customHeight="1" thickTop="1" thickBot="1" x14ac:dyDescent="0.25">
      <c r="B23" s="429" t="s">
        <v>1287</v>
      </c>
      <c r="C23" s="779" t="s">
        <v>2222</v>
      </c>
      <c r="D23" s="639"/>
      <c r="E23" s="421" t="str">
        <f>IF(COUNTBLANK(C3:C23)&lt;2,  "Sim!", "Não! Há campos em branco.")</f>
        <v>Não! Há campos em branco.</v>
      </c>
      <c r="G23" s="443" t="s">
        <v>1842</v>
      </c>
      <c r="H23" s="156" t="str">
        <f>IF(estudo_cvd_type=1, "IGNORAR", puxada_ez_axial_min)</f>
        <v>IGNORAR</v>
      </c>
      <c r="I23" s="156" t="str">
        <f>IF(estudo_cvd_type=1, "IGNORAR", puxada_ex_shear_force_min)</f>
        <v>IGNORAR</v>
      </c>
      <c r="J23" s="156" t="str">
        <f>IF(estudo_cvd_type=1, "IGNORAR", puxada_ey_moment_min)</f>
        <v>IGNORAR</v>
      </c>
      <c r="N23" s="51"/>
      <c r="O23" s="51"/>
    </row>
    <row r="24" spans="2:15" ht="17.100000000000001" customHeight="1" x14ac:dyDescent="0.2">
      <c r="B24" s="34"/>
      <c r="C24" s="55"/>
      <c r="D24" s="55"/>
      <c r="G24" s="849" t="s">
        <v>1741</v>
      </c>
      <c r="H24" s="849"/>
      <c r="I24" s="849"/>
      <c r="J24" s="849"/>
      <c r="K24" s="548"/>
      <c r="N24" s="51"/>
      <c r="O24" s="51"/>
    </row>
    <row r="25" spans="2:15" ht="17.100000000000001" customHeight="1" thickBot="1" x14ac:dyDescent="0.25">
      <c r="B25" s="806" t="s">
        <v>1792</v>
      </c>
      <c r="C25" s="808"/>
      <c r="D25" s="642"/>
      <c r="E25" s="667" t="s">
        <v>1640</v>
      </c>
      <c r="G25" s="850"/>
      <c r="H25" s="850"/>
      <c r="I25" s="850"/>
      <c r="J25" s="850"/>
      <c r="N25" s="51"/>
      <c r="O25" s="51"/>
    </row>
    <row r="26" spans="2:15" ht="17.100000000000001" customHeight="1" thickTop="1" x14ac:dyDescent="0.2">
      <c r="B26" s="691" t="s">
        <v>1288</v>
      </c>
      <c r="C26" s="522"/>
      <c r="D26" s="644"/>
      <c r="E26" s="284"/>
      <c r="N26" s="51"/>
      <c r="O26" s="51"/>
    </row>
    <row r="27" spans="2:15" ht="17.100000000000001" customHeight="1" x14ac:dyDescent="0.2">
      <c r="B27" s="691" t="s">
        <v>2154</v>
      </c>
      <c r="C27" s="690">
        <f>dragagem_dist+ 'MCV e Guindaste'!B14/1000</f>
        <v>0.83899999999999997</v>
      </c>
      <c r="D27" s="644"/>
      <c r="E27" s="667" t="s">
        <v>1636</v>
      </c>
      <c r="N27" s="51"/>
      <c r="O27" s="51"/>
    </row>
    <row r="28" spans="2:15" ht="17.100000000000001" customHeight="1" x14ac:dyDescent="0.2">
      <c r="B28" s="425" t="s">
        <v>321</v>
      </c>
      <c r="C28" s="523"/>
      <c r="D28" s="644"/>
      <c r="N28" s="51"/>
      <c r="O28" s="51"/>
    </row>
    <row r="29" spans="2:15" ht="17.100000000000001" customHeight="1" thickBot="1" x14ac:dyDescent="0.25">
      <c r="B29" s="425" t="s">
        <v>1289</v>
      </c>
      <c r="C29" s="523"/>
      <c r="E29" s="422" t="s">
        <v>1733</v>
      </c>
    </row>
    <row r="30" spans="2:15" ht="17.100000000000001" customHeight="1" thickTop="1" x14ac:dyDescent="0.2">
      <c r="D30" s="642"/>
      <c r="E30" s="520" t="str">
        <f xml:space="preserve"> IF(AND(Data!I29=0, Data!$W$27=0), "Aguardando Processamento", IF(Data!I29&lt;=Data!$W$27, "Travou", "Não travou"))</f>
        <v>Travou</v>
      </c>
    </row>
    <row r="31" spans="2:15" ht="17.100000000000001" customHeight="1" thickBot="1" x14ac:dyDescent="0.25">
      <c r="B31" s="806" t="s">
        <v>1793</v>
      </c>
      <c r="C31" s="808"/>
      <c r="D31" s="640"/>
    </row>
    <row r="32" spans="2:15" ht="17.100000000000001" customHeight="1" thickTop="1" x14ac:dyDescent="0.2">
      <c r="B32" s="423" t="s">
        <v>1672</v>
      </c>
      <c r="C32" s="426" t="s">
        <v>1795</v>
      </c>
      <c r="D32" s="640"/>
    </row>
    <row r="33" spans="2:12" ht="17.100000000000001" customHeight="1" x14ac:dyDescent="0.2">
      <c r="B33" s="424" t="s">
        <v>1740</v>
      </c>
      <c r="C33" s="336" t="s">
        <v>1269</v>
      </c>
      <c r="D33" s="640"/>
    </row>
    <row r="34" spans="2:12" ht="17.100000000000001" customHeight="1" x14ac:dyDescent="0.2">
      <c r="B34" s="424" t="s">
        <v>1794</v>
      </c>
      <c r="C34" s="336" t="str">
        <f>_xlfn.CONCAT("cases_4_5\", "Caso3ii_lançamento")</f>
        <v>cases_4_5\Caso3ii_lançamento</v>
      </c>
      <c r="D34" s="640"/>
    </row>
    <row r="35" spans="2:12" ht="17.100000000000001" customHeight="1" x14ac:dyDescent="0.2">
      <c r="B35" s="424" t="s">
        <v>1767</v>
      </c>
      <c r="C35" s="336" t="str">
        <f>_xlfn.CONCAT("cases_4_5\", "Caso4_lançamento_comflut")</f>
        <v>cases_4_5\Caso4_lançamento_comflut</v>
      </c>
      <c r="D35" s="640"/>
    </row>
    <row r="36" spans="2:12" ht="17.100000000000001" customHeight="1" x14ac:dyDescent="0.2">
      <c r="B36" s="424" t="s">
        <v>1767</v>
      </c>
      <c r="C36" s="336" t="str">
        <f>_xlfn.CONCAT("cases_4_5\", "Caso4_lançamento_semflut")</f>
        <v>cases_4_5\Caso4_lançamento_semflut</v>
      </c>
      <c r="D36" s="640"/>
    </row>
    <row r="37" spans="2:12" ht="17.100000000000001" customHeight="1" x14ac:dyDescent="0.2">
      <c r="B37" s="424" t="s">
        <v>1768</v>
      </c>
      <c r="C37" s="336" t="str">
        <f>_xlfn.CONCAT("cases_4_5\", "Caso4_teste_comflut")</f>
        <v>cases_4_5\Caso4_teste_comflut</v>
      </c>
      <c r="D37" s="640"/>
      <c r="L37" s="60"/>
    </row>
    <row r="38" spans="2:12" ht="17.100000000000001" customHeight="1" x14ac:dyDescent="0.2">
      <c r="B38" s="424" t="s">
        <v>1768</v>
      </c>
      <c r="C38" s="336" t="str">
        <f>_xlfn.CONCAT("cases_4_5\", "Caso4_teste_semflut")</f>
        <v>cases_4_5\Caso4_teste_semflut</v>
      </c>
      <c r="D38" s="640"/>
      <c r="K38" s="60"/>
    </row>
    <row r="39" spans="2:12" ht="17.100000000000001" customHeight="1" x14ac:dyDescent="0.2">
      <c r="B39" s="424" t="s">
        <v>1769</v>
      </c>
      <c r="C39" s="336" t="str">
        <f>_xlfn.CONCAT("cases_4_5\", "Caso5_operação_semflut")</f>
        <v>cases_4_5\Caso5_operação_semflut</v>
      </c>
      <c r="D39" s="640"/>
    </row>
    <row r="40" spans="2:12" ht="17.100000000000001" customHeight="1" x14ac:dyDescent="0.2">
      <c r="B40" s="424" t="s">
        <v>1623</v>
      </c>
      <c r="C40" s="336" t="s">
        <v>1259</v>
      </c>
      <c r="D40" s="640"/>
    </row>
    <row r="41" spans="2:12" ht="17.100000000000001" customHeight="1" x14ac:dyDescent="0.2">
      <c r="B41" s="424" t="s">
        <v>1624</v>
      </c>
      <c r="C41" s="336" t="s">
        <v>1260</v>
      </c>
      <c r="D41" s="640"/>
      <c r="J41" s="60"/>
    </row>
    <row r="42" spans="2:12" ht="17.100000000000001" customHeight="1" x14ac:dyDescent="0.2">
      <c r="B42" s="427" t="s">
        <v>1253</v>
      </c>
      <c r="C42" s="426" t="str">
        <f>IF(estudo_cvd_type=1, "IGNORAR", "Hmax")</f>
        <v>IGNORAR</v>
      </c>
      <c r="D42" s="640"/>
    </row>
    <row r="43" spans="2:12" ht="17.100000000000001" customHeight="1" x14ac:dyDescent="0.2">
      <c r="B43" s="425" t="s">
        <v>1254</v>
      </c>
      <c r="C43" s="336" t="str">
        <f>IF(estudo_cvd_type=1, "IGNORAR", "Dinamico")</f>
        <v>IGNORAR</v>
      </c>
    </row>
    <row r="44" spans="2:12" ht="17.100000000000001" customHeight="1" x14ac:dyDescent="0.2">
      <c r="D44" s="642"/>
    </row>
    <row r="45" spans="2:12" ht="17.100000000000001" customHeight="1" thickBot="1" x14ac:dyDescent="0.25">
      <c r="B45" s="806" t="s">
        <v>1857</v>
      </c>
      <c r="C45" s="808"/>
      <c r="D45" s="645"/>
    </row>
    <row r="46" spans="2:12" ht="17.100000000000001" customHeight="1" thickTop="1" x14ac:dyDescent="0.2">
      <c r="B46" s="445" t="s">
        <v>1639</v>
      </c>
      <c r="C46" s="446" t="s">
        <v>1249</v>
      </c>
      <c r="D46" s="641"/>
    </row>
    <row r="47" spans="2:12" ht="17.100000000000001" customHeight="1" x14ac:dyDescent="0.2">
      <c r="B47" s="447" t="s">
        <v>1250</v>
      </c>
      <c r="C47" s="448">
        <v>24</v>
      </c>
      <c r="D47" s="641"/>
    </row>
    <row r="48" spans="2:12" ht="17.100000000000001" customHeight="1" x14ac:dyDescent="0.2">
      <c r="B48" s="447" t="s">
        <v>1251</v>
      </c>
      <c r="C48" s="448">
        <v>24</v>
      </c>
      <c r="D48" s="641"/>
    </row>
    <row r="49" spans="2:4" ht="17.100000000000001" customHeight="1" x14ac:dyDescent="0.2">
      <c r="B49" s="449" t="s">
        <v>1259</v>
      </c>
      <c r="C49" s="448">
        <v>24</v>
      </c>
      <c r="D49" s="641"/>
    </row>
    <row r="50" spans="2:4" ht="17.100000000000001" customHeight="1" x14ac:dyDescent="0.2">
      <c r="B50" s="449" t="s">
        <v>1260</v>
      </c>
      <c r="C50" s="448">
        <v>24</v>
      </c>
      <c r="D50" s="641"/>
    </row>
    <row r="51" spans="2:4" ht="17.100000000000001" customHeight="1" x14ac:dyDescent="0.2">
      <c r="B51" s="450" t="s">
        <v>1253</v>
      </c>
      <c r="C51" s="451" t="str">
        <f>IF(estudo_cvd_type=1, "IGNORAR", 24)</f>
        <v>IGNORAR</v>
      </c>
      <c r="D51" s="641"/>
    </row>
    <row r="52" spans="2:4" ht="17.100000000000001" customHeight="1" x14ac:dyDescent="0.2">
      <c r="B52" s="447" t="s">
        <v>1254</v>
      </c>
      <c r="C52" s="448" t="str">
        <f>IF(estudo_cvd_type=1, "IGNORAR", 24)</f>
        <v>IGNORAR</v>
      </c>
    </row>
    <row r="262" ht="27" customHeight="1" x14ac:dyDescent="0.2"/>
    <row r="263" ht="12.75" x14ac:dyDescent="0.2"/>
    <row r="265" ht="12.75" x14ac:dyDescent="0.2"/>
    <row r="306" spans="1:2" ht="17.100000000000001" customHeight="1" x14ac:dyDescent="0.2">
      <c r="A306" s="34"/>
    </row>
    <row r="311" spans="1:2" ht="17.100000000000001" customHeight="1" x14ac:dyDescent="0.2">
      <c r="B311" s="33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H6:H11">
    <sortCondition ref="H6"/>
  </sortState>
  <mergeCells count="9">
    <mergeCell ref="B45:C45"/>
    <mergeCell ref="B31:C31"/>
    <mergeCell ref="B2:C2"/>
    <mergeCell ref="E17:E20"/>
    <mergeCell ref="G2:I2"/>
    <mergeCell ref="B25:C25"/>
    <mergeCell ref="G14:G15"/>
    <mergeCell ref="G13:J13"/>
    <mergeCell ref="G24:J25"/>
  </mergeCells>
  <conditionalFormatting sqref="E23">
    <cfRule type="containsText" dxfId="196" priority="16" operator="containsText" text="Sim">
      <formula>NOT(ISERROR(SEARCH("Sim",E23)))</formula>
    </cfRule>
    <cfRule type="containsText" dxfId="195" priority="17" operator="containsText" text="Não">
      <formula>NOT(ISERROR(SEARCH("Não",E23)))</formula>
    </cfRule>
  </conditionalFormatting>
  <conditionalFormatting sqref="E17">
    <cfRule type="containsText" dxfId="194" priority="14" operator="containsText" text="Versão compatível">
      <formula>NOT(ISERROR(SEARCH("Versão compatível",E17)))</formula>
    </cfRule>
    <cfRule type="containsText" dxfId="193" priority="15" operator="containsText" text="incompatível">
      <formula>NOT(ISERROR(SEARCH("incompatível",E17)))</formula>
    </cfRule>
  </conditionalFormatting>
  <conditionalFormatting sqref="E30">
    <cfRule type="cellIs" dxfId="192" priority="10" operator="equal">
      <formula>"Não travou"</formula>
    </cfRule>
    <cfRule type="cellIs" dxfId="191" priority="11" operator="equal">
      <formula>"Travou"</formula>
    </cfRule>
  </conditionalFormatting>
  <conditionalFormatting sqref="E2">
    <cfRule type="containsText" dxfId="190" priority="3" operator="containsText" text="2ª">
      <formula>NOT(ISERROR(SEARCH("2ª",E2)))</formula>
    </cfRule>
    <cfRule type="containsText" dxfId="189" priority="4" operator="containsText" text="1ª">
      <formula>NOT(ISERROR(SEARCH("1ª",E2)))</formula>
    </cfRule>
    <cfRule type="containsText" dxfId="188" priority="5" operator="containsText" text="Selecione">
      <formula>NOT(ISERROR(SEARCH("Selecione",E2)))</formula>
    </cfRule>
  </conditionalFormatting>
  <dataValidations count="9">
    <dataValidation type="list" allowBlank="1" showInputMessage="1" showErrorMessage="1" sqref="C3" xr:uid="{6FACE481-E043-42AB-B9DD-F402DEBCBBF5}">
      <formula1>droplist_line_type</formula1>
    </dataValidation>
    <dataValidation allowBlank="1" showErrorMessage="1" prompt="O conteúdo desta célula não deve ser alterado." sqref="C40:C41 B51:B52 B48 C32:C36 B47:C47" xr:uid="{00000000-0002-0000-1100-000003000000}"/>
    <dataValidation type="whole" operator="greaterThanOrEqual" allowBlank="1" showInputMessage="1" showErrorMessage="1" errorTitle="Erro de Input" error="Inserir apenas números inteiros." sqref="C8" xr:uid="{40352AE4-501C-404B-BA18-67D4F3BAA529}">
      <formula1>0</formula1>
    </dataValidation>
    <dataValidation type="list" allowBlank="1" showInputMessage="1" showErrorMessage="1" sqref="C4" xr:uid="{4BECB1EC-8631-4A92-AEFC-108E3180AFEF}">
      <formula1>"Poço,Manifold,PLET"</formula1>
    </dataValidation>
    <dataValidation type="list" allowBlank="1" showInputMessage="1" sqref="C6" xr:uid="{4F0E2BEC-D6A4-4CF8-B456-5474A899D5DC}">
      <formula1>"Skandi Niterói,Skandi Vitória,Skandi Búzios,Skandi Açu,Skandi Recife,Skandi Olinda, Coral do Atlântico, Estrela do Mar"</formula1>
    </dataValidation>
    <dataValidation allowBlank="1" showInputMessage="1" showErrorMessage="1" prompt="O conteúdo desta célula não deve ser alterado." sqref="E29" xr:uid="{00000000-0002-0000-1100-000001000000}"/>
    <dataValidation allowBlank="1" showErrorMessage="1" sqref="E30" xr:uid="{00000000-0002-0000-1100-000002000000}"/>
    <dataValidation operator="greaterThanOrEqual" allowBlank="1" showInputMessage="1" showErrorMessage="1" errorTitle="Erro de Input" error="Inserir apenas números inteiros." sqref="C9" xr:uid="{61F9CB16-53C3-4B10-8D8A-A7F5DEBCDEF1}"/>
    <dataValidation type="decimal" allowBlank="1" showInputMessage="1" showErrorMessage="1" sqref="C26:C29" xr:uid="{00000000-0002-0000-1100-000008000000}">
      <formula1>0</formula1>
      <formula2>99999999999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4" r:id="rId4" name="Button 42">
              <controlPr defaultSize="0" print="0" autoFill="0" autoPict="0" macro="[0]!GenerateWordReport">
                <anchor moveWithCells="1" sizeWithCells="1">
                  <from>
                    <xdr:col>4</xdr:col>
                    <xdr:colOff>9525</xdr:colOff>
                    <xdr:row>11</xdr:row>
                    <xdr:rowOff>190500</xdr:rowOff>
                  </from>
                  <to>
                    <xdr:col>5</xdr:col>
                    <xdr:colOff>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5" name="Button 43">
              <controlPr defaultSize="0" print="0" autoFill="0" autoPict="0" macro="[0]!RunPostProcessing">
                <anchor moveWithCells="1" sizeWithCells="1">
                  <from>
                    <xdr:col>4</xdr:col>
                    <xdr:colOff>9525</xdr:colOff>
                    <xdr:row>8</xdr:row>
                    <xdr:rowOff>190500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6" name="Button 74">
              <controlPr defaultSize="0" print="0" autoFill="0" autoPict="0" macro="[0]!GenerateCases_4_5">
                <anchor moveWithCells="1" sizeWithCells="1">
                  <from>
                    <xdr:col>4</xdr:col>
                    <xdr:colOff>9525</xdr:colOff>
                    <xdr:row>5</xdr:row>
                    <xdr:rowOff>209550</xdr:rowOff>
                  </from>
                  <to>
                    <xdr:col>4</xdr:col>
                    <xdr:colOff>2047875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7" name="Button 84">
              <controlPr defaultSize="0" print="0" autoFill="0" autoPict="0" macro="[0]!GenerateLayaway">
                <anchor moveWithCells="1" sizeWithCells="1">
                  <from>
                    <xdr:col>4</xdr:col>
                    <xdr:colOff>9525</xdr:colOff>
                    <xdr:row>2</xdr:row>
                    <xdr:rowOff>200025</xdr:rowOff>
                  </from>
                  <to>
                    <xdr:col>5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7"/>
  <dimension ref="A1:M52"/>
  <sheetViews>
    <sheetView zoomScale="80" zoomScaleNormal="80" workbookViewId="0">
      <selection activeCell="E14" sqref="E14:E16"/>
    </sheetView>
  </sheetViews>
  <sheetFormatPr defaultColWidth="0" defaultRowHeight="12.75" zeroHeight="1" x14ac:dyDescent="0.2"/>
  <cols>
    <col min="1" max="1" width="1.7109375" style="51" customWidth="1"/>
    <col min="2" max="2" width="25.7109375" style="51" customWidth="1"/>
    <col min="3" max="3" width="10.7109375" style="51" customWidth="1"/>
    <col min="4" max="5" width="23.7109375" style="51" customWidth="1"/>
    <col min="6" max="6" width="23.140625" style="51" bestFit="1" customWidth="1"/>
    <col min="7" max="11" width="15.7109375" style="51" customWidth="1"/>
    <col min="12" max="12" width="1.7109375" style="51" customWidth="1"/>
    <col min="13" max="13" width="0" style="51" hidden="1" customWidth="1"/>
    <col min="14" max="16384" width="9.140625" style="51" hidden="1"/>
  </cols>
  <sheetData>
    <row r="1" spans="2:11" x14ac:dyDescent="0.2"/>
    <row r="2" spans="2:11" x14ac:dyDescent="0.2">
      <c r="B2" s="889" t="s">
        <v>1310</v>
      </c>
      <c r="C2" s="717" t="s">
        <v>462</v>
      </c>
      <c r="D2" s="716" t="s">
        <v>461</v>
      </c>
      <c r="E2" s="717" t="s">
        <v>1311</v>
      </c>
    </row>
    <row r="3" spans="2:11" ht="13.5" thickBot="1" x14ac:dyDescent="0.25">
      <c r="B3" s="890"/>
      <c r="C3" s="47" t="s">
        <v>1257</v>
      </c>
      <c r="D3" s="720" t="s">
        <v>1257</v>
      </c>
      <c r="E3" s="47" t="s">
        <v>1256</v>
      </c>
    </row>
    <row r="4" spans="2:11" ht="13.5" thickTop="1" x14ac:dyDescent="0.2">
      <c r="B4" s="719" t="s">
        <v>2189</v>
      </c>
      <c r="C4" s="715">
        <f>IF(B4="Caso 3i - Heave up (Max)", case3i_din_ez_axial_max, IF(B4="Caso 3i - Heave up (Min)", case3i_din_ez_axial_min, IF(B4="Caso 3ii - Toque no Solo", case3ii_toque_ez_axial_max, IF(B4="Caso 4 - Teste Hidroestático (Com Flutuador)", case4_et_result_ez_axial_with_buoys, IF(B4="Caso 4 - Teste Hidroestático (Sem Flutuador)", case4_et_result_ez_axial_with_buoys, IF(B4="Caso 5 - Operação (Sem Flutuador)", case5_et_result_ez_axial,  IF(B4="Puxada com GP Max", puxada_ez_axial_max, IF(B4="Puxada com GP Min", puxada_ez_axial_min))))))))</f>
        <v>0</v>
      </c>
      <c r="D4" s="718">
        <f>IF(B4="Caso 3i - Heave up (Max)", case3i_din_ex_shear_force_max,
IF(B4="Caso 3i - Heave up (Min)", case3i_din_ex_shear_force_min,
IF(B4="Caso 3ii - Toque no Solo", case3ii_toque_ex_shear_force_max,
IF(B4="Caso 4 - Teste Hidroestático (Com Flutuador)", case4_et_result_ex_shear_force_with_buoys,
IF(B4="Caso 4 - Teste Hidroestático (Sem Flutuador)", case4_et_result_ex_shear_force_without_buoys,
IF(B4="Caso 5 - Operação (Sem Flutuador)", case5_et_result_ex_shear_force,
IF(B4="Puxada com GP Max", puxada_ex_shear_force_max,
IF(B4="Puxada com GP Min", puxada_ex_shear_force_min))))))))</f>
        <v>0</v>
      </c>
      <c r="E4" s="715">
        <f>IF(B4="Caso 3i - Heave up (Max)", case3i_din_ey_moment_max, IF(B4="Caso 3i - Heave up (Min)", case3i_din_ey_moment_min, IF(B4="Caso 3ii - Toque no Solo", case3ii_toque_ey_moment_max, IF(B4="Caso 4 - Teste Hidroestático (Com Flutuador)", case4_et_result_ey_moment_with_buoys, IF(B4="Caso 4 - Teste Hidroestático (Sem Flutuador)", case4_et_result_ey_moment_with_buoys, IF(B4="Caso 5 - Operação (Sem Flutuador)", case5_et_result_ey_moment, IF(B4="Puxada com GP Max", puxada_ey_moment_max,  IF(B4="Puxada com GP Min", puxada_ey_moment_min))))))))</f>
        <v>0</v>
      </c>
    </row>
    <row r="5" spans="2:11" ht="13.5" thickBot="1" x14ac:dyDescent="0.25"/>
    <row r="6" spans="2:11" ht="20.100000000000001" customHeight="1" thickBot="1" x14ac:dyDescent="0.25">
      <c r="G6" s="5" t="s">
        <v>203</v>
      </c>
      <c r="H6" s="857" t="s">
        <v>1312</v>
      </c>
      <c r="I6" s="858"/>
      <c r="J6" s="858"/>
      <c r="K6" s="859"/>
    </row>
    <row r="7" spans="2:11" ht="20.100000000000001" customHeight="1" thickBot="1" x14ac:dyDescent="0.25">
      <c r="B7" s="851" t="s">
        <v>1313</v>
      </c>
      <c r="C7" s="852"/>
      <c r="D7" s="851" t="s">
        <v>1314</v>
      </c>
      <c r="E7" s="853"/>
      <c r="F7" s="52" t="s">
        <v>1750</v>
      </c>
      <c r="G7" s="109" t="s">
        <v>1315</v>
      </c>
      <c r="H7" s="47" t="s">
        <v>462</v>
      </c>
      <c r="I7" s="48" t="s">
        <v>461</v>
      </c>
      <c r="J7" s="47" t="s">
        <v>1316</v>
      </c>
      <c r="K7" s="410" t="s">
        <v>1317</v>
      </c>
    </row>
    <row r="8" spans="2:11" ht="15" customHeight="1" thickTop="1" thickBot="1" x14ac:dyDescent="0.25">
      <c r="B8" s="854" t="s">
        <v>1318</v>
      </c>
      <c r="C8" s="855"/>
      <c r="D8" s="854" t="s">
        <v>1319</v>
      </c>
      <c r="E8" s="856"/>
      <c r="F8" s="339"/>
      <c r="G8" s="110" t="e">
        <f>VALUE(LEFT(F8,SEARCH(" ",F8)-1))</f>
        <v>#VALUE!</v>
      </c>
      <c r="H8" s="96"/>
      <c r="I8" s="103"/>
      <c r="J8" s="404"/>
      <c r="K8" s="403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---</v>
      </c>
    </row>
    <row r="9" spans="2:11" ht="15" customHeight="1" x14ac:dyDescent="0.2">
      <c r="B9" s="862" t="s">
        <v>1320</v>
      </c>
      <c r="C9" s="863"/>
      <c r="D9" s="862" t="s">
        <v>1319</v>
      </c>
      <c r="E9" s="873"/>
      <c r="F9" s="340"/>
      <c r="G9" s="111" t="e">
        <f t="shared" ref="G9:G51" si="0">VALUE(LEFT(F9,SEARCH(" ",F9)-1))</f>
        <v>#VALUE!</v>
      </c>
      <c r="H9" s="97">
        <f>$C$4</f>
        <v>0</v>
      </c>
      <c r="I9" s="104"/>
      <c r="J9" s="397"/>
      <c r="K9" s="402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10" spans="2:11" ht="15" customHeight="1" x14ac:dyDescent="0.2">
      <c r="B10" s="864"/>
      <c r="C10" s="865"/>
      <c r="D10" s="864" t="s">
        <v>1321</v>
      </c>
      <c r="E10" s="874"/>
      <c r="F10" s="341"/>
      <c r="G10" s="112" t="e">
        <f t="shared" si="0"/>
        <v>#VALUE!</v>
      </c>
      <c r="H10" s="98"/>
      <c r="I10" s="105">
        <f>$D$4</f>
        <v>0</v>
      </c>
      <c r="J10" s="398"/>
      <c r="K10" s="405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11" spans="2:11" ht="15" customHeight="1" x14ac:dyDescent="0.2">
      <c r="B11" s="864"/>
      <c r="C11" s="865"/>
      <c r="D11" s="864" t="s">
        <v>1322</v>
      </c>
      <c r="E11" s="874"/>
      <c r="F11" s="342"/>
      <c r="G11" s="112" t="e">
        <f t="shared" si="0"/>
        <v>#VALUE!</v>
      </c>
      <c r="H11" s="98"/>
      <c r="I11" s="105"/>
      <c r="J11" s="398">
        <f>$E$4</f>
        <v>0</v>
      </c>
      <c r="K11" s="405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12" spans="2:11" ht="15" customHeight="1" x14ac:dyDescent="0.2">
      <c r="B12" s="864"/>
      <c r="C12" s="865"/>
      <c r="D12" s="864" t="s">
        <v>1323</v>
      </c>
      <c r="E12" s="874"/>
      <c r="F12" s="342"/>
      <c r="G12" s="114" t="e">
        <f t="shared" si="0"/>
        <v>#VALUE!</v>
      </c>
      <c r="H12" s="100"/>
      <c r="I12" s="107"/>
      <c r="J12" s="400"/>
      <c r="K12" s="408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---</v>
      </c>
    </row>
    <row r="13" spans="2:11" ht="15" customHeight="1" thickBot="1" x14ac:dyDescent="0.25">
      <c r="B13" s="860"/>
      <c r="C13" s="866"/>
      <c r="D13" s="860" t="s">
        <v>1324</v>
      </c>
      <c r="E13" s="861"/>
      <c r="F13" s="343"/>
      <c r="G13" s="113" t="e">
        <f t="shared" si="0"/>
        <v>#VALUE!</v>
      </c>
      <c r="H13" s="99"/>
      <c r="I13" s="106"/>
      <c r="J13" s="399"/>
      <c r="K13" s="406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---</v>
      </c>
    </row>
    <row r="14" spans="2:11" ht="15" customHeight="1" x14ac:dyDescent="0.2">
      <c r="B14" s="862" t="s">
        <v>1325</v>
      </c>
      <c r="C14" s="863"/>
      <c r="D14" s="867" t="s">
        <v>1326</v>
      </c>
      <c r="E14" s="82" t="s">
        <v>1319</v>
      </c>
      <c r="F14" s="340"/>
      <c r="G14" s="111" t="e">
        <f t="shared" si="0"/>
        <v>#VALUE!</v>
      </c>
      <c r="H14" s="97">
        <f>$C$4</f>
        <v>0</v>
      </c>
      <c r="I14" s="104"/>
      <c r="J14" s="397"/>
      <c r="K14" s="408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15" spans="2:11" ht="15" customHeight="1" x14ac:dyDescent="0.2">
      <c r="B15" s="864"/>
      <c r="C15" s="865"/>
      <c r="D15" s="868"/>
      <c r="E15" s="80" t="s">
        <v>1321</v>
      </c>
      <c r="F15" s="342"/>
      <c r="G15" s="112" t="e">
        <f t="shared" si="0"/>
        <v>#VALUE!</v>
      </c>
      <c r="H15" s="98"/>
      <c r="I15" s="105">
        <f>$D$4</f>
        <v>0</v>
      </c>
      <c r="J15" s="398"/>
      <c r="K15" s="405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16" spans="2:11" ht="15" customHeight="1" thickBot="1" x14ac:dyDescent="0.25">
      <c r="B16" s="864"/>
      <c r="C16" s="865"/>
      <c r="D16" s="869"/>
      <c r="E16" s="81" t="s">
        <v>1322</v>
      </c>
      <c r="F16" s="343"/>
      <c r="G16" s="113" t="e">
        <f t="shared" si="0"/>
        <v>#VALUE!</v>
      </c>
      <c r="H16" s="99"/>
      <c r="I16" s="106"/>
      <c r="J16" s="399">
        <f>$E$4</f>
        <v>0</v>
      </c>
      <c r="K16" s="407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17" spans="2:11" ht="15" customHeight="1" x14ac:dyDescent="0.2">
      <c r="B17" s="864"/>
      <c r="C17" s="865"/>
      <c r="D17" s="870" t="s">
        <v>1327</v>
      </c>
      <c r="E17" s="79" t="s">
        <v>1319</v>
      </c>
      <c r="F17" s="344"/>
      <c r="G17" s="114" t="e">
        <f t="shared" si="0"/>
        <v>#VALUE!</v>
      </c>
      <c r="H17" s="100">
        <f>$C$4</f>
        <v>0</v>
      </c>
      <c r="I17" s="107"/>
      <c r="J17" s="400"/>
      <c r="K17" s="409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18" spans="2:11" ht="15" customHeight="1" x14ac:dyDescent="0.2">
      <c r="B18" s="864"/>
      <c r="C18" s="865"/>
      <c r="D18" s="868"/>
      <c r="E18" s="80" t="s">
        <v>1321</v>
      </c>
      <c r="F18" s="341"/>
      <c r="G18" s="112" t="e">
        <f t="shared" si="0"/>
        <v>#VALUE!</v>
      </c>
      <c r="H18" s="98"/>
      <c r="I18" s="105">
        <f>$D$4</f>
        <v>0</v>
      </c>
      <c r="J18" s="398"/>
      <c r="K18" s="405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19" spans="2:11" ht="15" customHeight="1" thickBot="1" x14ac:dyDescent="0.25">
      <c r="B19" s="864"/>
      <c r="C19" s="865"/>
      <c r="D19" s="869"/>
      <c r="E19" s="81" t="s">
        <v>1322</v>
      </c>
      <c r="F19" s="343"/>
      <c r="G19" s="113" t="e">
        <f t="shared" si="0"/>
        <v>#VALUE!</v>
      </c>
      <c r="H19" s="99"/>
      <c r="I19" s="106"/>
      <c r="J19" s="399">
        <f>$E$4</f>
        <v>0</v>
      </c>
      <c r="K19" s="406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20" spans="2:11" ht="15" customHeight="1" x14ac:dyDescent="0.2">
      <c r="B20" s="864"/>
      <c r="C20" s="865"/>
      <c r="D20" s="871" t="s">
        <v>1323</v>
      </c>
      <c r="E20" s="872"/>
      <c r="F20" s="344"/>
      <c r="G20" s="114" t="e">
        <f t="shared" si="0"/>
        <v>#VALUE!</v>
      </c>
      <c r="H20" s="100"/>
      <c r="I20" s="107"/>
      <c r="J20" s="400"/>
      <c r="K20" s="408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---</v>
      </c>
    </row>
    <row r="21" spans="2:11" ht="15" customHeight="1" thickBot="1" x14ac:dyDescent="0.25">
      <c r="B21" s="860"/>
      <c r="C21" s="866"/>
      <c r="D21" s="860" t="s">
        <v>1324</v>
      </c>
      <c r="E21" s="861"/>
      <c r="F21" s="343"/>
      <c r="G21" s="113" t="e">
        <f t="shared" si="0"/>
        <v>#VALUE!</v>
      </c>
      <c r="H21" s="99"/>
      <c r="I21" s="106"/>
      <c r="J21" s="399"/>
      <c r="K21" s="407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---</v>
      </c>
    </row>
    <row r="22" spans="2:11" ht="15" customHeight="1" x14ac:dyDescent="0.2">
      <c r="B22" s="867" t="s">
        <v>1328</v>
      </c>
      <c r="C22" s="876" t="s">
        <v>1329</v>
      </c>
      <c r="D22" s="871" t="s">
        <v>1319</v>
      </c>
      <c r="E22" s="872"/>
      <c r="F22" s="344"/>
      <c r="G22" s="114" t="e">
        <f t="shared" si="0"/>
        <v>#VALUE!</v>
      </c>
      <c r="H22" s="100">
        <f>$C$4</f>
        <v>0</v>
      </c>
      <c r="I22" s="107"/>
      <c r="J22" s="400"/>
      <c r="K22" s="409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23" spans="2:11" ht="15" customHeight="1" x14ac:dyDescent="0.2">
      <c r="B23" s="868"/>
      <c r="C23" s="865"/>
      <c r="D23" s="864" t="s">
        <v>1321</v>
      </c>
      <c r="E23" s="874"/>
      <c r="F23" s="341"/>
      <c r="G23" s="112" t="e">
        <f t="shared" si="0"/>
        <v>#VALUE!</v>
      </c>
      <c r="H23" s="98"/>
      <c r="I23" s="105">
        <f>$D$4</f>
        <v>0</v>
      </c>
      <c r="J23" s="398"/>
      <c r="K23" s="405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24" spans="2:11" ht="15" customHeight="1" thickBot="1" x14ac:dyDescent="0.25">
      <c r="B24" s="868"/>
      <c r="C24" s="877"/>
      <c r="D24" s="878" t="s">
        <v>1322</v>
      </c>
      <c r="E24" s="879"/>
      <c r="F24" s="345"/>
      <c r="G24" s="115" t="e">
        <f t="shared" si="0"/>
        <v>#VALUE!</v>
      </c>
      <c r="H24" s="101"/>
      <c r="I24" s="108"/>
      <c r="J24" s="401">
        <f>$E$4</f>
        <v>0</v>
      </c>
      <c r="K24" s="406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25" spans="2:11" ht="15" customHeight="1" x14ac:dyDescent="0.2">
      <c r="B25" s="868"/>
      <c r="C25" s="880" t="s">
        <v>1330</v>
      </c>
      <c r="D25" s="883" t="s">
        <v>1319</v>
      </c>
      <c r="E25" s="884"/>
      <c r="F25" s="340"/>
      <c r="G25" s="111" t="e">
        <f t="shared" si="0"/>
        <v>#VALUE!</v>
      </c>
      <c r="H25" s="97">
        <f>$C$4</f>
        <v>0</v>
      </c>
      <c r="I25" s="104"/>
      <c r="J25" s="397"/>
      <c r="K25" s="408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26" spans="2:11" ht="15" customHeight="1" x14ac:dyDescent="0.2">
      <c r="B26" s="868"/>
      <c r="C26" s="881"/>
      <c r="D26" s="885" t="s">
        <v>1321</v>
      </c>
      <c r="E26" s="886"/>
      <c r="F26" s="341"/>
      <c r="G26" s="112" t="e">
        <f t="shared" si="0"/>
        <v>#VALUE!</v>
      </c>
      <c r="H26" s="98"/>
      <c r="I26" s="105">
        <f>$D$4</f>
        <v>0</v>
      </c>
      <c r="J26" s="398"/>
      <c r="K26" s="405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27" spans="2:11" ht="15" customHeight="1" thickBot="1" x14ac:dyDescent="0.25">
      <c r="B27" s="875"/>
      <c r="C27" s="882"/>
      <c r="D27" s="887" t="s">
        <v>1322</v>
      </c>
      <c r="E27" s="888"/>
      <c r="F27" s="346"/>
      <c r="G27" s="113" t="e">
        <f t="shared" si="0"/>
        <v>#VALUE!</v>
      </c>
      <c r="H27" s="99"/>
      <c r="I27" s="106"/>
      <c r="J27" s="399">
        <f>$E$4</f>
        <v>0</v>
      </c>
      <c r="K27" s="407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28" spans="2:11" ht="15" customHeight="1" x14ac:dyDescent="0.2">
      <c r="B28" s="867" t="s">
        <v>1331</v>
      </c>
      <c r="C28" s="863" t="s">
        <v>1329</v>
      </c>
      <c r="D28" s="862" t="s">
        <v>1319</v>
      </c>
      <c r="E28" s="873"/>
      <c r="F28" s="347"/>
      <c r="G28" s="111" t="e">
        <f t="shared" si="0"/>
        <v>#VALUE!</v>
      </c>
      <c r="H28" s="97">
        <f>$C$4</f>
        <v>0</v>
      </c>
      <c r="I28" s="104"/>
      <c r="J28" s="397"/>
      <c r="K28" s="409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29" spans="2:11" ht="15" customHeight="1" x14ac:dyDescent="0.2">
      <c r="B29" s="868"/>
      <c r="C29" s="865"/>
      <c r="D29" s="864" t="s">
        <v>1321</v>
      </c>
      <c r="E29" s="874"/>
      <c r="F29" s="348"/>
      <c r="G29" s="112" t="e">
        <f t="shared" si="0"/>
        <v>#VALUE!</v>
      </c>
      <c r="H29" s="98"/>
      <c r="I29" s="105">
        <f>$D$4</f>
        <v>0</v>
      </c>
      <c r="J29" s="398"/>
      <c r="K29" s="405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0" spans="2:11" ht="15" customHeight="1" thickBot="1" x14ac:dyDescent="0.25">
      <c r="B30" s="868"/>
      <c r="C30" s="877"/>
      <c r="D30" s="878" t="s">
        <v>1322</v>
      </c>
      <c r="E30" s="879"/>
      <c r="F30" s="349"/>
      <c r="G30" s="115" t="e">
        <f t="shared" si="0"/>
        <v>#VALUE!</v>
      </c>
      <c r="H30" s="101"/>
      <c r="I30" s="108"/>
      <c r="J30" s="401">
        <f>$E$4</f>
        <v>0</v>
      </c>
      <c r="K30" s="406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1" spans="2:11" ht="15" customHeight="1" x14ac:dyDescent="0.2">
      <c r="B31" s="868"/>
      <c r="C31" s="880" t="s">
        <v>1330</v>
      </c>
      <c r="D31" s="883" t="s">
        <v>1319</v>
      </c>
      <c r="E31" s="884"/>
      <c r="F31" s="347"/>
      <c r="G31" s="111" t="e">
        <f t="shared" si="0"/>
        <v>#VALUE!</v>
      </c>
      <c r="H31" s="97">
        <f>$C$4</f>
        <v>0</v>
      </c>
      <c r="I31" s="104"/>
      <c r="J31" s="397"/>
      <c r="K31" s="408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2" spans="2:11" ht="15" customHeight="1" x14ac:dyDescent="0.2">
      <c r="B32" s="868"/>
      <c r="C32" s="881"/>
      <c r="D32" s="885" t="s">
        <v>1321</v>
      </c>
      <c r="E32" s="886"/>
      <c r="F32" s="348"/>
      <c r="G32" s="112" t="e">
        <f t="shared" si="0"/>
        <v>#VALUE!</v>
      </c>
      <c r="H32" s="98"/>
      <c r="I32" s="105">
        <f>$D$4</f>
        <v>0</v>
      </c>
      <c r="J32" s="398"/>
      <c r="K32" s="405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3" spans="2:11" ht="15" customHeight="1" thickBot="1" x14ac:dyDescent="0.25">
      <c r="B33" s="869"/>
      <c r="C33" s="882"/>
      <c r="D33" s="887" t="s">
        <v>1322</v>
      </c>
      <c r="E33" s="888"/>
      <c r="F33" s="350"/>
      <c r="G33" s="113" t="e">
        <f t="shared" si="0"/>
        <v>#VALUE!</v>
      </c>
      <c r="H33" s="99"/>
      <c r="I33" s="106"/>
      <c r="J33" s="399">
        <f>$E$4</f>
        <v>0</v>
      </c>
      <c r="K33" s="407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4" spans="2:11" ht="15" customHeight="1" x14ac:dyDescent="0.2">
      <c r="B34" s="870" t="s">
        <v>1332</v>
      </c>
      <c r="C34" s="876" t="s">
        <v>1329</v>
      </c>
      <c r="D34" s="871" t="s">
        <v>1319</v>
      </c>
      <c r="E34" s="872"/>
      <c r="F34" s="351"/>
      <c r="G34" s="114" t="e">
        <f t="shared" si="0"/>
        <v>#VALUE!</v>
      </c>
      <c r="H34" s="100">
        <f>$C$4</f>
        <v>0</v>
      </c>
      <c r="I34" s="107"/>
      <c r="J34" s="400"/>
      <c r="K34" s="409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5" spans="2:11" ht="15" customHeight="1" x14ac:dyDescent="0.2">
      <c r="B35" s="868"/>
      <c r="C35" s="865"/>
      <c r="D35" s="864" t="s">
        <v>1321</v>
      </c>
      <c r="E35" s="874"/>
      <c r="F35" s="348"/>
      <c r="G35" s="112" t="e">
        <f t="shared" si="0"/>
        <v>#VALUE!</v>
      </c>
      <c r="H35" s="98"/>
      <c r="I35" s="105">
        <f>$D$4</f>
        <v>0</v>
      </c>
      <c r="J35" s="398"/>
      <c r="K35" s="405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6" spans="2:11" ht="15" customHeight="1" thickBot="1" x14ac:dyDescent="0.25">
      <c r="B36" s="868"/>
      <c r="C36" s="877"/>
      <c r="D36" s="878" t="s">
        <v>1322</v>
      </c>
      <c r="E36" s="879"/>
      <c r="F36" s="352"/>
      <c r="G36" s="115" t="e">
        <f t="shared" si="0"/>
        <v>#VALUE!</v>
      </c>
      <c r="H36" s="101"/>
      <c r="I36" s="108"/>
      <c r="J36" s="401">
        <f>$E$4</f>
        <v>0</v>
      </c>
      <c r="K36" s="406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7" spans="2:11" ht="15" customHeight="1" x14ac:dyDescent="0.2">
      <c r="B37" s="868"/>
      <c r="C37" s="880" t="s">
        <v>1330</v>
      </c>
      <c r="D37" s="883" t="s">
        <v>1319</v>
      </c>
      <c r="E37" s="884"/>
      <c r="F37" s="347"/>
      <c r="G37" s="111" t="e">
        <f t="shared" si="0"/>
        <v>#VALUE!</v>
      </c>
      <c r="H37" s="97">
        <f>$C$4</f>
        <v>0</v>
      </c>
      <c r="I37" s="104"/>
      <c r="J37" s="397"/>
      <c r="K37" s="408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8" spans="2:11" ht="15" customHeight="1" x14ac:dyDescent="0.2">
      <c r="B38" s="868"/>
      <c r="C38" s="881"/>
      <c r="D38" s="885" t="s">
        <v>1321</v>
      </c>
      <c r="E38" s="886"/>
      <c r="F38" s="348"/>
      <c r="G38" s="112" t="e">
        <f t="shared" si="0"/>
        <v>#VALUE!</v>
      </c>
      <c r="H38" s="98"/>
      <c r="I38" s="105">
        <f>$D$4</f>
        <v>0</v>
      </c>
      <c r="J38" s="398"/>
      <c r="K38" s="405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9" spans="2:11" ht="15" customHeight="1" thickBot="1" x14ac:dyDescent="0.25">
      <c r="B39" s="875"/>
      <c r="C39" s="882"/>
      <c r="D39" s="887" t="s">
        <v>1322</v>
      </c>
      <c r="E39" s="888"/>
      <c r="F39" s="353"/>
      <c r="G39" s="113" t="e">
        <f t="shared" si="0"/>
        <v>#VALUE!</v>
      </c>
      <c r="H39" s="99"/>
      <c r="I39" s="106"/>
      <c r="J39" s="399">
        <f>$E$4</f>
        <v>0</v>
      </c>
      <c r="K39" s="407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0" spans="2:11" ht="15" customHeight="1" x14ac:dyDescent="0.2">
      <c r="B40" s="867" t="s">
        <v>1333</v>
      </c>
      <c r="C40" s="863" t="s">
        <v>1329</v>
      </c>
      <c r="D40" s="862" t="s">
        <v>1319</v>
      </c>
      <c r="E40" s="873"/>
      <c r="F40" s="354"/>
      <c r="G40" s="111" t="e">
        <f t="shared" si="0"/>
        <v>#VALUE!</v>
      </c>
      <c r="H40" s="97">
        <f>$C$4</f>
        <v>0</v>
      </c>
      <c r="I40" s="104"/>
      <c r="J40" s="397"/>
      <c r="K40" s="409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1" spans="2:11" ht="15" customHeight="1" x14ac:dyDescent="0.2">
      <c r="B41" s="868"/>
      <c r="C41" s="865"/>
      <c r="D41" s="864" t="s">
        <v>1321</v>
      </c>
      <c r="E41" s="874"/>
      <c r="F41" s="348"/>
      <c r="G41" s="112" t="e">
        <f t="shared" si="0"/>
        <v>#VALUE!</v>
      </c>
      <c r="H41" s="98"/>
      <c r="I41" s="105">
        <f>$D$4</f>
        <v>0</v>
      </c>
      <c r="J41" s="398"/>
      <c r="K41" s="405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2" spans="2:11" ht="15" customHeight="1" thickBot="1" x14ac:dyDescent="0.25">
      <c r="B42" s="868"/>
      <c r="C42" s="877"/>
      <c r="D42" s="878" t="s">
        <v>1322</v>
      </c>
      <c r="E42" s="879"/>
      <c r="F42" s="349"/>
      <c r="G42" s="115" t="e">
        <f t="shared" si="0"/>
        <v>#VALUE!</v>
      </c>
      <c r="H42" s="101"/>
      <c r="I42" s="108"/>
      <c r="J42" s="401">
        <f>$E$4</f>
        <v>0</v>
      </c>
      <c r="K42" s="406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3" spans="2:11" ht="15" customHeight="1" x14ac:dyDescent="0.2">
      <c r="B43" s="868"/>
      <c r="C43" s="880" t="s">
        <v>1330</v>
      </c>
      <c r="D43" s="883" t="s">
        <v>1319</v>
      </c>
      <c r="E43" s="884"/>
      <c r="F43" s="354"/>
      <c r="G43" s="111" t="e">
        <f t="shared" si="0"/>
        <v>#VALUE!</v>
      </c>
      <c r="H43" s="97">
        <f>$C$4</f>
        <v>0</v>
      </c>
      <c r="I43" s="104"/>
      <c r="J43" s="397"/>
      <c r="K43" s="408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4" spans="2:11" ht="15" customHeight="1" x14ac:dyDescent="0.2">
      <c r="B44" s="868"/>
      <c r="C44" s="881"/>
      <c r="D44" s="885" t="s">
        <v>1321</v>
      </c>
      <c r="E44" s="886"/>
      <c r="F44" s="348"/>
      <c r="G44" s="112" t="e">
        <f t="shared" si="0"/>
        <v>#VALUE!</v>
      </c>
      <c r="H44" s="98"/>
      <c r="I44" s="105">
        <f>$D$4</f>
        <v>0</v>
      </c>
      <c r="J44" s="398"/>
      <c r="K44" s="405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5" spans="2:11" ht="15" customHeight="1" thickBot="1" x14ac:dyDescent="0.25">
      <c r="B45" s="869"/>
      <c r="C45" s="882"/>
      <c r="D45" s="887" t="s">
        <v>1322</v>
      </c>
      <c r="E45" s="888"/>
      <c r="F45" s="350"/>
      <c r="G45" s="113" t="e">
        <f t="shared" si="0"/>
        <v>#VALUE!</v>
      </c>
      <c r="H45" s="99"/>
      <c r="I45" s="106"/>
      <c r="J45" s="399">
        <f>$E$4</f>
        <v>0</v>
      </c>
      <c r="K45" s="407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6" spans="2:11" ht="15" customHeight="1" x14ac:dyDescent="0.2">
      <c r="B46" s="870" t="s">
        <v>1334</v>
      </c>
      <c r="C46" s="867" t="s">
        <v>1329</v>
      </c>
      <c r="D46" s="862" t="s">
        <v>1319</v>
      </c>
      <c r="E46" s="873"/>
      <c r="F46" s="354"/>
      <c r="G46" s="111" t="e">
        <f t="shared" si="0"/>
        <v>#VALUE!</v>
      </c>
      <c r="H46" s="97">
        <f>$C$4</f>
        <v>0</v>
      </c>
      <c r="I46" s="104"/>
      <c r="J46" s="397"/>
      <c r="K46" s="409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7" spans="2:11" ht="15" customHeight="1" x14ac:dyDescent="0.2">
      <c r="B47" s="868"/>
      <c r="C47" s="868"/>
      <c r="D47" s="864" t="s">
        <v>1321</v>
      </c>
      <c r="E47" s="874"/>
      <c r="F47" s="348"/>
      <c r="G47" s="112" t="e">
        <f t="shared" si="0"/>
        <v>#VALUE!</v>
      </c>
      <c r="H47" s="98"/>
      <c r="I47" s="105">
        <f>$D$4</f>
        <v>0</v>
      </c>
      <c r="J47" s="398"/>
      <c r="K47" s="405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8" spans="2:11" ht="15" customHeight="1" thickBot="1" x14ac:dyDescent="0.25">
      <c r="B48" s="868"/>
      <c r="C48" s="869"/>
      <c r="D48" s="860" t="s">
        <v>1322</v>
      </c>
      <c r="E48" s="861"/>
      <c r="F48" s="350"/>
      <c r="G48" s="113" t="e">
        <f t="shared" si="0"/>
        <v>#VALUE!</v>
      </c>
      <c r="H48" s="99"/>
      <c r="I48" s="106"/>
      <c r="J48" s="399">
        <f>$E$4</f>
        <v>0</v>
      </c>
      <c r="K48" s="406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9" spans="2:11" ht="15" customHeight="1" x14ac:dyDescent="0.2">
      <c r="B49" s="868"/>
      <c r="C49" s="891" t="s">
        <v>1330</v>
      </c>
      <c r="D49" s="894" t="s">
        <v>1319</v>
      </c>
      <c r="E49" s="895"/>
      <c r="F49" s="355"/>
      <c r="G49" s="114" t="e">
        <f t="shared" si="0"/>
        <v>#VALUE!</v>
      </c>
      <c r="H49" s="100">
        <f>$C$4</f>
        <v>0</v>
      </c>
      <c r="I49" s="107"/>
      <c r="J49" s="400"/>
      <c r="K49" s="408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50" spans="2:11" ht="15" customHeight="1" x14ac:dyDescent="0.2">
      <c r="B50" s="868"/>
      <c r="C50" s="892"/>
      <c r="D50" s="885" t="s">
        <v>1321</v>
      </c>
      <c r="E50" s="886"/>
      <c r="F50" s="348"/>
      <c r="G50" s="112" t="e">
        <f t="shared" si="0"/>
        <v>#VALUE!</v>
      </c>
      <c r="H50" s="98"/>
      <c r="I50" s="105">
        <f>$D$4</f>
        <v>0</v>
      </c>
      <c r="J50" s="398"/>
      <c r="K50" s="405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51" spans="2:11" ht="15" customHeight="1" thickBot="1" x14ac:dyDescent="0.25">
      <c r="B51" s="869"/>
      <c r="C51" s="893"/>
      <c r="D51" s="887" t="s">
        <v>1322</v>
      </c>
      <c r="E51" s="888"/>
      <c r="F51" s="350"/>
      <c r="G51" s="113" t="e">
        <f t="shared" si="0"/>
        <v>#VALUE!</v>
      </c>
      <c r="H51" s="99"/>
      <c r="I51" s="106"/>
      <c r="J51" s="399">
        <f>$E$4</f>
        <v>0</v>
      </c>
      <c r="K51" s="406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52" spans="2:11" x14ac:dyDescent="0.2"/>
  </sheetData>
  <mergeCells count="62">
    <mergeCell ref="B2:B3"/>
    <mergeCell ref="B46:B51"/>
    <mergeCell ref="C46:C48"/>
    <mergeCell ref="D46:E46"/>
    <mergeCell ref="D47:E47"/>
    <mergeCell ref="D48:E48"/>
    <mergeCell ref="C49:C51"/>
    <mergeCell ref="D49:E49"/>
    <mergeCell ref="D50:E50"/>
    <mergeCell ref="D51:E51"/>
    <mergeCell ref="B40:B45"/>
    <mergeCell ref="C40:C42"/>
    <mergeCell ref="D40:E40"/>
    <mergeCell ref="D41:E41"/>
    <mergeCell ref="D42:E42"/>
    <mergeCell ref="C43:C45"/>
    <mergeCell ref="D43:E43"/>
    <mergeCell ref="D44:E44"/>
    <mergeCell ref="D45:E45"/>
    <mergeCell ref="B34:B39"/>
    <mergeCell ref="C34:C36"/>
    <mergeCell ref="D34:E34"/>
    <mergeCell ref="D35:E35"/>
    <mergeCell ref="D36:E36"/>
    <mergeCell ref="C37:C39"/>
    <mergeCell ref="D37:E37"/>
    <mergeCell ref="D38:E38"/>
    <mergeCell ref="D39:E39"/>
    <mergeCell ref="B28:B33"/>
    <mergeCell ref="C28:C30"/>
    <mergeCell ref="D28:E28"/>
    <mergeCell ref="D29:E29"/>
    <mergeCell ref="D30:E30"/>
    <mergeCell ref="C31:C33"/>
    <mergeCell ref="D31:E31"/>
    <mergeCell ref="D32:E32"/>
    <mergeCell ref="D33:E33"/>
    <mergeCell ref="B22:B27"/>
    <mergeCell ref="C22:C24"/>
    <mergeCell ref="D22:E22"/>
    <mergeCell ref="D23:E23"/>
    <mergeCell ref="D24:E24"/>
    <mergeCell ref="C25:C27"/>
    <mergeCell ref="D25:E25"/>
    <mergeCell ref="D26:E26"/>
    <mergeCell ref="D27:E27"/>
    <mergeCell ref="D13:E13"/>
    <mergeCell ref="B14:C21"/>
    <mergeCell ref="D14:D16"/>
    <mergeCell ref="D17:D19"/>
    <mergeCell ref="D20:E20"/>
    <mergeCell ref="D21:E21"/>
    <mergeCell ref="B9:C13"/>
    <mergeCell ref="D9:E9"/>
    <mergeCell ref="D10:E10"/>
    <mergeCell ref="D11:E11"/>
    <mergeCell ref="D12:E12"/>
    <mergeCell ref="B7:C7"/>
    <mergeCell ref="D7:E7"/>
    <mergeCell ref="B8:C8"/>
    <mergeCell ref="D8:E8"/>
    <mergeCell ref="H6:K6"/>
  </mergeCells>
  <conditionalFormatting sqref="H8:J51">
    <cfRule type="expression" dxfId="187" priority="1">
      <formula>AND(H8&lt;&gt;"",$K8="SINAL")</formula>
    </cfRule>
    <cfRule type="expression" dxfId="186" priority="2">
      <formula>AND(H8&lt;&gt;"",$K8="VALOR")</formula>
    </cfRule>
    <cfRule type="expression" dxfId="185" priority="3">
      <formula>AND(H8&lt;&gt;"",$K8="OK")</formula>
    </cfRule>
    <cfRule type="notContainsBlanks" dxfId="184" priority="7">
      <formula>LEN(TRIM(H8))&gt;0</formula>
    </cfRule>
  </conditionalFormatting>
  <conditionalFormatting sqref="K8:K51">
    <cfRule type="cellIs" dxfId="183" priority="4" operator="equal">
      <formula>"SINAL"</formula>
    </cfRule>
    <cfRule type="cellIs" dxfId="182" priority="5" operator="equal">
      <formula>"VALOR"</formula>
    </cfRule>
    <cfRule type="cellIs" dxfId="181" priority="6" operator="equal">
      <formula>"OK"</formula>
    </cfRule>
  </conditionalFormatting>
  <dataValidations count="1">
    <dataValidation type="list" allowBlank="1" showInputMessage="1" showErrorMessage="1" sqref="B4" xr:uid="{00000000-0002-0000-1200-000000000000}">
      <formula1>droplist_casos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2"/>
  <dimension ref="A1:U22"/>
  <sheetViews>
    <sheetView zoomScale="80" zoomScaleNormal="80" workbookViewId="0"/>
  </sheetViews>
  <sheetFormatPr defaultColWidth="0" defaultRowHeight="12.75" zeroHeight="1" x14ac:dyDescent="0.2"/>
  <cols>
    <col min="1" max="1" width="1.7109375" style="49" customWidth="1"/>
    <col min="2" max="2" width="19.140625" style="49" bestFit="1" customWidth="1"/>
    <col min="3" max="20" width="12.7109375" style="49" customWidth="1"/>
    <col min="21" max="21" width="1.7109375" style="49" customWidth="1"/>
    <col min="22" max="16384" width="9.140625" style="49" hidden="1"/>
  </cols>
  <sheetData>
    <row r="1" spans="1:20" ht="13.5" thickBot="1" x14ac:dyDescent="0.25">
      <c r="A1" s="51"/>
      <c r="B1" s="51"/>
      <c r="C1" s="51"/>
      <c r="D1" s="51"/>
      <c r="E1" s="51"/>
      <c r="F1" s="51"/>
    </row>
    <row r="2" spans="1:20" ht="20.100000000000001" customHeight="1" thickBot="1" x14ac:dyDescent="0.25">
      <c r="B2" s="84"/>
      <c r="C2" s="930" t="s">
        <v>1337</v>
      </c>
      <c r="D2" s="931"/>
      <c r="E2" s="931"/>
      <c r="F2" s="931"/>
      <c r="G2" s="931"/>
      <c r="H2" s="931"/>
      <c r="I2" s="931"/>
      <c r="J2" s="931"/>
      <c r="K2" s="931"/>
      <c r="L2" s="931"/>
      <c r="M2" s="931"/>
      <c r="N2" s="931"/>
      <c r="O2" s="931"/>
      <c r="P2" s="931"/>
      <c r="Q2" s="932"/>
      <c r="R2" s="951" t="s">
        <v>1338</v>
      </c>
      <c r="S2" s="942"/>
      <c r="T2" s="943"/>
    </row>
    <row r="3" spans="1:20" ht="20.100000000000001" customHeight="1" thickTop="1" thickBot="1" x14ac:dyDescent="0.25">
      <c r="B3" s="84"/>
      <c r="C3" s="938" t="s">
        <v>1339</v>
      </c>
      <c r="D3" s="939"/>
      <c r="E3" s="939"/>
      <c r="F3" s="939"/>
      <c r="G3" s="939"/>
      <c r="H3" s="940"/>
      <c r="I3" s="941" t="s">
        <v>1340</v>
      </c>
      <c r="J3" s="942"/>
      <c r="K3" s="943"/>
      <c r="L3" s="938" t="s">
        <v>1341</v>
      </c>
      <c r="M3" s="939"/>
      <c r="N3" s="939"/>
      <c r="O3" s="939"/>
      <c r="P3" s="939"/>
      <c r="Q3" s="955"/>
      <c r="R3" s="952"/>
      <c r="S3" s="953"/>
      <c r="T3" s="954"/>
    </row>
    <row r="4" spans="1:20" ht="20.100000000000001" customHeight="1" thickTop="1" thickBot="1" x14ac:dyDescent="0.25">
      <c r="B4" s="85"/>
      <c r="C4" s="947" t="s">
        <v>1342</v>
      </c>
      <c r="D4" s="948"/>
      <c r="E4" s="949"/>
      <c r="F4" s="947" t="s">
        <v>1343</v>
      </c>
      <c r="G4" s="948"/>
      <c r="H4" s="950"/>
      <c r="I4" s="944"/>
      <c r="J4" s="945"/>
      <c r="K4" s="946"/>
      <c r="L4" s="947" t="s">
        <v>1342</v>
      </c>
      <c r="M4" s="948"/>
      <c r="N4" s="950"/>
      <c r="O4" s="956" t="s">
        <v>1343</v>
      </c>
      <c r="P4" s="957"/>
      <c r="Q4" s="958"/>
      <c r="R4" s="944"/>
      <c r="S4" s="945"/>
      <c r="T4" s="946"/>
    </row>
    <row r="5" spans="1:20" ht="39.75" customHeight="1" thickBot="1" x14ac:dyDescent="0.25">
      <c r="B5" s="925" t="s">
        <v>1344</v>
      </c>
      <c r="C5" s="86" t="s">
        <v>1345</v>
      </c>
      <c r="D5" s="963" t="s">
        <v>1346</v>
      </c>
      <c r="E5" s="904" t="s">
        <v>203</v>
      </c>
      <c r="F5" s="86" t="s">
        <v>1345</v>
      </c>
      <c r="G5" s="906" t="s">
        <v>1346</v>
      </c>
      <c r="H5" s="908" t="s">
        <v>203</v>
      </c>
      <c r="I5" s="87" t="s">
        <v>1347</v>
      </c>
      <c r="J5" s="906" t="s">
        <v>1346</v>
      </c>
      <c r="K5" s="904" t="s">
        <v>203</v>
      </c>
      <c r="L5" s="88" t="s">
        <v>1345</v>
      </c>
      <c r="M5" s="963" t="s">
        <v>1346</v>
      </c>
      <c r="N5" s="904" t="s">
        <v>203</v>
      </c>
      <c r="O5" s="88" t="s">
        <v>1345</v>
      </c>
      <c r="P5" s="906" t="s">
        <v>1346</v>
      </c>
      <c r="Q5" s="908" t="s">
        <v>203</v>
      </c>
      <c r="R5" s="904" t="s">
        <v>1347</v>
      </c>
      <c r="S5" s="906" t="s">
        <v>1346</v>
      </c>
      <c r="T5" s="908" t="s">
        <v>203</v>
      </c>
    </row>
    <row r="6" spans="1:20" ht="13.5" customHeight="1" thickTop="1" thickBot="1" x14ac:dyDescent="0.25">
      <c r="B6" s="926"/>
      <c r="C6" s="89" t="s">
        <v>1312</v>
      </c>
      <c r="D6" s="964"/>
      <c r="E6" s="905"/>
      <c r="F6" s="89" t="s">
        <v>1312</v>
      </c>
      <c r="G6" s="907"/>
      <c r="H6" s="909"/>
      <c r="I6" s="90" t="s">
        <v>1312</v>
      </c>
      <c r="J6" s="907"/>
      <c r="K6" s="905"/>
      <c r="L6" s="91" t="s">
        <v>1312</v>
      </c>
      <c r="M6" s="964"/>
      <c r="N6" s="905"/>
      <c r="O6" s="91" t="s">
        <v>1312</v>
      </c>
      <c r="P6" s="907"/>
      <c r="Q6" s="909"/>
      <c r="R6" s="933"/>
      <c r="S6" s="918"/>
      <c r="T6" s="936"/>
    </row>
    <row r="7" spans="1:20" ht="14.25" thickTop="1" thickBot="1" x14ac:dyDescent="0.25">
      <c r="B7" s="83">
        <f>case3i_din_heave_up</f>
        <v>0</v>
      </c>
      <c r="C7" s="92" t="s">
        <v>1348</v>
      </c>
      <c r="D7" s="93" t="s">
        <v>1348</v>
      </c>
      <c r="E7" s="94" t="s">
        <v>1348</v>
      </c>
      <c r="F7" s="92" t="s">
        <v>1348</v>
      </c>
      <c r="G7" s="93" t="s">
        <v>1348</v>
      </c>
      <c r="H7" s="95" t="s">
        <v>1348</v>
      </c>
      <c r="I7" s="94" t="s">
        <v>1349</v>
      </c>
      <c r="J7" s="93" t="s">
        <v>1349</v>
      </c>
      <c r="K7" s="94" t="s">
        <v>1350</v>
      </c>
      <c r="L7" s="93" t="s">
        <v>1351</v>
      </c>
      <c r="M7" s="93" t="s">
        <v>1351</v>
      </c>
      <c r="N7" s="94" t="s">
        <v>1348</v>
      </c>
      <c r="O7" s="93" t="s">
        <v>1351</v>
      </c>
      <c r="P7" s="93" t="s">
        <v>1351</v>
      </c>
      <c r="Q7" s="95" t="s">
        <v>1348</v>
      </c>
      <c r="R7" s="934"/>
      <c r="S7" s="935"/>
      <c r="T7" s="937"/>
    </row>
    <row r="8" spans="1:20" ht="14.25" thickTop="1" thickBot="1" x14ac:dyDescent="0.25">
      <c r="B8" s="927" t="s">
        <v>1352</v>
      </c>
      <c r="C8" s="928" t="e">
        <f>#REF!</f>
        <v>#REF!</v>
      </c>
      <c r="D8" s="899" t="e">
        <f>IF(AND(C8&gt;0,C8&lt;15),15,IF(AND(C8&lt;0,C8&gt;-15),-15,C8))</f>
        <v>#REF!</v>
      </c>
      <c r="E8" s="913" t="e">
        <f xml:space="preserve"> Esforços!G14</f>
        <v>#VALUE!</v>
      </c>
      <c r="F8" s="928" t="e">
        <f>#REF!</f>
        <v>#REF!</v>
      </c>
      <c r="G8" s="899" t="e">
        <f>IF(AND(F8&gt;0,F8&lt;15),15,IF(AND(F8&lt;0,F8&gt;-15),-15,F8))</f>
        <v>#REF!</v>
      </c>
      <c r="H8" s="923" t="e">
        <f xml:space="preserve"> Esforços!G17</f>
        <v>#VALUE!</v>
      </c>
      <c r="I8" s="910" t="e">
        <f>Results!#REF!</f>
        <v>#REF!</v>
      </c>
      <c r="J8" s="899" t="e">
        <f>IF(AND(I8&gt;0,I8&lt;15),15,IF(AND(I8&lt;0,I8&gt;-15),-15,I8))</f>
        <v>#REF!</v>
      </c>
      <c r="K8" s="913" t="e">
        <f xml:space="preserve"> Esforços!G22</f>
        <v>#VALUE!</v>
      </c>
      <c r="L8" s="899" t="e">
        <f>#REF!</f>
        <v>#REF!</v>
      </c>
      <c r="M8" s="899" t="e">
        <f>IF(AND(L8&gt;0,L8&lt;15),15,IF(AND(L8&lt;0,L8&gt;-15),-15,L8))</f>
        <v>#REF!</v>
      </c>
      <c r="N8" s="896"/>
      <c r="O8" s="899" t="e">
        <f>#REF!</f>
        <v>#REF!</v>
      </c>
      <c r="P8" s="899" t="e">
        <f>IF(AND(O8&gt;0,O8&lt;15),15,IF(AND(O8&lt;0,O8&gt;-15),-15,O8))</f>
        <v>#REF!</v>
      </c>
      <c r="Q8" s="914"/>
      <c r="R8" s="910" t="s">
        <v>1353</v>
      </c>
      <c r="S8" s="899" t="str">
        <f>R8</f>
        <v>N/A</v>
      </c>
      <c r="T8" s="914" t="s">
        <v>1353</v>
      </c>
    </row>
    <row r="9" spans="1:20" ht="14.25" thickTop="1" thickBot="1" x14ac:dyDescent="0.25">
      <c r="B9" s="918"/>
      <c r="C9" s="920"/>
      <c r="D9" s="900"/>
      <c r="E9" s="897"/>
      <c r="F9" s="920"/>
      <c r="G9" s="900"/>
      <c r="H9" s="915"/>
      <c r="I9" s="911"/>
      <c r="J9" s="900"/>
      <c r="K9" s="897"/>
      <c r="L9" s="900"/>
      <c r="M9" s="900"/>
      <c r="N9" s="897"/>
      <c r="O9" s="900"/>
      <c r="P9" s="900"/>
      <c r="Q9" s="915"/>
      <c r="R9" s="911"/>
      <c r="S9" s="900"/>
      <c r="T9" s="915"/>
    </row>
    <row r="10" spans="1:20" ht="14.25" thickTop="1" thickBot="1" x14ac:dyDescent="0.25">
      <c r="B10" s="907"/>
      <c r="C10" s="921"/>
      <c r="D10" s="901"/>
      <c r="E10" s="898"/>
      <c r="F10" s="921"/>
      <c r="G10" s="901"/>
      <c r="H10" s="916"/>
      <c r="I10" s="912"/>
      <c r="J10" s="901"/>
      <c r="K10" s="898"/>
      <c r="L10" s="901"/>
      <c r="M10" s="901"/>
      <c r="N10" s="898"/>
      <c r="O10" s="901"/>
      <c r="P10" s="901"/>
      <c r="Q10" s="916"/>
      <c r="R10" s="912"/>
      <c r="S10" s="901"/>
      <c r="T10" s="916"/>
    </row>
    <row r="11" spans="1:20" ht="13.5" thickBot="1" x14ac:dyDescent="0.25">
      <c r="B11" s="906" t="s">
        <v>1354</v>
      </c>
      <c r="C11" s="919" t="e">
        <f>#REF!</f>
        <v>#REF!</v>
      </c>
      <c r="D11" s="902" t="e">
        <f>IF(AND(C11&gt;0,C11&lt;15),15,IF(AND(C11&lt;0,C11&gt;-15),-15,C11))</f>
        <v>#REF!</v>
      </c>
      <c r="E11" s="922" t="e">
        <f xml:space="preserve"> Esforços!G15</f>
        <v>#VALUE!</v>
      </c>
      <c r="F11" s="919" t="e">
        <f>#REF!</f>
        <v>#REF!</v>
      </c>
      <c r="G11" s="902" t="e">
        <f>IF(AND(F11&gt;0,F11&lt;15),15,IF(AND(F11&lt;0,F11&gt;-15),-15,F11))</f>
        <v>#REF!</v>
      </c>
      <c r="H11" s="929" t="e">
        <f xml:space="preserve"> Esforços!G18</f>
        <v>#VALUE!</v>
      </c>
      <c r="I11" s="924" t="e">
        <f>Results!#REF!</f>
        <v>#REF!</v>
      </c>
      <c r="J11" s="902" t="e">
        <f>IF(AND(I11&gt;0,I11&lt;15),15,IF(AND(I11&lt;0,I11&gt;-15),-15,I11))</f>
        <v>#REF!</v>
      </c>
      <c r="K11" s="922" t="e">
        <f xml:space="preserve"> Esforços!G26</f>
        <v>#VALUE!</v>
      </c>
      <c r="L11" s="902" t="e">
        <f>#REF!</f>
        <v>#REF!</v>
      </c>
      <c r="M11" s="902" t="e">
        <f>IF(AND(L11&gt;0,L11&lt;15),15,IF(AND(L11&lt;0,L11&gt;-15),-15,L11))</f>
        <v>#REF!</v>
      </c>
      <c r="N11" s="903"/>
      <c r="O11" s="902" t="e">
        <f>#REF!</f>
        <v>#REF!</v>
      </c>
      <c r="P11" s="902" t="e">
        <f>IF(AND(O11&gt;0,O11&lt;15),15,IF(AND(O11&lt;0,O11&gt;-15),-15,O11))</f>
        <v>#REF!</v>
      </c>
      <c r="Q11" s="917"/>
      <c r="R11" s="924" t="e">
        <f>IF(#REF!&gt;0,MAX(#REF!,#REF!,#REF!,#REF!,#REF!),"N/A")</f>
        <v>#REF!</v>
      </c>
      <c r="S11" s="902" t="e">
        <f>R11</f>
        <v>#REF!</v>
      </c>
      <c r="T11" s="917">
        <f>IF(Values!C29&gt;0,Values!C29,"N/A")</f>
        <v>34</v>
      </c>
    </row>
    <row r="12" spans="1:20" ht="14.25" thickTop="1" thickBot="1" x14ac:dyDescent="0.25">
      <c r="B12" s="918"/>
      <c r="C12" s="920"/>
      <c r="D12" s="900"/>
      <c r="E12" s="897"/>
      <c r="F12" s="920"/>
      <c r="G12" s="900"/>
      <c r="H12" s="915"/>
      <c r="I12" s="911"/>
      <c r="J12" s="900"/>
      <c r="K12" s="897"/>
      <c r="L12" s="900"/>
      <c r="M12" s="900"/>
      <c r="N12" s="897"/>
      <c r="O12" s="900"/>
      <c r="P12" s="900"/>
      <c r="Q12" s="915"/>
      <c r="R12" s="911"/>
      <c r="S12" s="900"/>
      <c r="T12" s="915"/>
    </row>
    <row r="13" spans="1:20" ht="14.25" thickTop="1" thickBot="1" x14ac:dyDescent="0.25">
      <c r="B13" s="907"/>
      <c r="C13" s="921"/>
      <c r="D13" s="901"/>
      <c r="E13" s="898"/>
      <c r="F13" s="921"/>
      <c r="G13" s="901"/>
      <c r="H13" s="916"/>
      <c r="I13" s="912"/>
      <c r="J13" s="901"/>
      <c r="K13" s="898"/>
      <c r="L13" s="901"/>
      <c r="M13" s="901"/>
      <c r="N13" s="898"/>
      <c r="O13" s="901"/>
      <c r="P13" s="901"/>
      <c r="Q13" s="916"/>
      <c r="R13" s="912"/>
      <c r="S13" s="901"/>
      <c r="T13" s="916"/>
    </row>
    <row r="14" spans="1:20" ht="13.5" thickBot="1" x14ac:dyDescent="0.25">
      <c r="B14" s="927" t="s">
        <v>1355</v>
      </c>
      <c r="C14" s="928" t="e">
        <f>#REF!</f>
        <v>#REF!</v>
      </c>
      <c r="D14" s="899" t="e">
        <f>IF(AND(C14&gt;0,C14&lt;50),50,IF(AND(C14&lt;0,C14&gt;-50),-50,C14))</f>
        <v>#REF!</v>
      </c>
      <c r="E14" s="913" t="e">
        <f xml:space="preserve"> Esforços!G16</f>
        <v>#VALUE!</v>
      </c>
      <c r="F14" s="928" t="e">
        <f>#REF!</f>
        <v>#REF!</v>
      </c>
      <c r="G14" s="899" t="e">
        <f>IF(AND(F14&gt;0,F14&lt;50),50,IF(AND(F14&lt;0,F14&gt;-50),-50,F14))</f>
        <v>#REF!</v>
      </c>
      <c r="H14" s="923" t="e">
        <f xml:space="preserve"> Esforços!G19</f>
        <v>#VALUE!</v>
      </c>
      <c r="I14" s="910" t="e">
        <f>Results!#REF!</f>
        <v>#REF!</v>
      </c>
      <c r="J14" s="899" t="e">
        <f>IF(AND(I14&gt;0,I14&lt;50),50,IF(AND(I14&lt;0,I14&gt;-50),-50,I14))</f>
        <v>#REF!</v>
      </c>
      <c r="K14" s="913" t="e">
        <f xml:space="preserve"> Esforços!G24</f>
        <v>#VALUE!</v>
      </c>
      <c r="L14" s="899" t="e">
        <f>#REF!</f>
        <v>#REF!</v>
      </c>
      <c r="M14" s="899" t="e">
        <f>IF(AND(L14&gt;0,L14&lt;50),50,IF(AND(L14&lt;0,L14&gt;-50),-50,L14))</f>
        <v>#REF!</v>
      </c>
      <c r="N14" s="896"/>
      <c r="O14" s="899" t="e">
        <f>#REF!</f>
        <v>#REF!</v>
      </c>
      <c r="P14" s="899" t="e">
        <f>IF(AND(O14&gt;0,O14&lt;50),50,IF(AND(O14&lt;0,O14&gt;-50),-50,O14))</f>
        <v>#REF!</v>
      </c>
      <c r="Q14" s="914"/>
      <c r="R14" s="910" t="e">
        <f>MAX(#REF!,#REF!,#REF!,#REF!,#REF!)</f>
        <v>#REF!</v>
      </c>
      <c r="S14" s="899" t="e">
        <f>R14</f>
        <v>#REF!</v>
      </c>
      <c r="T14" s="914">
        <f>Values!C28</f>
        <v>70</v>
      </c>
    </row>
    <row r="15" spans="1:20" ht="14.25" thickTop="1" thickBot="1" x14ac:dyDescent="0.25">
      <c r="B15" s="918"/>
      <c r="C15" s="920"/>
      <c r="D15" s="900"/>
      <c r="E15" s="897"/>
      <c r="F15" s="920"/>
      <c r="G15" s="900"/>
      <c r="H15" s="915"/>
      <c r="I15" s="911"/>
      <c r="J15" s="900"/>
      <c r="K15" s="897"/>
      <c r="L15" s="900"/>
      <c r="M15" s="900"/>
      <c r="N15" s="897"/>
      <c r="O15" s="900"/>
      <c r="P15" s="900"/>
      <c r="Q15" s="915"/>
      <c r="R15" s="911"/>
      <c r="S15" s="900"/>
      <c r="T15" s="915"/>
    </row>
    <row r="16" spans="1:20" ht="14.25" thickTop="1" thickBot="1" x14ac:dyDescent="0.25">
      <c r="B16" s="907"/>
      <c r="C16" s="921"/>
      <c r="D16" s="901"/>
      <c r="E16" s="898"/>
      <c r="F16" s="921"/>
      <c r="G16" s="901"/>
      <c r="H16" s="916"/>
      <c r="I16" s="912"/>
      <c r="J16" s="901"/>
      <c r="K16" s="898"/>
      <c r="L16" s="901"/>
      <c r="M16" s="901"/>
      <c r="N16" s="898"/>
      <c r="O16" s="901"/>
      <c r="P16" s="901"/>
      <c r="Q16" s="916"/>
      <c r="R16" s="912"/>
      <c r="S16" s="901"/>
      <c r="T16" s="916"/>
    </row>
    <row r="17" spans="2:20" s="51" customFormat="1" ht="30" customHeight="1" x14ac:dyDescent="0.2">
      <c r="B17" s="965" t="s">
        <v>1356</v>
      </c>
      <c r="C17" s="965"/>
      <c r="D17" s="965"/>
      <c r="E17" s="965"/>
      <c r="F17" s="965"/>
      <c r="G17" s="965"/>
      <c r="H17" s="965"/>
      <c r="I17" s="965"/>
      <c r="J17" s="965"/>
      <c r="K17" s="965"/>
      <c r="L17" s="965"/>
      <c r="M17" s="965"/>
      <c r="N17" s="965"/>
      <c r="O17" s="965"/>
      <c r="P17" s="965"/>
      <c r="Q17" s="965"/>
      <c r="R17" s="965"/>
      <c r="S17" s="965"/>
      <c r="T17" s="965"/>
    </row>
    <row r="18" spans="2:20" ht="15" x14ac:dyDescent="0.2">
      <c r="B18" s="966" t="s">
        <v>1357</v>
      </c>
      <c r="C18" s="967"/>
      <c r="D18" s="967"/>
      <c r="E18" s="967"/>
      <c r="F18" s="967"/>
      <c r="G18" s="967"/>
      <c r="H18" s="967"/>
      <c r="I18" s="967"/>
      <c r="J18" s="967"/>
      <c r="K18" s="967"/>
      <c r="L18" s="967"/>
      <c r="M18" s="967"/>
      <c r="N18" s="967"/>
      <c r="O18" s="967"/>
      <c r="P18" s="967"/>
      <c r="Q18" s="967"/>
      <c r="R18" s="967"/>
      <c r="S18" s="967"/>
      <c r="T18" s="967"/>
    </row>
    <row r="19" spans="2:20" ht="15.75" x14ac:dyDescent="0.2">
      <c r="B19" s="968" t="s">
        <v>1358</v>
      </c>
      <c r="C19" s="969"/>
      <c r="D19" s="969"/>
      <c r="E19" s="969"/>
      <c r="F19" s="969"/>
      <c r="G19" s="969"/>
      <c r="H19" s="969"/>
      <c r="I19" s="969"/>
      <c r="J19" s="969"/>
      <c r="K19" s="969"/>
      <c r="L19" s="969"/>
      <c r="M19" s="969"/>
      <c r="N19" s="969"/>
      <c r="O19" s="969"/>
      <c r="P19" s="969"/>
      <c r="Q19" s="969"/>
      <c r="R19" s="969"/>
      <c r="S19" s="969"/>
      <c r="T19" s="969"/>
    </row>
    <row r="20" spans="2:20" ht="15.75" x14ac:dyDescent="0.2">
      <c r="B20" s="959" t="s">
        <v>1359</v>
      </c>
      <c r="C20" s="960"/>
      <c r="D20" s="960"/>
      <c r="E20" s="960"/>
      <c r="F20" s="960"/>
      <c r="G20" s="960"/>
      <c r="H20" s="960"/>
      <c r="I20" s="960"/>
      <c r="J20" s="960"/>
      <c r="K20" s="960"/>
      <c r="L20" s="960"/>
      <c r="M20" s="960"/>
      <c r="N20" s="960"/>
      <c r="O20" s="960"/>
      <c r="P20" s="960"/>
      <c r="Q20" s="960"/>
      <c r="R20" s="960"/>
      <c r="S20" s="960"/>
      <c r="T20" s="960"/>
    </row>
    <row r="21" spans="2:20" ht="15" x14ac:dyDescent="0.2">
      <c r="B21" s="961" t="s">
        <v>1360</v>
      </c>
      <c r="C21" s="962"/>
      <c r="D21" s="962"/>
      <c r="E21" s="962"/>
      <c r="F21" s="962"/>
      <c r="G21" s="962"/>
      <c r="H21" s="962"/>
      <c r="I21" s="962"/>
      <c r="J21" s="962"/>
      <c r="K21" s="962"/>
      <c r="L21" s="962"/>
      <c r="M21" s="962"/>
      <c r="N21" s="962"/>
      <c r="O21" s="962"/>
      <c r="P21" s="962"/>
      <c r="Q21" s="962"/>
      <c r="R21" s="962"/>
      <c r="S21" s="962"/>
      <c r="T21" s="962"/>
    </row>
    <row r="22" spans="2:20" x14ac:dyDescent="0.2"/>
  </sheetData>
  <mergeCells count="85">
    <mergeCell ref="B20:T20"/>
    <mergeCell ref="B21:T21"/>
    <mergeCell ref="M5:M6"/>
    <mergeCell ref="D5:D6"/>
    <mergeCell ref="B14:B16"/>
    <mergeCell ref="B17:T17"/>
    <mergeCell ref="B18:T18"/>
    <mergeCell ref="B19:T19"/>
    <mergeCell ref="C14:C16"/>
    <mergeCell ref="D14:D16"/>
    <mergeCell ref="E14:E16"/>
    <mergeCell ref="F14:F16"/>
    <mergeCell ref="R11:R13"/>
    <mergeCell ref="S11:S13"/>
    <mergeCell ref="T11:T13"/>
    <mergeCell ref="R14:R16"/>
    <mergeCell ref="C2:Q2"/>
    <mergeCell ref="R5:R7"/>
    <mergeCell ref="S5:S7"/>
    <mergeCell ref="T5:T7"/>
    <mergeCell ref="R8:R10"/>
    <mergeCell ref="S8:S10"/>
    <mergeCell ref="T8:T10"/>
    <mergeCell ref="C3:H3"/>
    <mergeCell ref="I3:K4"/>
    <mergeCell ref="C4:E4"/>
    <mergeCell ref="F4:H4"/>
    <mergeCell ref="K5:K6"/>
    <mergeCell ref="R2:T4"/>
    <mergeCell ref="L3:Q3"/>
    <mergeCell ref="L4:N4"/>
    <mergeCell ref="O4:Q4"/>
    <mergeCell ref="S14:S16"/>
    <mergeCell ref="T14:T16"/>
    <mergeCell ref="B5:B6"/>
    <mergeCell ref="E5:E6"/>
    <mergeCell ref="G5:G6"/>
    <mergeCell ref="H5:H6"/>
    <mergeCell ref="J5:J6"/>
    <mergeCell ref="B8:B10"/>
    <mergeCell ref="C8:C10"/>
    <mergeCell ref="D8:D10"/>
    <mergeCell ref="E8:E10"/>
    <mergeCell ref="F8:F10"/>
    <mergeCell ref="G11:G13"/>
    <mergeCell ref="H11:H13"/>
    <mergeCell ref="I14:I16"/>
    <mergeCell ref="J14:J16"/>
    <mergeCell ref="K14:K16"/>
    <mergeCell ref="G8:G10"/>
    <mergeCell ref="H8:H10"/>
    <mergeCell ref="H14:H16"/>
    <mergeCell ref="I11:I13"/>
    <mergeCell ref="J11:J13"/>
    <mergeCell ref="K11:K13"/>
    <mergeCell ref="G14:G16"/>
    <mergeCell ref="B11:B13"/>
    <mergeCell ref="C11:C13"/>
    <mergeCell ref="D11:D13"/>
    <mergeCell ref="E11:E13"/>
    <mergeCell ref="F11:F13"/>
    <mergeCell ref="N5:N6"/>
    <mergeCell ref="P5:P6"/>
    <mergeCell ref="Q5:Q6"/>
    <mergeCell ref="L14:L16"/>
    <mergeCell ref="I8:I10"/>
    <mergeCell ref="J8:J10"/>
    <mergeCell ref="K8:K10"/>
    <mergeCell ref="M14:M16"/>
    <mergeCell ref="N14:N16"/>
    <mergeCell ref="O14:O16"/>
    <mergeCell ref="P14:P16"/>
    <mergeCell ref="Q14:Q16"/>
    <mergeCell ref="Q8:Q10"/>
    <mergeCell ref="Q11:Q13"/>
    <mergeCell ref="L8:L10"/>
    <mergeCell ref="M8:M10"/>
    <mergeCell ref="N8:N10"/>
    <mergeCell ref="O8:O10"/>
    <mergeCell ref="P8:P10"/>
    <mergeCell ref="L11:L13"/>
    <mergeCell ref="M11:M13"/>
    <mergeCell ref="N11:N13"/>
    <mergeCell ref="O11:O13"/>
    <mergeCell ref="P11:P13"/>
  </mergeCells>
  <conditionalFormatting sqref="B7">
    <cfRule type="cellIs" dxfId="180" priority="66" operator="lessThan">
      <formula>2.5</formula>
    </cfRule>
  </conditionalFormatting>
  <conditionalFormatting sqref="C11:C16 F11:F13 I11:I13 L11:L13 O11:O13 R8:R16">
    <cfRule type="expression" dxfId="179" priority="64">
      <formula>SIGN(C8)&lt;&gt;SIGN(E8)</formula>
    </cfRule>
    <cfRule type="expression" dxfId="178" priority="65">
      <formula>ABS(C8)&gt;ABS(E8)</formula>
    </cfRule>
  </conditionalFormatting>
  <conditionalFormatting sqref="J11:J13 G11:G13 D11:D16 P11:P13 M11:M13">
    <cfRule type="expression" dxfId="177" priority="62">
      <formula>SIGN(D11)&lt;&gt;SIGN(E11)</formula>
    </cfRule>
    <cfRule type="expression" dxfId="176" priority="63">
      <formula>ABS(D11)&gt;ABS(E11)</formula>
    </cfRule>
  </conditionalFormatting>
  <conditionalFormatting sqref="C8:C10">
    <cfRule type="expression" dxfId="175" priority="60">
      <formula>SIGN(C8)&lt;&gt;SIGN(E8)</formula>
    </cfRule>
    <cfRule type="expression" dxfId="174" priority="61">
      <formula>ABS(C8)&gt;ABS(E8)</formula>
    </cfRule>
  </conditionalFormatting>
  <conditionalFormatting sqref="F14:F16">
    <cfRule type="expression" dxfId="173" priority="56">
      <formula>SIGN(F14)&lt;&gt;SIGN(H14)</formula>
    </cfRule>
    <cfRule type="expression" dxfId="172" priority="57">
      <formula>ABS(F14)&gt;ABS(H14)</formula>
    </cfRule>
  </conditionalFormatting>
  <conditionalFormatting sqref="F8:F10">
    <cfRule type="expression" dxfId="171" priority="54">
      <formula>SIGN(F8)&lt;&gt;SIGN(H8)</formula>
    </cfRule>
    <cfRule type="expression" dxfId="170" priority="55">
      <formula>ABS(F8)&gt;ABS(H8)</formula>
    </cfRule>
  </conditionalFormatting>
  <conditionalFormatting sqref="I14:I16">
    <cfRule type="expression" dxfId="169" priority="50">
      <formula>SIGN(I14)&lt;&gt;SIGN(K14)</formula>
    </cfRule>
    <cfRule type="expression" dxfId="168" priority="51">
      <formula>ABS(I14)&gt;ABS(K14)</formula>
    </cfRule>
  </conditionalFormatting>
  <conditionalFormatting sqref="I8:I10">
    <cfRule type="expression" dxfId="167" priority="48">
      <formula>SIGN(I8)&lt;&gt;SIGN(K8)</formula>
    </cfRule>
    <cfRule type="expression" dxfId="166" priority="49">
      <formula>ABS(I8)&gt;ABS(K8)</formula>
    </cfRule>
  </conditionalFormatting>
  <conditionalFormatting sqref="J8:J10">
    <cfRule type="expression" dxfId="165" priority="42">
      <formula>SIGN(J8)&lt;&gt;SIGN(K8)</formula>
    </cfRule>
    <cfRule type="expression" dxfId="164" priority="43">
      <formula>ABS(J8)&gt;ABS(K8)</formula>
    </cfRule>
  </conditionalFormatting>
  <conditionalFormatting sqref="G8:G10">
    <cfRule type="expression" dxfId="163" priority="38">
      <formula>SIGN(G8)&lt;&gt;SIGN(H8)</formula>
    </cfRule>
    <cfRule type="expression" dxfId="162" priority="39">
      <formula>ABS(G8)&gt;ABS(H8)</formula>
    </cfRule>
  </conditionalFormatting>
  <conditionalFormatting sqref="D8:D10">
    <cfRule type="expression" dxfId="161" priority="34">
      <formula>SIGN(D8)&lt;&gt;SIGN(E8)</formula>
    </cfRule>
    <cfRule type="expression" dxfId="160" priority="35">
      <formula>ABS(D8)&gt;ABS(E8)</formula>
    </cfRule>
  </conditionalFormatting>
  <conditionalFormatting sqref="G14:G16">
    <cfRule type="expression" dxfId="159" priority="32">
      <formula>SIGN(G14)&lt;&gt;SIGN(H14)</formula>
    </cfRule>
    <cfRule type="expression" dxfId="158" priority="33">
      <formula>ABS(G14)&gt;ABS(H14)</formula>
    </cfRule>
  </conditionalFormatting>
  <conditionalFormatting sqref="J14:J16">
    <cfRule type="expression" dxfId="157" priority="30">
      <formula>SIGN(J14)&lt;&gt;SIGN(K14)</formula>
    </cfRule>
    <cfRule type="expression" dxfId="156" priority="31">
      <formula>ABS(J14)&gt;ABS(K14)</formula>
    </cfRule>
  </conditionalFormatting>
  <conditionalFormatting sqref="L14:L16">
    <cfRule type="expression" dxfId="155" priority="28">
      <formula>SIGN(L14)&lt;&gt;SIGN(N14)</formula>
    </cfRule>
    <cfRule type="expression" dxfId="154" priority="29">
      <formula>ABS(L14)&gt;ABS(N14)</formula>
    </cfRule>
  </conditionalFormatting>
  <conditionalFormatting sqref="M14:M16">
    <cfRule type="expression" dxfId="153" priority="26">
      <formula>SIGN(M14)&lt;&gt;SIGN(N14)</formula>
    </cfRule>
    <cfRule type="expression" dxfId="152" priority="27">
      <formula>ABS(M14)&gt;ABS(N14)</formula>
    </cfRule>
  </conditionalFormatting>
  <conditionalFormatting sqref="L8:L10">
    <cfRule type="expression" dxfId="151" priority="24">
      <formula>SIGN(L8)&lt;&gt;SIGN(N8)</formula>
    </cfRule>
    <cfRule type="expression" dxfId="150" priority="25">
      <formula>ABS(L8)&gt;ABS(N8)</formula>
    </cfRule>
  </conditionalFormatting>
  <conditionalFormatting sqref="O14:O16">
    <cfRule type="expression" dxfId="149" priority="20">
      <formula>SIGN(O14)&lt;&gt;SIGN(Q14)</formula>
    </cfRule>
    <cfRule type="expression" dxfId="148" priority="21">
      <formula>ABS(O14)&gt;ABS(Q14)</formula>
    </cfRule>
  </conditionalFormatting>
  <conditionalFormatting sqref="O8:O10">
    <cfRule type="expression" dxfId="147" priority="18">
      <formula>SIGN(O8)&lt;&gt;SIGN(Q8)</formula>
    </cfRule>
    <cfRule type="expression" dxfId="146" priority="19">
      <formula>ABS(O8)&gt;ABS(Q8)</formula>
    </cfRule>
  </conditionalFormatting>
  <conditionalFormatting sqref="P8:P10">
    <cfRule type="expression" dxfId="145" priority="12">
      <formula>SIGN(P8)&lt;&gt;SIGN(Q8)</formula>
    </cfRule>
    <cfRule type="expression" dxfId="144" priority="13">
      <formula>ABS(P8)&gt;ABS(Q8)</formula>
    </cfRule>
  </conditionalFormatting>
  <conditionalFormatting sqref="M8:M10">
    <cfRule type="expression" dxfId="143" priority="8">
      <formula>SIGN(M8)&lt;&gt;SIGN(N8)</formula>
    </cfRule>
    <cfRule type="expression" dxfId="142" priority="9">
      <formula>ABS(M8)&gt;ABS(N8)</formula>
    </cfRule>
  </conditionalFormatting>
  <conditionalFormatting sqref="P14:P16">
    <cfRule type="expression" dxfId="141" priority="6">
      <formula>SIGN(P14)&lt;&gt;SIGN(Q14)</formula>
    </cfRule>
    <cfRule type="expression" dxfId="140" priority="7">
      <formula>ABS(P14)&gt;ABS(Q14)</formula>
    </cfRule>
  </conditionalFormatting>
  <conditionalFormatting sqref="S8:S16">
    <cfRule type="expression" dxfId="139" priority="2">
      <formula>SIGN(S8)&lt;&gt;SIGN(T8)</formula>
    </cfRule>
  </conditionalFormatting>
  <conditionalFormatting sqref="S8:S16">
    <cfRule type="expression" dxfId="138" priority="3">
      <formula>ABS(S8)&gt;ABS(T8)</formula>
    </cfRule>
  </conditionalFormatting>
  <conditionalFormatting sqref="R8:T16">
    <cfRule type="containsText" dxfId="137" priority="1" operator="containsText" text="N/A">
      <formula>NOT(ISERROR(SEARCH("N/A",R8)))</formula>
    </cfRule>
  </conditionalFormatting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D9A24-6BEF-4E40-922C-F6641F27331C}">
  <sheetPr codeName="Sheet29">
    <tabColor rgb="FF00A3E0"/>
  </sheetPr>
  <dimension ref="A1:W197"/>
  <sheetViews>
    <sheetView zoomScale="80" zoomScaleNormal="80" workbookViewId="0"/>
  </sheetViews>
  <sheetFormatPr defaultColWidth="0" defaultRowHeight="12.75" customHeight="1" zeroHeight="1" x14ac:dyDescent="0.2"/>
  <cols>
    <col min="1" max="1" width="1.7109375" style="8" customWidth="1"/>
    <col min="2" max="2" width="9.5703125" style="8" customWidth="1"/>
    <col min="3" max="17" width="9.140625" style="8" customWidth="1"/>
    <col min="18" max="18" width="1.7109375" style="8" customWidth="1"/>
    <col min="19" max="23" width="0" style="8" hidden="1" customWidth="1"/>
    <col min="24" max="16384" width="9.140625" style="8" hidden="1"/>
  </cols>
  <sheetData>
    <row r="1" spans="1:17" x14ac:dyDescent="0.2">
      <c r="A1" s="33"/>
      <c r="B1" s="1048"/>
      <c r="C1" s="1049"/>
      <c r="D1" s="1054" t="str">
        <f xml:space="preserve"> IF(ISBLANK(estudo_edr),"",estudo_edr)</f>
        <v>S51956-RT-5801-IAS-661</v>
      </c>
      <c r="E1" s="1054"/>
      <c r="F1" s="1054"/>
      <c r="G1" s="1054"/>
      <c r="H1" s="1054"/>
      <c r="I1" s="1054"/>
      <c r="J1" s="1054"/>
      <c r="K1" s="1054"/>
      <c r="L1" s="1049"/>
    </row>
    <row r="2" spans="1:17" x14ac:dyDescent="0.2">
      <c r="B2" s="1050"/>
      <c r="C2" s="1051"/>
      <c r="D2" s="1055"/>
      <c r="E2" s="1055"/>
      <c r="F2" s="1055"/>
      <c r="G2" s="1055"/>
      <c r="H2" s="1055"/>
      <c r="I2" s="1055"/>
      <c r="J2" s="1055"/>
      <c r="K2" s="1055"/>
      <c r="L2" s="1051"/>
    </row>
    <row r="3" spans="1:17" ht="13.5" thickBot="1" x14ac:dyDescent="0.25">
      <c r="B3" s="1052"/>
      <c r="C3" s="1053"/>
      <c r="D3" s="1056"/>
      <c r="E3" s="1056"/>
      <c r="F3" s="1056"/>
      <c r="G3" s="1056"/>
      <c r="H3" s="1056"/>
      <c r="I3" s="1056"/>
      <c r="J3" s="1056"/>
      <c r="K3" s="1056"/>
      <c r="L3" s="1053"/>
    </row>
    <row r="4" spans="1:17" x14ac:dyDescent="0.2">
      <c r="B4" s="681"/>
      <c r="C4" s="681"/>
      <c r="D4" s="681"/>
      <c r="E4" s="681"/>
      <c r="F4" s="681"/>
      <c r="G4" s="681"/>
      <c r="H4" s="681"/>
      <c r="I4" s="681"/>
      <c r="J4" s="681"/>
      <c r="K4" s="681"/>
      <c r="L4" s="681"/>
    </row>
    <row r="5" spans="1:17" x14ac:dyDescent="0.2">
      <c r="B5" s="989" t="s">
        <v>1361</v>
      </c>
      <c r="C5" s="989"/>
      <c r="D5" s="989"/>
      <c r="E5" s="989"/>
      <c r="F5" s="989"/>
      <c r="G5" s="989"/>
      <c r="H5" s="989"/>
      <c r="I5" s="989"/>
      <c r="J5" s="989"/>
      <c r="K5" s="989"/>
      <c r="L5" s="989"/>
    </row>
    <row r="6" spans="1:17" ht="12.75" customHeight="1" x14ac:dyDescent="0.2">
      <c r="B6" s="989"/>
      <c r="C6" s="989"/>
      <c r="D6" s="989"/>
      <c r="E6" s="989"/>
      <c r="F6" s="989"/>
      <c r="G6" s="989"/>
      <c r="H6" s="989"/>
      <c r="I6" s="989"/>
      <c r="J6" s="989"/>
      <c r="K6" s="989"/>
      <c r="L6" s="989"/>
    </row>
    <row r="7" spans="1:17" x14ac:dyDescent="0.2">
      <c r="B7" s="689" t="s">
        <v>1478</v>
      </c>
      <c r="C7" s="1035" t="s">
        <v>1365</v>
      </c>
      <c r="D7" s="1035"/>
      <c r="E7" s="1035" t="s">
        <v>1366</v>
      </c>
      <c r="F7" s="1035"/>
      <c r="G7" s="1057" t="s">
        <v>1367</v>
      </c>
      <c r="H7" s="1057"/>
      <c r="I7" s="1035" t="s">
        <v>1368</v>
      </c>
      <c r="J7" s="1035"/>
      <c r="K7" s="1035" t="s">
        <v>1479</v>
      </c>
      <c r="L7" s="1035"/>
    </row>
    <row r="8" spans="1:17" x14ac:dyDescent="0.2">
      <c r="B8" s="1017">
        <f>estudo_version_report</f>
        <v>0</v>
      </c>
      <c r="C8" s="1040">
        <f ca="1">TODAY()</f>
        <v>45712</v>
      </c>
      <c r="D8" s="1041"/>
      <c r="E8" s="1044" t="str">
        <f>estudo_initials_engineer</f>
        <v>YBN</v>
      </c>
      <c r="F8" s="1045"/>
      <c r="G8" s="1044" t="str">
        <f>estudo_initials_reviewer</f>
        <v>NSI</v>
      </c>
      <c r="H8" s="1045"/>
      <c r="I8" s="1044" t="str">
        <f>estudo_initials_aprover</f>
        <v>CFS</v>
      </c>
      <c r="J8" s="1045"/>
      <c r="K8" s="996" t="s">
        <v>1480</v>
      </c>
      <c r="L8" s="998"/>
    </row>
    <row r="9" spans="1:17" x14ac:dyDescent="0.2">
      <c r="B9" s="1018"/>
      <c r="C9" s="1042"/>
      <c r="D9" s="1043"/>
      <c r="E9" s="1046"/>
      <c r="F9" s="1047"/>
      <c r="G9" s="1046"/>
      <c r="H9" s="1047"/>
      <c r="I9" s="1046"/>
      <c r="J9" s="1047"/>
      <c r="K9" s="999"/>
      <c r="L9" s="1001"/>
    </row>
    <row r="10" spans="1:17" ht="12.75" customHeight="1" x14ac:dyDescent="0.2">
      <c r="B10" s="1035" t="s">
        <v>1373</v>
      </c>
      <c r="C10" s="996" t="str">
        <f>_xlfn.CONCAT("ESTUDO DE CVD DE 2ª EXTREMIDADE DA LINHA DE"," ",estudo_line_type," ","no"," ",estudo_connection_type," ",estudo_well_name)</f>
        <v>ESTUDO DE CVD DE 2ª EXTREMIDADE DA LINHA DE IG no Poço 8-LL-44-RJS</v>
      </c>
      <c r="D10" s="997"/>
      <c r="E10" s="997"/>
      <c r="F10" s="997"/>
      <c r="G10" s="997"/>
      <c r="H10" s="997"/>
      <c r="I10" s="997"/>
      <c r="J10" s="997"/>
      <c r="K10" s="997"/>
      <c r="L10" s="998"/>
    </row>
    <row r="11" spans="1:17" x14ac:dyDescent="0.2">
      <c r="B11" s="985"/>
      <c r="C11" s="999"/>
      <c r="D11" s="1000"/>
      <c r="E11" s="1000"/>
      <c r="F11" s="1000"/>
      <c r="G11" s="1000"/>
      <c r="H11" s="1000"/>
      <c r="I11" s="1000"/>
      <c r="J11" s="1000"/>
      <c r="K11" s="1000"/>
      <c r="L11" s="1001"/>
    </row>
    <row r="12" spans="1:17" x14ac:dyDescent="0.2">
      <c r="B12" s="688" t="s">
        <v>1481</v>
      </c>
      <c r="C12" s="1036" t="str">
        <f xml:space="preserve"> IF(ISBLANK(estudo_requester),"",estudo_requester)</f>
        <v>Alef Nascimento; João Gabriel Santos</v>
      </c>
      <c r="D12" s="1037"/>
      <c r="E12" s="1037"/>
      <c r="F12" s="1037"/>
      <c r="G12" s="1038"/>
      <c r="H12" s="1036" t="str">
        <f xml:space="preserve"> IF(ISBLANK(estudo_vessel_coordinator),"",estudo_vessel_coordinator)</f>
        <v>André Paulo</v>
      </c>
      <c r="I12" s="1037"/>
      <c r="J12" s="1037"/>
      <c r="K12" s="1037"/>
      <c r="L12" s="1038"/>
    </row>
    <row r="13" spans="1:17" x14ac:dyDescent="0.2">
      <c r="B13" s="681"/>
      <c r="C13" s="681"/>
      <c r="D13" s="681"/>
      <c r="E13" s="681"/>
      <c r="F13" s="681"/>
      <c r="G13" s="681"/>
      <c r="H13" s="681"/>
      <c r="I13" s="681"/>
      <c r="J13" s="681"/>
      <c r="K13" s="681"/>
      <c r="L13" s="681"/>
    </row>
    <row r="14" spans="1:17" x14ac:dyDescent="0.2">
      <c r="B14" s="989" t="s">
        <v>1482</v>
      </c>
      <c r="C14" s="989"/>
      <c r="D14" s="989"/>
      <c r="E14" s="989"/>
      <c r="F14" s="989"/>
      <c r="G14" s="989"/>
      <c r="H14" s="989"/>
      <c r="I14" s="989"/>
      <c r="J14" s="989"/>
      <c r="K14" s="989"/>
      <c r="L14" s="989"/>
      <c r="Q14" s="686"/>
    </row>
    <row r="15" spans="1:17" ht="12.75" customHeight="1" x14ac:dyDescent="0.2">
      <c r="B15" s="974"/>
      <c r="C15" s="974"/>
      <c r="D15" s="974"/>
      <c r="E15" s="974"/>
      <c r="F15" s="974"/>
      <c r="G15" s="974"/>
      <c r="H15" s="974"/>
      <c r="I15" s="974"/>
      <c r="J15" s="974"/>
      <c r="K15" s="974"/>
      <c r="L15" s="974"/>
    </row>
    <row r="16" spans="1:17" x14ac:dyDescent="0.2">
      <c r="B16" s="1039" t="s">
        <v>1483</v>
      </c>
      <c r="C16" s="1039"/>
      <c r="D16" s="1039"/>
      <c r="E16" s="1039"/>
      <c r="F16" s="1039"/>
      <c r="G16" s="1039"/>
      <c r="H16" s="987" t="s">
        <v>1386</v>
      </c>
      <c r="I16" s="987"/>
      <c r="J16" s="987"/>
      <c r="K16" s="987"/>
      <c r="L16" s="987"/>
    </row>
    <row r="17" spans="2:12" x14ac:dyDescent="0.2">
      <c r="B17" s="6" t="s">
        <v>1484</v>
      </c>
      <c r="C17" s="985" t="s">
        <v>2159</v>
      </c>
      <c r="D17" s="985"/>
      <c r="E17" s="985"/>
      <c r="F17" s="985"/>
      <c r="G17" s="985"/>
      <c r="H17" s="6" t="s">
        <v>1392</v>
      </c>
      <c r="I17" s="985" t="s">
        <v>1393</v>
      </c>
      <c r="J17" s="985"/>
      <c r="K17" s="985"/>
      <c r="L17" s="985"/>
    </row>
    <row r="18" spans="2:12" x14ac:dyDescent="0.2">
      <c r="B18" s="1034" t="s">
        <v>1394</v>
      </c>
      <c r="C18" s="1034"/>
      <c r="D18" s="985" t="str">
        <f>_xlfn.CONCAT(Results!C4,"  ",Results!C5)</f>
        <v>Poço  8-LL-44-RJS</v>
      </c>
      <c r="E18" s="985"/>
      <c r="F18" s="985"/>
      <c r="G18" s="985"/>
      <c r="H18" s="6" t="str">
        <f>_xlfn.CONCAT(estudo_line_type,":")</f>
        <v>IG:</v>
      </c>
      <c r="I18" s="985"/>
      <c r="J18" s="985"/>
      <c r="K18" s="985"/>
      <c r="L18" s="985"/>
    </row>
    <row r="19" spans="2:12" x14ac:dyDescent="0.2">
      <c r="B19" s="1034" t="s">
        <v>1486</v>
      </c>
      <c r="C19" s="1034"/>
      <c r="D19" s="985" t="str">
        <f>_xlfn.CONCAT(Values!C3," ","[m]")</f>
        <v>2240 [m]</v>
      </c>
      <c r="E19" s="985"/>
      <c r="F19" s="985"/>
      <c r="G19" s="985"/>
      <c r="H19" s="6" t="s">
        <v>1487</v>
      </c>
      <c r="I19" s="985" t="s">
        <v>1398</v>
      </c>
      <c r="J19" s="985"/>
      <c r="K19" s="985"/>
      <c r="L19" s="985"/>
    </row>
    <row r="20" spans="2:12" x14ac:dyDescent="0.2">
      <c r="B20" s="6" t="s">
        <v>1400</v>
      </c>
      <c r="C20" s="6"/>
      <c r="D20" s="985" t="str">
        <f xml:space="preserve"> IF(ISBLANK(Results!C6)," ",Results!C6)</f>
        <v>Skandi Açu</v>
      </c>
      <c r="E20" s="985"/>
      <c r="F20" s="985"/>
      <c r="G20" s="985"/>
      <c r="H20" s="6" t="s">
        <v>1437</v>
      </c>
      <c r="I20" s="985" t="s">
        <v>1402</v>
      </c>
      <c r="J20" s="985"/>
      <c r="K20" s="985"/>
      <c r="L20" s="985"/>
    </row>
    <row r="21" spans="2:12" x14ac:dyDescent="0.2">
      <c r="B21" s="1028" t="s">
        <v>1403</v>
      </c>
      <c r="C21" s="1029"/>
      <c r="D21" s="1030" t="str">
        <f>IF(ISBLANK(Results!C7),"",Results!C7)</f>
        <v>Lula</v>
      </c>
      <c r="E21" s="1031"/>
      <c r="F21" s="1031"/>
      <c r="G21" s="1032"/>
      <c r="H21" s="6" t="s">
        <v>1404</v>
      </c>
      <c r="I21" s="985" t="s">
        <v>1405</v>
      </c>
      <c r="J21" s="985"/>
      <c r="K21" s="985"/>
      <c r="L21" s="985"/>
    </row>
    <row r="22" spans="2:12" ht="12.75" customHeight="1" x14ac:dyDescent="0.2">
      <c r="B22" s="1033" t="s">
        <v>1488</v>
      </c>
      <c r="C22" s="1033"/>
      <c r="D22" s="1030" t="str">
        <f>_xlfn.CONCAT("ORCAFLEX versão"," ", postproc_orcaflex_version)</f>
        <v>ORCAFLEX versão 0</v>
      </c>
      <c r="E22" s="1031"/>
      <c r="F22" s="1031"/>
      <c r="G22" s="1032"/>
      <c r="H22" s="6" t="s">
        <v>1407</v>
      </c>
      <c r="I22" s="985" t="s">
        <v>1408</v>
      </c>
      <c r="J22" s="985"/>
      <c r="K22" s="985"/>
      <c r="L22" s="985"/>
    </row>
    <row r="23" spans="2:12" x14ac:dyDescent="0.2">
      <c r="B23" s="708"/>
      <c r="C23" s="708"/>
      <c r="D23" s="677"/>
      <c r="E23" s="677"/>
      <c r="F23" s="677"/>
      <c r="G23" s="677"/>
      <c r="H23" s="695"/>
      <c r="I23" s="681"/>
      <c r="J23" s="681"/>
      <c r="K23" s="681"/>
      <c r="L23" s="681"/>
    </row>
    <row r="24" spans="2:12" x14ac:dyDescent="0.2">
      <c r="B24" s="987" t="s">
        <v>1409</v>
      </c>
      <c r="C24" s="987"/>
      <c r="D24" s="987"/>
      <c r="E24" s="987"/>
      <c r="F24" s="987"/>
      <c r="G24" s="987"/>
      <c r="H24" s="987"/>
      <c r="I24" s="987"/>
      <c r="J24" s="987"/>
      <c r="K24" s="987"/>
      <c r="L24" s="987"/>
    </row>
    <row r="25" spans="2:12" x14ac:dyDescent="0.2">
      <c r="B25" s="687" t="s">
        <v>1489</v>
      </c>
      <c r="C25" s="1027" t="s">
        <v>1411</v>
      </c>
      <c r="D25" s="1027"/>
      <c r="E25" s="1027"/>
      <c r="F25" s="1027"/>
      <c r="G25" s="54" t="s">
        <v>1490</v>
      </c>
      <c r="H25" s="1027" t="s">
        <v>1491</v>
      </c>
      <c r="I25" s="1027"/>
      <c r="J25" s="1027"/>
      <c r="K25" s="1027"/>
      <c r="L25" s="1027"/>
    </row>
    <row r="26" spans="2:12" x14ac:dyDescent="0.2">
      <c r="B26" s="985" t="s">
        <v>1414</v>
      </c>
      <c r="C26" s="1025" t="str">
        <f xml:space="preserve"> IF(ISBLANK(estudo_rl_doc),"",estudo_rl_doc)</f>
        <v/>
      </c>
      <c r="D26" s="1025"/>
      <c r="E26" s="1025"/>
      <c r="F26" s="1025"/>
      <c r="G26" s="1025">
        <f>estudo_rl_rev</f>
        <v>0</v>
      </c>
      <c r="H26" s="1026" t="str">
        <f xml:space="preserve"> IF(ISBLANK(estudo_rl_titulo),"",estudo_rl_titulo)</f>
        <v/>
      </c>
      <c r="I26" s="1026"/>
      <c r="J26" s="1026"/>
      <c r="K26" s="1026"/>
      <c r="L26" s="1026"/>
    </row>
    <row r="27" spans="2:12" x14ac:dyDescent="0.2">
      <c r="B27" s="985"/>
      <c r="C27" s="1025"/>
      <c r="D27" s="1025"/>
      <c r="E27" s="1025"/>
      <c r="F27" s="1025"/>
      <c r="G27" s="1025"/>
      <c r="H27" s="1026"/>
      <c r="I27" s="1026"/>
      <c r="J27" s="1026"/>
      <c r="K27" s="1026"/>
      <c r="L27" s="1026"/>
    </row>
    <row r="28" spans="2:12" x14ac:dyDescent="0.2">
      <c r="B28" s="985" t="s">
        <v>1415</v>
      </c>
      <c r="C28" s="1025" t="str">
        <f xml:space="preserve"> IF(ISBLANK(estudo_rt_doc),"",estudo_rt_doc)</f>
        <v>RT-2691</v>
      </c>
      <c r="D28" s="1025"/>
      <c r="E28" s="1025"/>
      <c r="F28" s="1025"/>
      <c r="G28" s="1025">
        <f>estudo_rt_rev</f>
        <v>0</v>
      </c>
      <c r="H28" s="1026" t="str">
        <f xml:space="preserve"> IF(ISBLANK(estudo_rt_titulo),"",estudo_rt_titulo)</f>
        <v>CVD de 1ª da linha de IG do MSIAG-01 do FPSO Cidade de Itaguaí</v>
      </c>
      <c r="I28" s="1026"/>
      <c r="J28" s="1026"/>
      <c r="K28" s="1026"/>
      <c r="L28" s="1026"/>
    </row>
    <row r="29" spans="2:12" x14ac:dyDescent="0.2">
      <c r="B29" s="985"/>
      <c r="C29" s="1025"/>
      <c r="D29" s="1025"/>
      <c r="E29" s="1025"/>
      <c r="F29" s="1025"/>
      <c r="G29" s="1025"/>
      <c r="H29" s="1026"/>
      <c r="I29" s="1026"/>
      <c r="J29" s="1026"/>
      <c r="K29" s="1026"/>
      <c r="L29" s="1026"/>
    </row>
    <row r="30" spans="2:12" x14ac:dyDescent="0.2">
      <c r="B30" s="681"/>
      <c r="C30" s="681"/>
      <c r="D30" s="681"/>
      <c r="E30" s="681"/>
      <c r="F30" s="681"/>
      <c r="G30" s="681"/>
      <c r="H30" s="681"/>
      <c r="I30" s="681"/>
      <c r="J30" s="681"/>
      <c r="K30" s="681"/>
      <c r="L30" s="681"/>
    </row>
    <row r="31" spans="2:12" x14ac:dyDescent="0.2">
      <c r="B31" s="989" t="s">
        <v>1492</v>
      </c>
      <c r="C31" s="989"/>
      <c r="D31" s="989"/>
      <c r="E31" s="989"/>
      <c r="F31" s="989"/>
      <c r="G31" s="989"/>
      <c r="H31" s="989"/>
      <c r="I31" s="989"/>
      <c r="J31" s="989"/>
      <c r="K31" s="989"/>
      <c r="L31" s="989"/>
    </row>
    <row r="32" spans="2:12" ht="12.75" customHeight="1" x14ac:dyDescent="0.2">
      <c r="B32" s="974"/>
      <c r="C32" s="974"/>
      <c r="D32" s="974"/>
      <c r="E32" s="974"/>
      <c r="F32" s="974"/>
      <c r="G32" s="974"/>
      <c r="H32" s="974"/>
      <c r="I32" s="974"/>
      <c r="J32" s="974"/>
      <c r="K32" s="974"/>
      <c r="L32" s="974"/>
    </row>
    <row r="33" spans="2:12" ht="12.75" customHeight="1" x14ac:dyDescent="0.2">
      <c r="B33" s="987" t="s">
        <v>1417</v>
      </c>
      <c r="C33" s="987"/>
      <c r="D33" s="987"/>
      <c r="E33" s="987"/>
      <c r="F33" s="987"/>
      <c r="G33" s="987" t="s">
        <v>1418</v>
      </c>
      <c r="H33" s="987"/>
      <c r="I33" s="987"/>
      <c r="J33" s="987"/>
      <c r="K33" s="987"/>
      <c r="L33" s="987"/>
    </row>
    <row r="34" spans="2:12" ht="12.75" customHeight="1" x14ac:dyDescent="0.2">
      <c r="B34" s="1016" t="s">
        <v>1493</v>
      </c>
      <c r="C34" s="1016"/>
      <c r="D34" s="1016"/>
      <c r="E34" s="1016"/>
      <c r="F34" s="1016"/>
      <c r="G34" s="1016"/>
      <c r="H34" s="1016"/>
      <c r="I34" s="1016"/>
      <c r="J34" s="1016"/>
      <c r="K34" s="1016"/>
      <c r="L34" s="1016"/>
    </row>
    <row r="35" spans="2:12" x14ac:dyDescent="0.2">
      <c r="B35" s="1016"/>
      <c r="C35" s="1016"/>
      <c r="D35" s="1016"/>
      <c r="E35" s="1016"/>
      <c r="F35" s="1016"/>
      <c r="G35" s="1016"/>
      <c r="H35" s="1016"/>
      <c r="I35" s="1016"/>
      <c r="J35" s="1016"/>
      <c r="K35" s="1016"/>
      <c r="L35" s="1016"/>
    </row>
    <row r="36" spans="2:12" x14ac:dyDescent="0.2">
      <c r="B36" s="1016"/>
      <c r="C36" s="1016"/>
      <c r="D36" s="1016"/>
      <c r="E36" s="1016"/>
      <c r="F36" s="1016"/>
      <c r="G36" s="1016"/>
      <c r="H36" s="1016"/>
      <c r="I36" s="1016"/>
      <c r="J36" s="1016"/>
      <c r="K36" s="1016"/>
      <c r="L36" s="1016"/>
    </row>
    <row r="37" spans="2:12" x14ac:dyDescent="0.2">
      <c r="B37" s="1016"/>
      <c r="C37" s="1016"/>
      <c r="D37" s="1016"/>
      <c r="E37" s="1016"/>
      <c r="F37" s="1016"/>
      <c r="G37" s="1016"/>
      <c r="H37" s="1016"/>
      <c r="I37" s="1016"/>
      <c r="J37" s="1016"/>
      <c r="K37" s="1016"/>
      <c r="L37" s="1016"/>
    </row>
    <row r="38" spans="2:12" x14ac:dyDescent="0.2">
      <c r="B38" s="1016"/>
      <c r="C38" s="1016"/>
      <c r="D38" s="1016"/>
      <c r="E38" s="1016"/>
      <c r="F38" s="1016"/>
      <c r="G38" s="1016"/>
      <c r="H38" s="1016"/>
      <c r="I38" s="1016"/>
      <c r="J38" s="1016"/>
      <c r="K38" s="1016"/>
      <c r="L38" s="1016"/>
    </row>
    <row r="39" spans="2:12" x14ac:dyDescent="0.2">
      <c r="B39" s="1016"/>
      <c r="C39" s="1016"/>
      <c r="D39" s="1016"/>
      <c r="E39" s="1016"/>
      <c r="F39" s="1016"/>
      <c r="G39" s="1016"/>
      <c r="H39" s="1016"/>
      <c r="I39" s="1016"/>
      <c r="J39" s="1016"/>
      <c r="K39" s="1016"/>
      <c r="L39" s="1016"/>
    </row>
    <row r="40" spans="2:12" x14ac:dyDescent="0.2">
      <c r="B40" s="1016"/>
      <c r="C40" s="1016"/>
      <c r="D40" s="1016"/>
      <c r="E40" s="1016"/>
      <c r="F40" s="1016"/>
      <c r="G40" s="1016"/>
      <c r="H40" s="1016"/>
      <c r="I40" s="1016"/>
      <c r="J40" s="1016"/>
      <c r="K40" s="1016"/>
      <c r="L40" s="1016"/>
    </row>
    <row r="41" spans="2:12" x14ac:dyDescent="0.2">
      <c r="B41" s="1016"/>
      <c r="C41" s="1016"/>
      <c r="D41" s="1016"/>
      <c r="E41" s="1016"/>
      <c r="F41" s="1016"/>
      <c r="G41" s="1016"/>
      <c r="H41" s="1016"/>
      <c r="I41" s="1016"/>
      <c r="J41" s="1016"/>
      <c r="K41" s="1016"/>
      <c r="L41" s="1016"/>
    </row>
    <row r="42" spans="2:12" x14ac:dyDescent="0.2">
      <c r="B42" s="1016"/>
      <c r="C42" s="1016"/>
      <c r="D42" s="1016"/>
      <c r="E42" s="1016"/>
      <c r="F42" s="1016"/>
      <c r="G42" s="1016"/>
      <c r="H42" s="1016"/>
      <c r="I42" s="1016"/>
      <c r="J42" s="1016"/>
      <c r="K42" s="1016"/>
      <c r="L42" s="1016"/>
    </row>
    <row r="43" spans="2:12" x14ac:dyDescent="0.2">
      <c r="B43" s="1016"/>
      <c r="C43" s="1016"/>
      <c r="D43" s="1016"/>
      <c r="E43" s="1016"/>
      <c r="F43" s="1016"/>
      <c r="G43" s="1016"/>
      <c r="H43" s="1016"/>
      <c r="I43" s="1016"/>
      <c r="J43" s="1016"/>
      <c r="K43" s="1016"/>
      <c r="L43" s="1016"/>
    </row>
    <row r="44" spans="2:12" x14ac:dyDescent="0.2">
      <c r="B44" s="1016"/>
      <c r="C44" s="1016"/>
      <c r="D44" s="1016"/>
      <c r="E44" s="1016"/>
      <c r="F44" s="1016"/>
      <c r="G44" s="1016"/>
      <c r="H44" s="1016"/>
      <c r="I44" s="1016"/>
      <c r="J44" s="1016"/>
      <c r="K44" s="1016"/>
      <c r="L44" s="1016"/>
    </row>
    <row r="45" spans="2:12" x14ac:dyDescent="0.2">
      <c r="B45" s="1016"/>
      <c r="C45" s="1016"/>
      <c r="D45" s="1016"/>
      <c r="E45" s="1016"/>
      <c r="F45" s="1016"/>
      <c r="G45" s="1016"/>
      <c r="H45" s="1016"/>
      <c r="I45" s="1016"/>
      <c r="J45" s="1016"/>
      <c r="K45" s="1016"/>
      <c r="L45" s="1016"/>
    </row>
    <row r="46" spans="2:12" x14ac:dyDescent="0.2">
      <c r="B46" s="1016"/>
      <c r="C46" s="1016"/>
      <c r="D46" s="1016"/>
      <c r="E46" s="1016"/>
      <c r="F46" s="1016"/>
      <c r="G46" s="1016"/>
      <c r="H46" s="1016"/>
      <c r="I46" s="1016"/>
      <c r="J46" s="1016"/>
      <c r="K46" s="1016"/>
      <c r="L46" s="1016"/>
    </row>
    <row r="47" spans="2:12" x14ac:dyDescent="0.2">
      <c r="B47" s="1016"/>
      <c r="C47" s="1016"/>
      <c r="D47" s="1016"/>
      <c r="E47" s="1016"/>
      <c r="F47" s="1016"/>
      <c r="G47" s="1016"/>
      <c r="H47" s="1016"/>
      <c r="I47" s="1016"/>
      <c r="J47" s="1016"/>
      <c r="K47" s="1016"/>
      <c r="L47" s="1016"/>
    </row>
    <row r="48" spans="2:12" x14ac:dyDescent="0.2">
      <c r="B48" s="1016"/>
      <c r="C48" s="1016"/>
      <c r="D48" s="1016"/>
      <c r="E48" s="1016"/>
      <c r="F48" s="1016"/>
      <c r="G48" s="1016"/>
      <c r="H48" s="1016"/>
      <c r="I48" s="1016"/>
      <c r="J48" s="1016"/>
      <c r="K48" s="1016"/>
      <c r="L48" s="1016"/>
    </row>
    <row r="49" spans="2:12" x14ac:dyDescent="0.2">
      <c r="B49" s="1016"/>
      <c r="C49" s="1016"/>
      <c r="D49" s="1016"/>
      <c r="E49" s="1016"/>
      <c r="F49" s="1016"/>
      <c r="G49" s="1016"/>
      <c r="H49" s="1016"/>
      <c r="I49" s="1016"/>
      <c r="J49" s="1016"/>
      <c r="K49" s="1016"/>
      <c r="L49" s="1016"/>
    </row>
    <row r="50" spans="2:12" x14ac:dyDescent="0.2">
      <c r="B50" s="987" t="s">
        <v>1248</v>
      </c>
      <c r="C50" s="987"/>
      <c r="D50" s="987"/>
      <c r="E50" s="987"/>
      <c r="F50" s="987"/>
      <c r="G50" s="987" t="s">
        <v>1494</v>
      </c>
      <c r="H50" s="987"/>
      <c r="I50" s="987"/>
      <c r="J50" s="987"/>
      <c r="K50" s="987"/>
      <c r="L50" s="987"/>
    </row>
    <row r="51" spans="2:12" x14ac:dyDescent="0.2">
      <c r="B51" s="54" t="s">
        <v>1423</v>
      </c>
      <c r="C51" s="988" t="s">
        <v>6</v>
      </c>
      <c r="D51" s="988"/>
      <c r="E51" s="988"/>
      <c r="F51" s="988"/>
      <c r="G51" s="988" t="s">
        <v>1424</v>
      </c>
      <c r="H51" s="988"/>
      <c r="I51" s="988"/>
      <c r="J51" s="54" t="s">
        <v>1425</v>
      </c>
      <c r="K51" s="54" t="s">
        <v>1495</v>
      </c>
      <c r="L51" s="54" t="s">
        <v>1427</v>
      </c>
    </row>
    <row r="52" spans="2:12" x14ac:dyDescent="0.2">
      <c r="B52" s="985" t="s">
        <v>1428</v>
      </c>
      <c r="C52" s="985" t="str">
        <f xml:space="preserve"> IF(ISBLANK(data_nome_estrutura),"",data_nome_estrutura)</f>
        <v>WSI 152.2553-RD-4042-6 Rev. 1</v>
      </c>
      <c r="D52" s="985"/>
      <c r="E52" s="985"/>
      <c r="F52" s="985"/>
      <c r="G52" s="1016" t="s">
        <v>1429</v>
      </c>
      <c r="H52" s="1016"/>
      <c r="I52" s="1016"/>
      <c r="J52" s="985" t="s">
        <v>1255</v>
      </c>
      <c r="K52" s="985" t="s">
        <v>1496</v>
      </c>
      <c r="L52" s="985" t="s">
        <v>1431</v>
      </c>
    </row>
    <row r="53" spans="2:12" x14ac:dyDescent="0.2">
      <c r="B53" s="985"/>
      <c r="C53" s="985"/>
      <c r="D53" s="985"/>
      <c r="E53" s="985"/>
      <c r="F53" s="985"/>
      <c r="G53" s="1016"/>
      <c r="H53" s="1016"/>
      <c r="I53" s="1016"/>
      <c r="J53" s="985"/>
      <c r="K53" s="985"/>
      <c r="L53" s="985"/>
    </row>
    <row r="54" spans="2:12" x14ac:dyDescent="0.2">
      <c r="B54" s="985" t="s">
        <v>1432</v>
      </c>
      <c r="C54" s="985" t="str">
        <f xml:space="preserve"> IF(ISBLANK(data_nome_vertebra),"",data_nome_vertebra)</f>
        <v>CB-BR1522553-00-01 Rev. 1</v>
      </c>
      <c r="D54" s="985"/>
      <c r="E54" s="985"/>
      <c r="F54" s="985"/>
      <c r="G54" s="1016" t="s">
        <v>1433</v>
      </c>
      <c r="H54" s="1016"/>
      <c r="I54" s="1016"/>
      <c r="J54" s="985" t="s">
        <v>1255</v>
      </c>
      <c r="K54" s="985">
        <v>0.5</v>
      </c>
      <c r="L54" s="985" t="s">
        <v>1434</v>
      </c>
    </row>
    <row r="55" spans="2:12" x14ac:dyDescent="0.2">
      <c r="B55" s="985"/>
      <c r="C55" s="985"/>
      <c r="D55" s="985"/>
      <c r="E55" s="985"/>
      <c r="F55" s="985"/>
      <c r="G55" s="1016"/>
      <c r="H55" s="1016"/>
      <c r="I55" s="1016"/>
      <c r="J55" s="985"/>
      <c r="K55" s="985"/>
      <c r="L55" s="985"/>
    </row>
    <row r="56" spans="2:12" x14ac:dyDescent="0.2">
      <c r="B56" s="985" t="s">
        <v>1435</v>
      </c>
      <c r="C56" s="985" t="str">
        <f xml:space="preserve"> IF(ISBLANK(data_nome_conector),"",data_nome_conector)</f>
        <v>CB-EF1522540-00-05 Rev. 4</v>
      </c>
      <c r="D56" s="985"/>
      <c r="E56" s="985"/>
      <c r="F56" s="985"/>
      <c r="G56" s="1016" t="s">
        <v>1436</v>
      </c>
      <c r="H56" s="1016"/>
      <c r="I56" s="1016"/>
      <c r="J56" s="985" t="s">
        <v>1414</v>
      </c>
      <c r="K56" s="985">
        <f>IF(ISBLANK(('MCV e Guindaste'!B8)*10^-3),"",('MCV e Guindaste'!B8)*10^-3)</f>
        <v>3.81</v>
      </c>
      <c r="L56" s="985" t="s">
        <v>1434</v>
      </c>
    </row>
    <row r="57" spans="2:12" x14ac:dyDescent="0.2">
      <c r="B57" s="985"/>
      <c r="C57" s="985"/>
      <c r="D57" s="985"/>
      <c r="E57" s="985"/>
      <c r="F57" s="985"/>
      <c r="G57" s="1016"/>
      <c r="H57" s="1016"/>
      <c r="I57" s="1016"/>
      <c r="J57" s="985"/>
      <c r="K57" s="985"/>
      <c r="L57" s="985"/>
    </row>
    <row r="58" spans="2:12" x14ac:dyDescent="0.2">
      <c r="B58" s="1017" t="s">
        <v>1437</v>
      </c>
      <c r="C58" s="996" t="str">
        <f>IF(ISBLANK(data_nome_mcv),"",data_nome_mcv)</f>
        <v>TechnipFMC / D</v>
      </c>
      <c r="D58" s="997"/>
      <c r="E58" s="997"/>
      <c r="F58" s="998"/>
      <c r="G58" s="1019" t="s">
        <v>1438</v>
      </c>
      <c r="H58" s="1020"/>
      <c r="I58" s="1021"/>
      <c r="J58" s="1017" t="s">
        <v>1414</v>
      </c>
      <c r="K58" s="1017">
        <f>IF(ISBLANK(Values!C27),"",(Values!C27))</f>
        <v>4.1399999999999997</v>
      </c>
      <c r="L58" s="1017" t="s">
        <v>1434</v>
      </c>
    </row>
    <row r="59" spans="2:12" ht="12.75" customHeight="1" x14ac:dyDescent="0.2">
      <c r="B59" s="1018"/>
      <c r="C59" s="999"/>
      <c r="D59" s="1000"/>
      <c r="E59" s="1000"/>
      <c r="F59" s="1001"/>
      <c r="G59" s="1022"/>
      <c r="H59" s="1023"/>
      <c r="I59" s="1024"/>
      <c r="J59" s="1018"/>
      <c r="K59" s="1018"/>
      <c r="L59" s="1018"/>
    </row>
    <row r="60" spans="2:12" x14ac:dyDescent="0.2">
      <c r="B60" s="985"/>
      <c r="C60" s="985"/>
      <c r="D60" s="985"/>
      <c r="E60" s="985"/>
      <c r="F60" s="985"/>
      <c r="G60" s="1016" t="s">
        <v>1439</v>
      </c>
      <c r="H60" s="1016"/>
      <c r="I60" s="1016"/>
      <c r="J60" s="985" t="s">
        <v>1414</v>
      </c>
      <c r="K60" s="1002">
        <f>IF(ISBLANK(Values!C13),"",(Values!C13))</f>
        <v>2.4</v>
      </c>
      <c r="L60" s="985" t="s">
        <v>1434</v>
      </c>
    </row>
    <row r="61" spans="2:12" x14ac:dyDescent="0.2">
      <c r="B61" s="985"/>
      <c r="C61" s="985"/>
      <c r="D61" s="985"/>
      <c r="E61" s="985"/>
      <c r="F61" s="985"/>
      <c r="G61" s="1016"/>
      <c r="H61" s="1016"/>
      <c r="I61" s="1016"/>
      <c r="J61" s="985"/>
      <c r="K61" s="1002"/>
      <c r="L61" s="985"/>
    </row>
    <row r="62" spans="2:12" x14ac:dyDescent="0.2">
      <c r="B62" s="985"/>
      <c r="C62" s="985"/>
      <c r="D62" s="985"/>
      <c r="E62" s="985"/>
      <c r="F62" s="985"/>
      <c r="G62" s="1016" t="s">
        <v>1440</v>
      </c>
      <c r="H62" s="1016"/>
      <c r="I62" s="1016"/>
      <c r="J62" s="985" t="s">
        <v>1414</v>
      </c>
      <c r="K62" s="985">
        <f>IF(ISBLANK(Values!C28),"N/A",(Values!C28))</f>
        <v>70</v>
      </c>
      <c r="L62" s="985" t="s">
        <v>1265</v>
      </c>
    </row>
    <row r="63" spans="2:12" x14ac:dyDescent="0.2">
      <c r="B63" s="985"/>
      <c r="C63" s="985"/>
      <c r="D63" s="985"/>
      <c r="E63" s="985"/>
      <c r="F63" s="985"/>
      <c r="G63" s="1016"/>
      <c r="H63" s="1016"/>
      <c r="I63" s="1016"/>
      <c r="J63" s="985"/>
      <c r="K63" s="985"/>
      <c r="L63" s="985"/>
    </row>
    <row r="64" spans="2:12" x14ac:dyDescent="0.2">
      <c r="B64" s="985"/>
      <c r="C64" s="985"/>
      <c r="D64" s="985"/>
      <c r="E64" s="985"/>
      <c r="F64" s="985"/>
      <c r="G64" s="1016" t="s">
        <v>1441</v>
      </c>
      <c r="H64" s="1016"/>
      <c r="I64" s="1016"/>
      <c r="J64" s="985" t="s">
        <v>1414</v>
      </c>
      <c r="K64" s="985">
        <f>IF(ISBLANK(Values!C29),"N/A",(Values!C29))</f>
        <v>34</v>
      </c>
      <c r="L64" s="985" t="s">
        <v>1268</v>
      </c>
    </row>
    <row r="65" spans="2:12" x14ac:dyDescent="0.2">
      <c r="B65" s="985"/>
      <c r="C65" s="985"/>
      <c r="D65" s="985"/>
      <c r="E65" s="985"/>
      <c r="F65" s="985"/>
      <c r="G65" s="1016"/>
      <c r="H65" s="1016"/>
      <c r="I65" s="1016"/>
      <c r="J65" s="985"/>
      <c r="K65" s="985"/>
      <c r="L65" s="985"/>
    </row>
    <row r="66" spans="2:12" x14ac:dyDescent="0.2">
      <c r="B66" s="987" t="s">
        <v>1497</v>
      </c>
      <c r="C66" s="987"/>
      <c r="D66" s="987"/>
      <c r="E66" s="987"/>
      <c r="F66" s="987"/>
      <c r="G66" s="987"/>
      <c r="H66" s="987"/>
      <c r="I66" s="987"/>
      <c r="J66" s="987"/>
      <c r="K66" s="987"/>
      <c r="L66" s="987"/>
    </row>
    <row r="67" spans="2:12" ht="12.75" customHeight="1" x14ac:dyDescent="0.2">
      <c r="B67" s="1015" t="s">
        <v>1498</v>
      </c>
      <c r="C67" s="1015"/>
      <c r="D67" s="1015"/>
      <c r="E67" s="1015"/>
      <c r="F67" s="1015"/>
      <c r="G67" s="1015"/>
      <c r="H67" s="1015"/>
      <c r="I67" s="1015"/>
      <c r="J67" s="1015"/>
      <c r="K67" s="1015"/>
      <c r="L67" s="1015"/>
    </row>
    <row r="68" spans="2:12" x14ac:dyDescent="0.2">
      <c r="B68" s="1015"/>
      <c r="C68" s="1015"/>
      <c r="D68" s="1015"/>
      <c r="E68" s="1015"/>
      <c r="F68" s="1015"/>
      <c r="G68" s="1015"/>
      <c r="H68" s="1015"/>
      <c r="I68" s="1015"/>
      <c r="J68" s="1015"/>
      <c r="K68" s="1015"/>
      <c r="L68" s="1015"/>
    </row>
    <row r="69" spans="2:12" x14ac:dyDescent="0.2">
      <c r="B69" s="1015"/>
      <c r="C69" s="1015"/>
      <c r="D69" s="1015"/>
      <c r="E69" s="1015"/>
      <c r="F69" s="1015"/>
      <c r="G69" s="1015"/>
      <c r="H69" s="1015"/>
      <c r="I69" s="1015"/>
      <c r="J69" s="1015"/>
      <c r="K69" s="1015"/>
      <c r="L69" s="1015"/>
    </row>
    <row r="70" spans="2:12" x14ac:dyDescent="0.2">
      <c r="B70" s="1015"/>
      <c r="C70" s="1015"/>
      <c r="D70" s="1015"/>
      <c r="E70" s="1015"/>
      <c r="F70" s="1015"/>
      <c r="G70" s="1015"/>
      <c r="H70" s="1015"/>
      <c r="I70" s="1015"/>
      <c r="J70" s="1015"/>
      <c r="K70" s="1015"/>
      <c r="L70" s="1015"/>
    </row>
    <row r="71" spans="2:12" x14ac:dyDescent="0.2">
      <c r="B71" s="1015"/>
      <c r="C71" s="1015"/>
      <c r="D71" s="1015"/>
      <c r="E71" s="1015"/>
      <c r="F71" s="1015"/>
      <c r="G71" s="1015"/>
      <c r="H71" s="1015"/>
      <c r="I71" s="1015"/>
      <c r="J71" s="1015"/>
      <c r="K71" s="1015"/>
      <c r="L71" s="1015"/>
    </row>
    <row r="72" spans="2:12" x14ac:dyDescent="0.2">
      <c r="B72" s="1015"/>
      <c r="C72" s="1015"/>
      <c r="D72" s="1015"/>
      <c r="E72" s="1015"/>
      <c r="F72" s="1015"/>
      <c r="G72" s="1015"/>
      <c r="H72" s="1015"/>
      <c r="I72" s="1015"/>
      <c r="J72" s="1015"/>
      <c r="K72" s="1015"/>
      <c r="L72" s="1015"/>
    </row>
    <row r="73" spans="2:12" x14ac:dyDescent="0.2">
      <c r="B73" s="684"/>
      <c r="C73" s="684"/>
      <c r="D73" s="684"/>
      <c r="E73" s="684"/>
      <c r="F73" s="684"/>
      <c r="G73" s="684"/>
      <c r="H73" s="684"/>
      <c r="I73" s="684"/>
      <c r="J73" s="684"/>
      <c r="K73" s="684"/>
      <c r="L73" s="684"/>
    </row>
    <row r="74" spans="2:12" x14ac:dyDescent="0.2">
      <c r="B74" s="989" t="s">
        <v>1499</v>
      </c>
      <c r="C74" s="989"/>
      <c r="D74" s="989"/>
      <c r="E74" s="989"/>
      <c r="F74" s="989"/>
      <c r="G74" s="989"/>
      <c r="H74" s="989"/>
      <c r="I74" s="989"/>
      <c r="J74" s="989"/>
      <c r="K74" s="989"/>
      <c r="L74" s="989"/>
    </row>
    <row r="75" spans="2:12" ht="12.75" customHeight="1" x14ac:dyDescent="0.2">
      <c r="B75" s="989"/>
      <c r="C75" s="989"/>
      <c r="D75" s="989"/>
      <c r="E75" s="989"/>
      <c r="F75" s="989"/>
      <c r="G75" s="989"/>
      <c r="H75" s="989"/>
      <c r="I75" s="989"/>
      <c r="J75" s="989"/>
      <c r="K75" s="989"/>
      <c r="L75" s="989"/>
    </row>
    <row r="76" spans="2:12" x14ac:dyDescent="0.2">
      <c r="B76" s="1003" t="s">
        <v>1500</v>
      </c>
      <c r="C76" s="1004"/>
      <c r="D76" s="1004"/>
      <c r="E76" s="1004"/>
      <c r="F76" s="1004"/>
      <c r="G76" s="1004"/>
      <c r="H76" s="1004"/>
      <c r="I76" s="1004"/>
      <c r="J76" s="1004"/>
      <c r="K76" s="1004"/>
      <c r="L76" s="1005"/>
    </row>
    <row r="77" spans="2:12" x14ac:dyDescent="0.2">
      <c r="B77" s="987" t="s">
        <v>1452</v>
      </c>
      <c r="C77" s="987"/>
      <c r="D77" s="987"/>
      <c r="E77" s="987"/>
      <c r="F77" s="987"/>
      <c r="G77" s="987"/>
      <c r="H77" s="987"/>
      <c r="I77" s="987"/>
      <c r="J77" s="987"/>
      <c r="K77" s="987"/>
      <c r="L77" s="987"/>
    </row>
    <row r="78" spans="2:12" ht="12.75" customHeight="1" x14ac:dyDescent="0.2">
      <c r="B78" s="988" t="s">
        <v>1376</v>
      </c>
      <c r="C78" s="988"/>
      <c r="D78" s="988" t="s">
        <v>1454</v>
      </c>
      <c r="E78" s="988"/>
      <c r="F78" s="988"/>
      <c r="G78" s="988" t="s">
        <v>1380</v>
      </c>
      <c r="H78" s="988"/>
      <c r="I78" s="988" t="s">
        <v>1455</v>
      </c>
      <c r="J78" s="988"/>
      <c r="K78" s="988" t="s">
        <v>1389</v>
      </c>
      <c r="L78" s="988"/>
    </row>
    <row r="79" spans="2:12" x14ac:dyDescent="0.2">
      <c r="B79" s="988"/>
      <c r="C79" s="988"/>
      <c r="D79" s="988"/>
      <c r="E79" s="988"/>
      <c r="F79" s="988"/>
      <c r="G79" s="988"/>
      <c r="H79" s="988"/>
      <c r="I79" s="988"/>
      <c r="J79" s="988"/>
      <c r="K79" s="988"/>
      <c r="L79" s="988"/>
    </row>
    <row r="80" spans="2:12" ht="12.75" customHeight="1" x14ac:dyDescent="0.2">
      <c r="B80" s="1002">
        <f>IF(ISBLANK(case2_est_dist_flange),"",(case2_est_dist_flange))</f>
        <v>0</v>
      </c>
      <c r="C80" s="1002"/>
      <c r="D80" s="985">
        <f>IF(ISBLANK(case2_est_sbed_clear_linha),"",(case2_est_sbed_clear_linha))</f>
        <v>0</v>
      </c>
      <c r="E80" s="985"/>
      <c r="F80" s="985"/>
      <c r="G80" s="985">
        <f>IF(ISBLANK(case2_est_inclinacao_mcv),"",(case2_est_inclinacao_mcv))</f>
        <v>0</v>
      </c>
      <c r="H80" s="985"/>
      <c r="I80" s="985">
        <f>IF(ISBLANK(case2_est_mbr_linha), "", (case2_est_mbr_linha))</f>
        <v>0</v>
      </c>
      <c r="J80" s="985"/>
      <c r="K80" s="1013" t="str">
        <f>IF(case2_est_mbr_vert&lt;=K58,_xlfn.CONCAT(K58," ","(*Vértebra Travada)"),case2_est_mbr_vert)</f>
        <v>4,14 (*Vértebra Travada)</v>
      </c>
      <c r="L80" s="1013"/>
    </row>
    <row r="81" spans="2:12" x14ac:dyDescent="0.2">
      <c r="B81" s="1002"/>
      <c r="C81" s="1002"/>
      <c r="D81" s="985"/>
      <c r="E81" s="985"/>
      <c r="F81" s="985"/>
      <c r="G81" s="985"/>
      <c r="H81" s="985"/>
      <c r="I81" s="985"/>
      <c r="J81" s="985"/>
      <c r="K81" s="1013"/>
      <c r="L81" s="1013"/>
    </row>
    <row r="82" spans="2:12" x14ac:dyDescent="0.2">
      <c r="B82" s="1014" t="s">
        <v>1459</v>
      </c>
      <c r="C82" s="1014"/>
      <c r="D82" s="1014"/>
      <c r="E82" s="1014"/>
      <c r="F82" s="1014"/>
      <c r="G82" s="1014"/>
      <c r="H82" s="1014"/>
      <c r="I82" s="1014"/>
      <c r="J82" s="1014"/>
      <c r="K82" s="1014"/>
      <c r="L82" s="1014"/>
    </row>
    <row r="83" spans="2:12" x14ac:dyDescent="0.2">
      <c r="B83" s="1006" t="s">
        <v>1387</v>
      </c>
      <c r="C83" s="1006"/>
      <c r="D83" s="1006"/>
      <c r="E83" s="1006"/>
      <c r="F83" s="1006"/>
      <c r="G83" s="1006" t="s">
        <v>2157</v>
      </c>
      <c r="H83" s="1006"/>
      <c r="I83" s="1006"/>
      <c r="J83" s="1006"/>
      <c r="K83" s="1006"/>
      <c r="L83" s="1006"/>
    </row>
    <row r="84" spans="2:12" x14ac:dyDescent="0.2">
      <c r="B84" s="1007">
        <f>IF(ISBLANK(case2_est_bm_vert),"",(case2_est_bm_vert))</f>
        <v>0</v>
      </c>
      <c r="C84" s="1008"/>
      <c r="D84" s="1008"/>
      <c r="E84" s="1008"/>
      <c r="F84" s="1009"/>
      <c r="G84" s="996">
        <f>IF(ISBLANK(case2_est_sf_vert),"",(case2_est_sf_vert))</f>
        <v>0</v>
      </c>
      <c r="H84" s="997"/>
      <c r="I84" s="997"/>
      <c r="J84" s="997"/>
      <c r="K84" s="997"/>
      <c r="L84" s="998"/>
    </row>
    <row r="85" spans="2:12" x14ac:dyDescent="0.2">
      <c r="B85" s="1010"/>
      <c r="C85" s="1011"/>
      <c r="D85" s="1011"/>
      <c r="E85" s="1011"/>
      <c r="F85" s="1012"/>
      <c r="G85" s="999"/>
      <c r="H85" s="1000"/>
      <c r="I85" s="1000"/>
      <c r="J85" s="1000"/>
      <c r="K85" s="1000"/>
      <c r="L85" s="1001"/>
    </row>
    <row r="86" spans="2:12" x14ac:dyDescent="0.2">
      <c r="B86" s="987" t="s">
        <v>1460</v>
      </c>
      <c r="C86" s="987"/>
      <c r="D86" s="987"/>
      <c r="E86" s="987"/>
      <c r="F86" s="987"/>
      <c r="G86" s="987"/>
      <c r="H86" s="987"/>
      <c r="I86" s="987"/>
      <c r="J86" s="987"/>
      <c r="K86" s="987"/>
      <c r="L86" s="987"/>
    </row>
    <row r="87" spans="2:12" ht="12.75" customHeight="1" x14ac:dyDescent="0.2">
      <c r="B87" s="988" t="s">
        <v>1369</v>
      </c>
      <c r="C87" s="988"/>
      <c r="D87" s="988"/>
      <c r="E87" s="988"/>
      <c r="F87" s="988" t="s">
        <v>1461</v>
      </c>
      <c r="G87" s="988"/>
      <c r="H87" s="988"/>
      <c r="I87" s="988" t="s">
        <v>1462</v>
      </c>
      <c r="J87" s="988"/>
      <c r="K87" s="988"/>
      <c r="L87" s="988"/>
    </row>
    <row r="88" spans="2:12" x14ac:dyDescent="0.2">
      <c r="B88" s="1002">
        <f>IF(ISBLANK(case2_est_ey_moment),"",(case2_est_ey_moment))</f>
        <v>0</v>
      </c>
      <c r="C88" s="1002"/>
      <c r="D88" s="1002"/>
      <c r="E88" s="1002"/>
      <c r="F88" s="985">
        <f>IF(ISBLANK(case2_est_ez_axial),"",(case2_est_ez_axial))</f>
        <v>0</v>
      </c>
      <c r="G88" s="985"/>
      <c r="H88" s="985"/>
      <c r="I88" s="985">
        <f>IF(ISBLANK(case2_est_ex_shear_force),"",(case2_est_ex_shear_force))</f>
        <v>0</v>
      </c>
      <c r="J88" s="985"/>
      <c r="K88" s="985"/>
      <c r="L88" s="985"/>
    </row>
    <row r="89" spans="2:12" x14ac:dyDescent="0.2">
      <c r="B89" s="1002"/>
      <c r="C89" s="1002"/>
      <c r="D89" s="1002"/>
      <c r="E89" s="1002"/>
      <c r="F89" s="985"/>
      <c r="G89" s="985"/>
      <c r="H89" s="985"/>
      <c r="I89" s="985"/>
      <c r="J89" s="985"/>
      <c r="K89" s="985"/>
      <c r="L89" s="985"/>
    </row>
    <row r="90" spans="2:12" x14ac:dyDescent="0.2">
      <c r="B90" s="685"/>
      <c r="C90" s="685"/>
      <c r="D90" s="685"/>
      <c r="E90" s="685"/>
      <c r="F90" s="685"/>
      <c r="G90" s="685"/>
      <c r="H90" s="685"/>
      <c r="I90" s="685"/>
      <c r="J90" s="685"/>
      <c r="K90" s="685"/>
      <c r="L90" s="685"/>
    </row>
    <row r="91" spans="2:12" x14ac:dyDescent="0.2">
      <c r="B91" s="987" t="s">
        <v>2160</v>
      </c>
      <c r="C91" s="987"/>
      <c r="D91" s="987"/>
      <c r="E91" s="987"/>
      <c r="F91" s="987"/>
      <c r="G91" s="987"/>
      <c r="H91" s="987"/>
      <c r="I91" s="987"/>
      <c r="J91" s="987"/>
      <c r="K91" s="987"/>
      <c r="L91" s="987"/>
    </row>
    <row r="92" spans="2:12" x14ac:dyDescent="0.2">
      <c r="B92" s="985"/>
      <c r="C92" s="985"/>
      <c r="D92" s="985"/>
      <c r="E92" s="985"/>
      <c r="F92" s="985"/>
      <c r="G92" s="985"/>
      <c r="H92" s="985"/>
      <c r="I92" s="985"/>
      <c r="J92" s="985"/>
      <c r="K92" s="985"/>
      <c r="L92" s="985"/>
    </row>
    <row r="93" spans="2:12" x14ac:dyDescent="0.2">
      <c r="B93" s="985"/>
      <c r="C93" s="985"/>
      <c r="D93" s="985"/>
      <c r="E93" s="985"/>
      <c r="F93" s="985"/>
      <c r="G93" s="985"/>
      <c r="H93" s="985"/>
      <c r="I93" s="985"/>
      <c r="J93" s="985"/>
      <c r="K93" s="985"/>
      <c r="L93" s="985"/>
    </row>
    <row r="94" spans="2:12" x14ac:dyDescent="0.2">
      <c r="B94" s="985"/>
      <c r="C94" s="985"/>
      <c r="D94" s="985"/>
      <c r="E94" s="985"/>
      <c r="F94" s="985"/>
      <c r="G94" s="985"/>
      <c r="H94" s="985"/>
      <c r="I94" s="985"/>
      <c r="J94" s="985"/>
      <c r="K94" s="985"/>
      <c r="L94" s="985"/>
    </row>
    <row r="95" spans="2:12" x14ac:dyDescent="0.2">
      <c r="B95" s="985"/>
      <c r="C95" s="985"/>
      <c r="D95" s="985"/>
      <c r="E95" s="985"/>
      <c r="F95" s="985"/>
      <c r="G95" s="985"/>
      <c r="H95" s="985"/>
      <c r="I95" s="985"/>
      <c r="J95" s="985"/>
      <c r="K95" s="985"/>
      <c r="L95" s="985"/>
    </row>
    <row r="96" spans="2:12" x14ac:dyDescent="0.2">
      <c r="B96" s="985"/>
      <c r="C96" s="985"/>
      <c r="D96" s="985"/>
      <c r="E96" s="985"/>
      <c r="F96" s="985"/>
      <c r="G96" s="985"/>
      <c r="H96" s="985"/>
      <c r="I96" s="985"/>
      <c r="J96" s="985"/>
      <c r="K96" s="985"/>
      <c r="L96" s="985"/>
    </row>
    <row r="97" spans="2:12" x14ac:dyDescent="0.2">
      <c r="B97" s="985"/>
      <c r="C97" s="985"/>
      <c r="D97" s="985"/>
      <c r="E97" s="985"/>
      <c r="F97" s="985"/>
      <c r="G97" s="985"/>
      <c r="H97" s="985"/>
      <c r="I97" s="985"/>
      <c r="J97" s="985"/>
      <c r="K97" s="985"/>
      <c r="L97" s="985"/>
    </row>
    <row r="98" spans="2:12" x14ac:dyDescent="0.2">
      <c r="B98" s="985"/>
      <c r="C98" s="985"/>
      <c r="D98" s="985"/>
      <c r="E98" s="985"/>
      <c r="F98" s="985"/>
      <c r="G98" s="985"/>
      <c r="H98" s="985"/>
      <c r="I98" s="985"/>
      <c r="J98" s="985"/>
      <c r="K98" s="985"/>
      <c r="L98" s="985"/>
    </row>
    <row r="99" spans="2:12" x14ac:dyDescent="0.2">
      <c r="B99" s="985"/>
      <c r="C99" s="985"/>
      <c r="D99" s="985"/>
      <c r="E99" s="985"/>
      <c r="F99" s="985"/>
      <c r="G99" s="985"/>
      <c r="H99" s="985"/>
      <c r="I99" s="985"/>
      <c r="J99" s="985"/>
      <c r="K99" s="985"/>
      <c r="L99" s="985"/>
    </row>
    <row r="100" spans="2:12" x14ac:dyDescent="0.2">
      <c r="B100" s="985"/>
      <c r="C100" s="985"/>
      <c r="D100" s="985"/>
      <c r="E100" s="985"/>
      <c r="F100" s="985"/>
      <c r="G100" s="985"/>
      <c r="H100" s="985"/>
      <c r="I100" s="985"/>
      <c r="J100" s="985"/>
      <c r="K100" s="985"/>
      <c r="L100" s="985"/>
    </row>
    <row r="101" spans="2:12" x14ac:dyDescent="0.2">
      <c r="B101" s="985"/>
      <c r="C101" s="985"/>
      <c r="D101" s="985"/>
      <c r="E101" s="985"/>
      <c r="F101" s="985"/>
      <c r="G101" s="985"/>
      <c r="H101" s="985"/>
      <c r="I101" s="985"/>
      <c r="J101" s="985"/>
      <c r="K101" s="985"/>
      <c r="L101" s="985"/>
    </row>
    <row r="102" spans="2:12" x14ac:dyDescent="0.2">
      <c r="B102" s="985"/>
      <c r="C102" s="985"/>
      <c r="D102" s="985"/>
      <c r="E102" s="985"/>
      <c r="F102" s="985"/>
      <c r="G102" s="985"/>
      <c r="H102" s="985"/>
      <c r="I102" s="985"/>
      <c r="J102" s="985"/>
      <c r="K102" s="985"/>
      <c r="L102" s="985"/>
    </row>
    <row r="103" spans="2:12" x14ac:dyDescent="0.2">
      <c r="B103" s="985"/>
      <c r="C103" s="985"/>
      <c r="D103" s="985"/>
      <c r="E103" s="985"/>
      <c r="F103" s="985"/>
      <c r="G103" s="985"/>
      <c r="H103" s="985"/>
      <c r="I103" s="985"/>
      <c r="J103" s="985"/>
      <c r="K103" s="985"/>
      <c r="L103" s="985"/>
    </row>
    <row r="104" spans="2:12" x14ac:dyDescent="0.2">
      <c r="B104" s="985"/>
      <c r="C104" s="985"/>
      <c r="D104" s="985"/>
      <c r="E104" s="985"/>
      <c r="F104" s="985"/>
      <c r="G104" s="985"/>
      <c r="H104" s="985"/>
      <c r="I104" s="985"/>
      <c r="J104" s="985"/>
      <c r="K104" s="985"/>
      <c r="L104" s="985"/>
    </row>
    <row r="105" spans="2:12" x14ac:dyDescent="0.2">
      <c r="B105" s="985"/>
      <c r="C105" s="985"/>
      <c r="D105" s="985"/>
      <c r="E105" s="985"/>
      <c r="F105" s="985"/>
      <c r="G105" s="985"/>
      <c r="H105" s="985"/>
      <c r="I105" s="985"/>
      <c r="J105" s="985"/>
      <c r="K105" s="985"/>
      <c r="L105" s="985"/>
    </row>
    <row r="106" spans="2:12" x14ac:dyDescent="0.2">
      <c r="B106" s="985"/>
      <c r="C106" s="985"/>
      <c r="D106" s="985"/>
      <c r="E106" s="985"/>
      <c r="F106" s="985"/>
      <c r="G106" s="985"/>
      <c r="H106" s="985"/>
      <c r="I106" s="985"/>
      <c r="J106" s="985"/>
      <c r="K106" s="985"/>
      <c r="L106" s="985"/>
    </row>
    <row r="107" spans="2:12" x14ac:dyDescent="0.2">
      <c r="B107" s="985"/>
      <c r="C107" s="985"/>
      <c r="D107" s="985"/>
      <c r="E107" s="985"/>
      <c r="F107" s="985"/>
      <c r="G107" s="985"/>
      <c r="H107" s="985"/>
      <c r="I107" s="985"/>
      <c r="J107" s="985"/>
      <c r="K107" s="985"/>
      <c r="L107" s="985"/>
    </row>
    <row r="108" spans="2:12" x14ac:dyDescent="0.2">
      <c r="B108" s="985"/>
      <c r="C108" s="985"/>
      <c r="D108" s="985"/>
      <c r="E108" s="985"/>
      <c r="F108" s="985"/>
      <c r="G108" s="985"/>
      <c r="H108" s="985"/>
      <c r="I108" s="985"/>
      <c r="J108" s="985"/>
      <c r="K108" s="985"/>
      <c r="L108" s="985"/>
    </row>
    <row r="109" spans="2:12" x14ac:dyDescent="0.2">
      <c r="B109" s="985"/>
      <c r="C109" s="985"/>
      <c r="D109" s="985"/>
      <c r="E109" s="985"/>
      <c r="F109" s="985"/>
      <c r="G109" s="985"/>
      <c r="H109" s="985"/>
      <c r="I109" s="985"/>
      <c r="J109" s="985"/>
      <c r="K109" s="985"/>
      <c r="L109" s="985"/>
    </row>
    <row r="110" spans="2:12" x14ac:dyDescent="0.2">
      <c r="B110" s="985"/>
      <c r="C110" s="985"/>
      <c r="D110" s="985"/>
      <c r="E110" s="985"/>
      <c r="F110" s="985"/>
      <c r="G110" s="985"/>
      <c r="H110" s="985"/>
      <c r="I110" s="985"/>
      <c r="J110" s="985"/>
      <c r="K110" s="985"/>
      <c r="L110" s="985"/>
    </row>
    <row r="111" spans="2:12" x14ac:dyDescent="0.2">
      <c r="B111" s="985"/>
      <c r="C111" s="985"/>
      <c r="D111" s="985"/>
      <c r="E111" s="985"/>
      <c r="F111" s="985"/>
      <c r="G111" s="985"/>
      <c r="H111" s="985"/>
      <c r="I111" s="985"/>
      <c r="J111" s="985"/>
      <c r="K111" s="985"/>
      <c r="L111" s="985"/>
    </row>
    <row r="112" spans="2:12" x14ac:dyDescent="0.2">
      <c r="B112" s="679"/>
      <c r="C112" s="679"/>
      <c r="D112" s="679"/>
      <c r="E112" s="679"/>
      <c r="F112" s="679"/>
      <c r="G112" s="679"/>
      <c r="H112" s="679"/>
      <c r="I112" s="679"/>
      <c r="J112" s="679"/>
      <c r="K112" s="679"/>
      <c r="L112" s="679"/>
    </row>
    <row r="113" spans="2:12" x14ac:dyDescent="0.2">
      <c r="B113" s="1003" t="s">
        <v>1502</v>
      </c>
      <c r="C113" s="1004"/>
      <c r="D113" s="1004"/>
      <c r="E113" s="1004"/>
      <c r="F113" s="1004"/>
      <c r="G113" s="1004"/>
      <c r="H113" s="1004"/>
      <c r="I113" s="1004"/>
      <c r="J113" s="1004"/>
      <c r="K113" s="1004"/>
      <c r="L113" s="1005"/>
    </row>
    <row r="114" spans="2:12" x14ac:dyDescent="0.2">
      <c r="B114" s="987" t="s">
        <v>1469</v>
      </c>
      <c r="C114" s="987"/>
      <c r="D114" s="987"/>
      <c r="E114" s="987"/>
      <c r="F114" s="987"/>
      <c r="G114" s="987"/>
      <c r="H114" s="987"/>
      <c r="I114" s="987"/>
      <c r="J114" s="987"/>
      <c r="K114" s="987"/>
      <c r="L114" s="987"/>
    </row>
    <row r="115" spans="2:12" ht="12.75" customHeight="1" x14ac:dyDescent="0.2">
      <c r="B115" s="993" t="s">
        <v>1470</v>
      </c>
      <c r="C115" s="994"/>
      <c r="D115" s="995"/>
      <c r="E115" s="993" t="s">
        <v>1444</v>
      </c>
      <c r="F115" s="994"/>
      <c r="G115" s="994"/>
      <c r="H115" s="995"/>
      <c r="I115" s="993" t="s">
        <v>1389</v>
      </c>
      <c r="J115" s="994"/>
      <c r="K115" s="994"/>
      <c r="L115" s="995"/>
    </row>
    <row r="116" spans="2:12" x14ac:dyDescent="0.2">
      <c r="B116" s="996">
        <f>case3i_din_heave_up</f>
        <v>0</v>
      </c>
      <c r="C116" s="997"/>
      <c r="D116" s="998"/>
      <c r="E116" s="996">
        <f>case3i_din_mbr_linha</f>
        <v>0</v>
      </c>
      <c r="F116" s="997"/>
      <c r="G116" s="997"/>
      <c r="H116" s="998"/>
      <c r="I116" s="996">
        <f>case3i_din_mbr_vert</f>
        <v>0</v>
      </c>
      <c r="J116" s="997"/>
      <c r="K116" s="997"/>
      <c r="L116" s="998"/>
    </row>
    <row r="117" spans="2:12" x14ac:dyDescent="0.2">
      <c r="B117" s="999"/>
      <c r="C117" s="1000"/>
      <c r="D117" s="1001"/>
      <c r="E117" s="999"/>
      <c r="F117" s="1000"/>
      <c r="G117" s="1000"/>
      <c r="H117" s="1001"/>
      <c r="I117" s="999"/>
      <c r="J117" s="1000"/>
      <c r="K117" s="1000"/>
      <c r="L117" s="1001"/>
    </row>
    <row r="118" spans="2:12" x14ac:dyDescent="0.2">
      <c r="B118" s="987" t="s">
        <v>1472</v>
      </c>
      <c r="C118" s="987"/>
      <c r="D118" s="987"/>
      <c r="E118" s="987"/>
      <c r="F118" s="987"/>
      <c r="G118" s="987"/>
      <c r="H118" s="987"/>
      <c r="I118" s="987"/>
      <c r="J118" s="987"/>
      <c r="K118" s="987"/>
      <c r="L118" s="987"/>
    </row>
    <row r="119" spans="2:12" x14ac:dyDescent="0.2">
      <c r="B119" s="988" t="s">
        <v>1311</v>
      </c>
      <c r="C119" s="988"/>
      <c r="D119" s="988" t="s">
        <v>1369</v>
      </c>
      <c r="E119" s="988"/>
      <c r="F119" s="988"/>
      <c r="G119" s="988" t="s">
        <v>1461</v>
      </c>
      <c r="H119" s="988"/>
      <c r="I119" s="988"/>
      <c r="J119" s="988" t="s">
        <v>1462</v>
      </c>
      <c r="K119" s="988"/>
      <c r="L119" s="988"/>
    </row>
    <row r="120" spans="2:12" x14ac:dyDescent="0.2">
      <c r="B120" s="985" t="s">
        <v>1476</v>
      </c>
      <c r="C120" s="985"/>
      <c r="D120" s="985">
        <f>case3i_din_ey_moment_max</f>
        <v>0</v>
      </c>
      <c r="E120" s="985"/>
      <c r="F120" s="985"/>
      <c r="G120" s="985">
        <f>case3i_din_ez_axial_max</f>
        <v>0</v>
      </c>
      <c r="H120" s="985"/>
      <c r="I120" s="985"/>
      <c r="J120" s="985">
        <f>case3i_din_ex_shear_force_max</f>
        <v>0</v>
      </c>
      <c r="K120" s="985"/>
      <c r="L120" s="985"/>
    </row>
    <row r="121" spans="2:12" x14ac:dyDescent="0.2">
      <c r="B121" s="985"/>
      <c r="C121" s="985"/>
      <c r="D121" s="985"/>
      <c r="E121" s="985"/>
      <c r="F121" s="985"/>
      <c r="G121" s="985"/>
      <c r="H121" s="985"/>
      <c r="I121" s="985"/>
      <c r="J121" s="985"/>
      <c r="K121" s="985"/>
      <c r="L121" s="985"/>
    </row>
    <row r="122" spans="2:12" x14ac:dyDescent="0.2">
      <c r="B122" s="985" t="s">
        <v>1477</v>
      </c>
      <c r="C122" s="985"/>
      <c r="D122" s="985">
        <f>case3i_din_ey_moment_min</f>
        <v>0</v>
      </c>
      <c r="E122" s="985"/>
      <c r="F122" s="985"/>
      <c r="G122" s="985">
        <f>case3i_din_ez_axial_min</f>
        <v>0</v>
      </c>
      <c r="H122" s="985"/>
      <c r="I122" s="985"/>
      <c r="J122" s="985">
        <f>case3i_din_ex_shear_force_min</f>
        <v>0</v>
      </c>
      <c r="K122" s="985"/>
      <c r="L122" s="985"/>
    </row>
    <row r="123" spans="2:12" x14ac:dyDescent="0.2">
      <c r="B123" s="985"/>
      <c r="C123" s="985"/>
      <c r="D123" s="985"/>
      <c r="E123" s="985"/>
      <c r="F123" s="985"/>
      <c r="G123" s="985"/>
      <c r="H123" s="985"/>
      <c r="I123" s="985"/>
      <c r="J123" s="985"/>
      <c r="K123" s="985"/>
      <c r="L123" s="985"/>
    </row>
    <row r="124" spans="2:12" x14ac:dyDescent="0.2">
      <c r="B124" s="679"/>
      <c r="C124" s="679"/>
      <c r="D124" s="679"/>
      <c r="E124" s="679"/>
      <c r="F124" s="679"/>
      <c r="G124" s="679"/>
      <c r="H124" s="679"/>
      <c r="I124" s="679"/>
      <c r="J124" s="679"/>
      <c r="K124" s="679"/>
      <c r="L124" s="679"/>
    </row>
    <row r="125" spans="2:12" x14ac:dyDescent="0.2">
      <c r="B125" s="990" t="s">
        <v>1362</v>
      </c>
      <c r="C125" s="991"/>
      <c r="D125" s="991"/>
      <c r="E125" s="991"/>
      <c r="F125" s="991"/>
      <c r="G125" s="991"/>
      <c r="H125" s="991"/>
      <c r="I125" s="991"/>
      <c r="J125" s="991"/>
      <c r="K125" s="991"/>
      <c r="L125" s="992"/>
    </row>
    <row r="126" spans="2:12" x14ac:dyDescent="0.2">
      <c r="B126" s="987" t="s">
        <v>1504</v>
      </c>
      <c r="C126" s="987"/>
      <c r="D126" s="987"/>
      <c r="E126" s="987"/>
      <c r="F126" s="987"/>
      <c r="G126" s="987"/>
      <c r="H126" s="987"/>
      <c r="I126" s="987"/>
      <c r="J126" s="987"/>
      <c r="K126" s="987"/>
      <c r="L126" s="987"/>
    </row>
    <row r="127" spans="2:12" ht="12.75" customHeight="1" x14ac:dyDescent="0.2">
      <c r="B127" s="988" t="s">
        <v>1369</v>
      </c>
      <c r="C127" s="988"/>
      <c r="D127" s="988"/>
      <c r="E127" s="988" t="s">
        <v>1461</v>
      </c>
      <c r="F127" s="988"/>
      <c r="G127" s="988"/>
      <c r="H127" s="988"/>
      <c r="I127" s="988" t="s">
        <v>1462</v>
      </c>
      <c r="J127" s="988"/>
      <c r="K127" s="988"/>
      <c r="L127" s="988"/>
    </row>
    <row r="128" spans="2:12" x14ac:dyDescent="0.2">
      <c r="B128" s="985">
        <f>case3ii_toque_ey_moment_max</f>
        <v>0</v>
      </c>
      <c r="C128" s="985"/>
      <c r="D128" s="985"/>
      <c r="E128" s="985">
        <f>case3ii_toque_ez_axial_max</f>
        <v>0</v>
      </c>
      <c r="F128" s="985"/>
      <c r="G128" s="985"/>
      <c r="H128" s="985"/>
      <c r="I128" s="985">
        <f>case3ii_toque_ex_shear_force_max</f>
        <v>0</v>
      </c>
      <c r="J128" s="985"/>
      <c r="K128" s="985"/>
      <c r="L128" s="985"/>
    </row>
    <row r="129" spans="2:12" x14ac:dyDescent="0.2">
      <c r="B129" s="985"/>
      <c r="C129" s="985"/>
      <c r="D129" s="985"/>
      <c r="E129" s="985"/>
      <c r="F129" s="985"/>
      <c r="G129" s="985"/>
      <c r="H129" s="985"/>
      <c r="I129" s="985"/>
      <c r="J129" s="985"/>
      <c r="K129" s="985"/>
      <c r="L129" s="985"/>
    </row>
    <row r="130" spans="2:12" x14ac:dyDescent="0.2"/>
    <row r="131" spans="2:12" x14ac:dyDescent="0.2">
      <c r="B131" s="989" t="s">
        <v>1512</v>
      </c>
      <c r="C131" s="989"/>
      <c r="D131" s="989"/>
      <c r="E131" s="989"/>
      <c r="F131" s="989"/>
      <c r="G131" s="989"/>
      <c r="H131" s="989"/>
      <c r="I131" s="989"/>
      <c r="J131" s="989"/>
      <c r="K131" s="989"/>
      <c r="L131" s="989"/>
    </row>
    <row r="132" spans="2:12" ht="12.75" customHeight="1" x14ac:dyDescent="0.2">
      <c r="B132" s="974"/>
      <c r="C132" s="974"/>
      <c r="D132" s="974"/>
      <c r="E132" s="974"/>
      <c r="F132" s="974"/>
      <c r="G132" s="974"/>
      <c r="H132" s="974"/>
      <c r="I132" s="974"/>
      <c r="J132" s="974"/>
      <c r="K132" s="974"/>
      <c r="L132" s="974"/>
    </row>
    <row r="133" spans="2:12" ht="12.75" customHeight="1" x14ac:dyDescent="0.2">
      <c r="B133" s="987" t="s">
        <v>1513</v>
      </c>
      <c r="C133" s="987"/>
      <c r="D133" s="987"/>
      <c r="E133" s="987"/>
      <c r="F133" s="987"/>
      <c r="G133" s="987"/>
      <c r="H133" s="987"/>
      <c r="I133" s="987"/>
      <c r="J133" s="987"/>
      <c r="K133" s="987"/>
      <c r="L133" s="987"/>
    </row>
    <row r="134" spans="2:12" x14ac:dyDescent="0.2">
      <c r="B134" s="985"/>
      <c r="C134" s="985"/>
      <c r="D134" s="985"/>
      <c r="E134" s="985"/>
      <c r="F134" s="985"/>
      <c r="G134" s="985"/>
      <c r="H134" s="985"/>
      <c r="I134" s="985"/>
      <c r="J134" s="985"/>
      <c r="K134" s="985"/>
      <c r="L134" s="985"/>
    </row>
    <row r="135" spans="2:12" x14ac:dyDescent="0.2">
      <c r="B135" s="985"/>
      <c r="C135" s="985"/>
      <c r="D135" s="985"/>
      <c r="E135" s="985"/>
      <c r="F135" s="985"/>
      <c r="G135" s="985"/>
      <c r="H135" s="985"/>
      <c r="I135" s="985"/>
      <c r="J135" s="985"/>
      <c r="K135" s="985"/>
      <c r="L135" s="985"/>
    </row>
    <row r="136" spans="2:12" x14ac:dyDescent="0.2">
      <c r="B136" s="985"/>
      <c r="C136" s="985"/>
      <c r="D136" s="985"/>
      <c r="E136" s="985"/>
      <c r="F136" s="985"/>
      <c r="G136" s="985"/>
      <c r="H136" s="985"/>
      <c r="I136" s="985"/>
      <c r="J136" s="985"/>
      <c r="K136" s="985"/>
      <c r="L136" s="985"/>
    </row>
    <row r="137" spans="2:12" x14ac:dyDescent="0.2">
      <c r="B137" s="985"/>
      <c r="C137" s="985"/>
      <c r="D137" s="985"/>
      <c r="E137" s="985"/>
      <c r="F137" s="985"/>
      <c r="G137" s="985"/>
      <c r="H137" s="985"/>
      <c r="I137" s="985"/>
      <c r="J137" s="985"/>
      <c r="K137" s="985"/>
      <c r="L137" s="985"/>
    </row>
    <row r="138" spans="2:12" x14ac:dyDescent="0.2">
      <c r="B138" s="985"/>
      <c r="C138" s="985"/>
      <c r="D138" s="985"/>
      <c r="E138" s="985"/>
      <c r="F138" s="985"/>
      <c r="G138" s="985"/>
      <c r="H138" s="985"/>
      <c r="I138" s="985"/>
      <c r="J138" s="985"/>
      <c r="K138" s="985"/>
      <c r="L138" s="985"/>
    </row>
    <row r="139" spans="2:12" x14ac:dyDescent="0.2">
      <c r="B139" s="985"/>
      <c r="C139" s="985"/>
      <c r="D139" s="985"/>
      <c r="E139" s="985"/>
      <c r="F139" s="985"/>
      <c r="G139" s="985"/>
      <c r="H139" s="985"/>
      <c r="I139" s="985"/>
      <c r="J139" s="985"/>
      <c r="K139" s="985"/>
      <c r="L139" s="985"/>
    </row>
    <row r="140" spans="2:12" x14ac:dyDescent="0.2">
      <c r="B140" s="985"/>
      <c r="C140" s="985"/>
      <c r="D140" s="985"/>
      <c r="E140" s="985"/>
      <c r="F140" s="985"/>
      <c r="G140" s="985"/>
      <c r="H140" s="985"/>
      <c r="I140" s="985"/>
      <c r="J140" s="985"/>
      <c r="K140" s="985"/>
      <c r="L140" s="985"/>
    </row>
    <row r="141" spans="2:12" x14ac:dyDescent="0.2">
      <c r="B141" s="985"/>
      <c r="C141" s="985"/>
      <c r="D141" s="985"/>
      <c r="E141" s="985"/>
      <c r="F141" s="985"/>
      <c r="G141" s="985"/>
      <c r="H141" s="985"/>
      <c r="I141" s="985"/>
      <c r="J141" s="985"/>
      <c r="K141" s="985"/>
      <c r="L141" s="985"/>
    </row>
    <row r="142" spans="2:12" x14ac:dyDescent="0.2">
      <c r="B142" s="985"/>
      <c r="C142" s="985"/>
      <c r="D142" s="985"/>
      <c r="E142" s="985"/>
      <c r="F142" s="985"/>
      <c r="G142" s="985"/>
      <c r="H142" s="985"/>
      <c r="I142" s="985"/>
      <c r="J142" s="985"/>
      <c r="K142" s="985"/>
      <c r="L142" s="985"/>
    </row>
    <row r="143" spans="2:12" x14ac:dyDescent="0.2">
      <c r="B143" s="985"/>
      <c r="C143" s="985"/>
      <c r="D143" s="985"/>
      <c r="E143" s="985"/>
      <c r="F143" s="985"/>
      <c r="G143" s="985"/>
      <c r="H143" s="985"/>
      <c r="I143" s="985"/>
      <c r="J143" s="985"/>
      <c r="K143" s="985"/>
      <c r="L143" s="985"/>
    </row>
    <row r="144" spans="2:12" x14ac:dyDescent="0.2">
      <c r="B144" s="985"/>
      <c r="C144" s="985"/>
      <c r="D144" s="985"/>
      <c r="E144" s="985"/>
      <c r="F144" s="985"/>
      <c r="G144" s="985"/>
      <c r="H144" s="985"/>
      <c r="I144" s="985"/>
      <c r="J144" s="985"/>
      <c r="K144" s="985"/>
      <c r="L144" s="985"/>
    </row>
    <row r="145" spans="2:12" x14ac:dyDescent="0.2">
      <c r="B145" s="985"/>
      <c r="C145" s="985"/>
      <c r="D145" s="985"/>
      <c r="E145" s="985"/>
      <c r="F145" s="985"/>
      <c r="G145" s="985"/>
      <c r="H145" s="985"/>
      <c r="I145" s="985"/>
      <c r="J145" s="985"/>
      <c r="K145" s="985"/>
      <c r="L145" s="985"/>
    </row>
    <row r="146" spans="2:12" x14ac:dyDescent="0.2">
      <c r="B146" s="985"/>
      <c r="C146" s="985"/>
      <c r="D146" s="985"/>
      <c r="E146" s="985"/>
      <c r="F146" s="985"/>
      <c r="G146" s="985"/>
      <c r="H146" s="985"/>
      <c r="I146" s="985"/>
      <c r="J146" s="985"/>
      <c r="K146" s="985"/>
      <c r="L146" s="985"/>
    </row>
    <row r="147" spans="2:12" x14ac:dyDescent="0.2">
      <c r="B147" s="985"/>
      <c r="C147" s="985"/>
      <c r="D147" s="985"/>
      <c r="E147" s="985"/>
      <c r="F147" s="985"/>
      <c r="G147" s="985"/>
      <c r="H147" s="985"/>
      <c r="I147" s="985"/>
      <c r="J147" s="985"/>
      <c r="K147" s="985"/>
      <c r="L147" s="985"/>
    </row>
    <row r="148" spans="2:12" x14ac:dyDescent="0.2">
      <c r="B148" s="985"/>
      <c r="C148" s="985"/>
      <c r="D148" s="985"/>
      <c r="E148" s="985"/>
      <c r="F148" s="985"/>
      <c r="G148" s="985"/>
      <c r="H148" s="985"/>
      <c r="I148" s="985"/>
      <c r="J148" s="985"/>
      <c r="K148" s="985"/>
      <c r="L148" s="985"/>
    </row>
    <row r="149" spans="2:12" x14ac:dyDescent="0.2">
      <c r="B149" s="985"/>
      <c r="C149" s="985"/>
      <c r="D149" s="985"/>
      <c r="E149" s="985"/>
      <c r="F149" s="985"/>
      <c r="G149" s="985"/>
      <c r="H149" s="985"/>
      <c r="I149" s="985"/>
      <c r="J149" s="985"/>
      <c r="K149" s="985"/>
      <c r="L149" s="985"/>
    </row>
    <row r="150" spans="2:12" x14ac:dyDescent="0.2">
      <c r="B150" s="985"/>
      <c r="C150" s="985"/>
      <c r="D150" s="985"/>
      <c r="E150" s="985"/>
      <c r="F150" s="985"/>
      <c r="G150" s="985"/>
      <c r="H150" s="985"/>
      <c r="I150" s="985"/>
      <c r="J150" s="985"/>
      <c r="K150" s="985"/>
      <c r="L150" s="985"/>
    </row>
    <row r="151" spans="2:12" x14ac:dyDescent="0.2">
      <c r="B151" s="985"/>
      <c r="C151" s="985"/>
      <c r="D151" s="985"/>
      <c r="E151" s="985"/>
      <c r="F151" s="985"/>
      <c r="G151" s="985"/>
      <c r="H151" s="985"/>
      <c r="I151" s="985"/>
      <c r="J151" s="985"/>
      <c r="K151" s="985"/>
      <c r="L151" s="985"/>
    </row>
    <row r="152" spans="2:12" x14ac:dyDescent="0.2">
      <c r="B152" s="985"/>
      <c r="C152" s="985"/>
      <c r="D152" s="985"/>
      <c r="E152" s="985"/>
      <c r="F152" s="985"/>
      <c r="G152" s="985"/>
      <c r="H152" s="985"/>
      <c r="I152" s="985"/>
      <c r="J152" s="985"/>
      <c r="K152" s="985"/>
      <c r="L152" s="985"/>
    </row>
    <row r="153" spans="2:12" x14ac:dyDescent="0.2">
      <c r="B153" s="985"/>
      <c r="C153" s="985"/>
      <c r="D153" s="985"/>
      <c r="E153" s="985"/>
      <c r="F153" s="985"/>
      <c r="G153" s="985"/>
      <c r="H153" s="985"/>
      <c r="I153" s="985"/>
      <c r="J153" s="985"/>
      <c r="K153" s="985"/>
      <c r="L153" s="985"/>
    </row>
    <row r="154" spans="2:12" x14ac:dyDescent="0.2">
      <c r="B154" s="988" t="s">
        <v>1444</v>
      </c>
      <c r="C154" s="988" t="s">
        <v>1389</v>
      </c>
      <c r="D154" s="988"/>
      <c r="E154" s="988" t="s">
        <v>1445</v>
      </c>
      <c r="F154" s="988"/>
      <c r="G154" s="988" t="s">
        <v>1446</v>
      </c>
      <c r="H154" s="988"/>
      <c r="I154" s="988" t="s">
        <v>1447</v>
      </c>
      <c r="J154" s="988"/>
      <c r="K154" s="988" t="s">
        <v>1448</v>
      </c>
      <c r="L154" s="988"/>
    </row>
    <row r="155" spans="2:12" x14ac:dyDescent="0.2">
      <c r="B155" s="988"/>
      <c r="C155" s="988"/>
      <c r="D155" s="988"/>
      <c r="E155" s="988"/>
      <c r="F155" s="988"/>
      <c r="G155" s="988"/>
      <c r="H155" s="988"/>
      <c r="I155" s="988"/>
      <c r="J155" s="988"/>
      <c r="K155" s="988"/>
      <c r="L155" s="988"/>
    </row>
    <row r="156" spans="2:12" x14ac:dyDescent="0.2">
      <c r="B156" s="985">
        <f>cont1_mbr_linha</f>
        <v>0</v>
      </c>
      <c r="C156" s="985">
        <f>cont1_mbr_vert</f>
        <v>0</v>
      </c>
      <c r="D156" s="985"/>
      <c r="E156" s="985">
        <f>cont1_bm_vert</f>
        <v>0</v>
      </c>
      <c r="F156" s="985"/>
      <c r="G156" s="985">
        <f>cont1_sf_vert</f>
        <v>0</v>
      </c>
      <c r="H156" s="985"/>
      <c r="I156" s="985">
        <f>cont1_ey_moment</f>
        <v>0</v>
      </c>
      <c r="J156" s="985"/>
      <c r="K156" s="986">
        <f>cont1_sf_line_endb</f>
        <v>0</v>
      </c>
      <c r="L156" s="986"/>
    </row>
    <row r="157" spans="2:12" x14ac:dyDescent="0.2">
      <c r="B157" s="985"/>
      <c r="C157" s="985"/>
      <c r="D157" s="985"/>
      <c r="E157" s="985"/>
      <c r="F157" s="985"/>
      <c r="G157" s="985"/>
      <c r="H157" s="985"/>
      <c r="I157" s="985"/>
      <c r="J157" s="985"/>
      <c r="K157" s="986"/>
      <c r="L157" s="986"/>
    </row>
    <row r="158" spans="2:12" x14ac:dyDescent="0.2">
      <c r="B158" s="685"/>
      <c r="C158" s="685"/>
      <c r="D158" s="685"/>
      <c r="E158" s="685"/>
      <c r="F158" s="685"/>
      <c r="G158" s="685"/>
      <c r="H158" s="685"/>
      <c r="I158" s="685"/>
      <c r="J158" s="685"/>
      <c r="K158" s="685"/>
      <c r="L158" s="685"/>
    </row>
    <row r="159" spans="2:12" x14ac:dyDescent="0.2">
      <c r="B159" s="987" t="s">
        <v>1514</v>
      </c>
      <c r="C159" s="987"/>
      <c r="D159" s="987"/>
      <c r="E159" s="987"/>
      <c r="F159" s="987"/>
      <c r="G159" s="987"/>
      <c r="H159" s="987"/>
      <c r="I159" s="987"/>
      <c r="J159" s="987"/>
      <c r="K159" s="987"/>
      <c r="L159" s="987"/>
    </row>
    <row r="160" spans="2:12" x14ac:dyDescent="0.2">
      <c r="B160" s="985"/>
      <c r="C160" s="985"/>
      <c r="D160" s="985"/>
      <c r="E160" s="985"/>
      <c r="F160" s="985"/>
      <c r="G160" s="985"/>
      <c r="H160" s="985"/>
      <c r="I160" s="985"/>
      <c r="J160" s="985"/>
      <c r="K160" s="985"/>
      <c r="L160" s="985"/>
    </row>
    <row r="161" spans="2:23" x14ac:dyDescent="0.2">
      <c r="B161" s="985"/>
      <c r="C161" s="985"/>
      <c r="D161" s="985"/>
      <c r="E161" s="985"/>
      <c r="F161" s="985"/>
      <c r="G161" s="985"/>
      <c r="H161" s="985"/>
      <c r="I161" s="985"/>
      <c r="J161" s="985"/>
      <c r="K161" s="985"/>
      <c r="L161" s="985"/>
    </row>
    <row r="162" spans="2:23" x14ac:dyDescent="0.2">
      <c r="B162" s="985"/>
      <c r="C162" s="985"/>
      <c r="D162" s="985"/>
      <c r="E162" s="985"/>
      <c r="F162" s="985"/>
      <c r="G162" s="985"/>
      <c r="H162" s="985"/>
      <c r="I162" s="985"/>
      <c r="J162" s="985"/>
      <c r="K162" s="985"/>
      <c r="L162" s="985"/>
    </row>
    <row r="163" spans="2:23" x14ac:dyDescent="0.2">
      <c r="B163" s="985"/>
      <c r="C163" s="985"/>
      <c r="D163" s="985"/>
      <c r="E163" s="985"/>
      <c r="F163" s="985"/>
      <c r="G163" s="985"/>
      <c r="H163" s="985"/>
      <c r="I163" s="985"/>
      <c r="J163" s="985"/>
      <c r="K163" s="985"/>
      <c r="L163" s="985"/>
    </row>
    <row r="164" spans="2:23" x14ac:dyDescent="0.2">
      <c r="B164" s="985"/>
      <c r="C164" s="985"/>
      <c r="D164" s="985"/>
      <c r="E164" s="985"/>
      <c r="F164" s="985"/>
      <c r="G164" s="985"/>
      <c r="H164" s="985"/>
      <c r="I164" s="985"/>
      <c r="J164" s="985"/>
      <c r="K164" s="985"/>
      <c r="L164" s="985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</row>
    <row r="165" spans="2:23" x14ac:dyDescent="0.2">
      <c r="B165" s="985"/>
      <c r="C165" s="985"/>
      <c r="D165" s="985"/>
      <c r="E165" s="985"/>
      <c r="F165" s="985"/>
      <c r="G165" s="985"/>
      <c r="H165" s="985"/>
      <c r="I165" s="985"/>
      <c r="J165" s="985"/>
      <c r="K165" s="985"/>
      <c r="L165" s="985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</row>
    <row r="166" spans="2:23" x14ac:dyDescent="0.2">
      <c r="B166" s="985"/>
      <c r="C166" s="985"/>
      <c r="D166" s="985"/>
      <c r="E166" s="985"/>
      <c r="F166" s="985"/>
      <c r="G166" s="985"/>
      <c r="H166" s="985"/>
      <c r="I166" s="985"/>
      <c r="J166" s="985"/>
      <c r="K166" s="985"/>
      <c r="L166" s="985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</row>
    <row r="167" spans="2:23" x14ac:dyDescent="0.2">
      <c r="B167" s="985"/>
      <c r="C167" s="985"/>
      <c r="D167" s="985"/>
      <c r="E167" s="985"/>
      <c r="F167" s="985"/>
      <c r="G167" s="985"/>
      <c r="H167" s="985"/>
      <c r="I167" s="985"/>
      <c r="J167" s="985"/>
      <c r="K167" s="985"/>
      <c r="L167" s="985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</row>
    <row r="168" spans="2:23" x14ac:dyDescent="0.2">
      <c r="B168" s="985"/>
      <c r="C168" s="985"/>
      <c r="D168" s="985"/>
      <c r="E168" s="985"/>
      <c r="F168" s="985"/>
      <c r="G168" s="985"/>
      <c r="H168" s="985"/>
      <c r="I168" s="985"/>
      <c r="J168" s="985"/>
      <c r="K168" s="985"/>
      <c r="L168" s="985"/>
    </row>
    <row r="169" spans="2:23" x14ac:dyDescent="0.2">
      <c r="B169" s="985"/>
      <c r="C169" s="985"/>
      <c r="D169" s="985"/>
      <c r="E169" s="985"/>
      <c r="F169" s="985"/>
      <c r="G169" s="985"/>
      <c r="H169" s="985"/>
      <c r="I169" s="985"/>
      <c r="J169" s="985"/>
      <c r="K169" s="985"/>
      <c r="L169" s="985"/>
    </row>
    <row r="170" spans="2:23" x14ac:dyDescent="0.2">
      <c r="B170" s="985"/>
      <c r="C170" s="985"/>
      <c r="D170" s="985"/>
      <c r="E170" s="985"/>
      <c r="F170" s="985"/>
      <c r="G170" s="985"/>
      <c r="H170" s="985"/>
      <c r="I170" s="985"/>
      <c r="J170" s="985"/>
      <c r="K170" s="985"/>
      <c r="L170" s="985"/>
    </row>
    <row r="171" spans="2:23" x14ac:dyDescent="0.2">
      <c r="B171" s="985"/>
      <c r="C171" s="985"/>
      <c r="D171" s="985"/>
      <c r="E171" s="985"/>
      <c r="F171" s="985"/>
      <c r="G171" s="985"/>
      <c r="H171" s="985"/>
      <c r="I171" s="985"/>
      <c r="J171" s="985"/>
      <c r="K171" s="985"/>
      <c r="L171" s="985"/>
    </row>
    <row r="172" spans="2:23" x14ac:dyDescent="0.2">
      <c r="B172" s="985"/>
      <c r="C172" s="985"/>
      <c r="D172" s="985"/>
      <c r="E172" s="985"/>
      <c r="F172" s="985"/>
      <c r="G172" s="985"/>
      <c r="H172" s="985"/>
      <c r="I172" s="985"/>
      <c r="J172" s="985"/>
      <c r="K172" s="985"/>
      <c r="L172" s="985"/>
    </row>
    <row r="173" spans="2:23" x14ac:dyDescent="0.2">
      <c r="B173" s="985"/>
      <c r="C173" s="985"/>
      <c r="D173" s="985"/>
      <c r="E173" s="985"/>
      <c r="F173" s="985"/>
      <c r="G173" s="985"/>
      <c r="H173" s="985"/>
      <c r="I173" s="985"/>
      <c r="J173" s="985"/>
      <c r="K173" s="985"/>
      <c r="L173" s="985"/>
    </row>
    <row r="174" spans="2:23" x14ac:dyDescent="0.2">
      <c r="B174" s="985"/>
      <c r="C174" s="985"/>
      <c r="D174" s="985"/>
      <c r="E174" s="985"/>
      <c r="F174" s="985"/>
      <c r="G174" s="985"/>
      <c r="H174" s="985"/>
      <c r="I174" s="985"/>
      <c r="J174" s="985"/>
      <c r="K174" s="985"/>
      <c r="L174" s="985"/>
    </row>
    <row r="175" spans="2:23" x14ac:dyDescent="0.2">
      <c r="B175" s="985"/>
      <c r="C175" s="985"/>
      <c r="D175" s="985"/>
      <c r="E175" s="985"/>
      <c r="F175" s="985"/>
      <c r="G175" s="985"/>
      <c r="H175" s="985"/>
      <c r="I175" s="985"/>
      <c r="J175" s="985"/>
      <c r="K175" s="985"/>
      <c r="L175" s="985"/>
    </row>
    <row r="176" spans="2:23" x14ac:dyDescent="0.2">
      <c r="B176" s="985"/>
      <c r="C176" s="985"/>
      <c r="D176" s="985"/>
      <c r="E176" s="985"/>
      <c r="F176" s="985"/>
      <c r="G176" s="985"/>
      <c r="H176" s="985"/>
      <c r="I176" s="985"/>
      <c r="J176" s="985"/>
      <c r="K176" s="985"/>
      <c r="L176" s="985"/>
    </row>
    <row r="177" spans="2:15" x14ac:dyDescent="0.2">
      <c r="B177" s="985"/>
      <c r="C177" s="985"/>
      <c r="D177" s="985"/>
      <c r="E177" s="985"/>
      <c r="F177" s="985"/>
      <c r="G177" s="985"/>
      <c r="H177" s="985"/>
      <c r="I177" s="985"/>
      <c r="J177" s="985"/>
      <c r="K177" s="985"/>
      <c r="L177" s="985"/>
    </row>
    <row r="178" spans="2:15" x14ac:dyDescent="0.2">
      <c r="B178" s="985"/>
      <c r="C178" s="985"/>
      <c r="D178" s="985"/>
      <c r="E178" s="985"/>
      <c r="F178" s="985"/>
      <c r="G178" s="985"/>
      <c r="H178" s="985"/>
      <c r="I178" s="985"/>
      <c r="J178" s="985"/>
      <c r="K178" s="985"/>
      <c r="L178" s="985"/>
    </row>
    <row r="179" spans="2:15" x14ac:dyDescent="0.2">
      <c r="B179" s="985"/>
      <c r="C179" s="985"/>
      <c r="D179" s="985"/>
      <c r="E179" s="985"/>
      <c r="F179" s="985"/>
      <c r="G179" s="985"/>
      <c r="H179" s="985"/>
      <c r="I179" s="985"/>
      <c r="J179" s="985"/>
      <c r="K179" s="985"/>
      <c r="L179" s="985"/>
    </row>
    <row r="180" spans="2:15" x14ac:dyDescent="0.2">
      <c r="B180" s="988" t="s">
        <v>1444</v>
      </c>
      <c r="C180" s="988" t="s">
        <v>1389</v>
      </c>
      <c r="D180" s="988"/>
      <c r="E180" s="988" t="s">
        <v>1445</v>
      </c>
      <c r="F180" s="988"/>
      <c r="G180" s="988" t="s">
        <v>1446</v>
      </c>
      <c r="H180" s="988"/>
      <c r="I180" s="988" t="s">
        <v>1447</v>
      </c>
      <c r="J180" s="988"/>
      <c r="K180" s="988" t="s">
        <v>1448</v>
      </c>
      <c r="L180" s="988"/>
    </row>
    <row r="181" spans="2:15" x14ac:dyDescent="0.2">
      <c r="B181" s="988"/>
      <c r="C181" s="988"/>
      <c r="D181" s="988"/>
      <c r="E181" s="988"/>
      <c r="F181" s="988"/>
      <c r="G181" s="988"/>
      <c r="H181" s="988"/>
      <c r="I181" s="988"/>
      <c r="J181" s="988"/>
      <c r="K181" s="988"/>
      <c r="L181" s="988"/>
    </row>
    <row r="182" spans="2:15" x14ac:dyDescent="0.2">
      <c r="B182" s="985">
        <f>cont2_mbr_linha</f>
        <v>0</v>
      </c>
      <c r="C182" s="985">
        <f>cont2_mbr_vert</f>
        <v>0</v>
      </c>
      <c r="D182" s="985"/>
      <c r="E182" s="985">
        <f>cont2_bm_vert</f>
        <v>0</v>
      </c>
      <c r="F182" s="985"/>
      <c r="G182" s="985">
        <f>cont2_sf_vert</f>
        <v>0</v>
      </c>
      <c r="H182" s="985"/>
      <c r="I182" s="985">
        <f>cont2_ey_moment</f>
        <v>0</v>
      </c>
      <c r="J182" s="985"/>
      <c r="K182" s="986">
        <f>cont2_sf_line_endb</f>
        <v>0</v>
      </c>
      <c r="L182" s="986"/>
    </row>
    <row r="183" spans="2:15" x14ac:dyDescent="0.2">
      <c r="B183" s="985"/>
      <c r="C183" s="985"/>
      <c r="D183" s="985"/>
      <c r="E183" s="985"/>
      <c r="F183" s="985"/>
      <c r="G183" s="985"/>
      <c r="H183" s="985"/>
      <c r="I183" s="985"/>
      <c r="J183" s="985"/>
      <c r="K183" s="986"/>
      <c r="L183" s="986"/>
    </row>
    <row r="184" spans="2:15" x14ac:dyDescent="0.2"/>
    <row r="185" spans="2:15" x14ac:dyDescent="0.2">
      <c r="B185" s="970" t="s">
        <v>1515</v>
      </c>
      <c r="C185" s="971"/>
      <c r="D185" s="971"/>
      <c r="E185" s="971"/>
      <c r="F185" s="971"/>
      <c r="G185" s="971"/>
      <c r="H185" s="971"/>
      <c r="I185" s="971"/>
      <c r="J185" s="971"/>
      <c r="K185" s="971"/>
      <c r="L185" s="972"/>
      <c r="N185" s="709"/>
    </row>
    <row r="186" spans="2:15" ht="12.75" customHeight="1" x14ac:dyDescent="0.2">
      <c r="B186" s="973"/>
      <c r="C186" s="974"/>
      <c r="D186" s="974"/>
      <c r="E186" s="974"/>
      <c r="F186" s="974"/>
      <c r="G186" s="974"/>
      <c r="H186" s="974"/>
      <c r="I186" s="974"/>
      <c r="J186" s="974"/>
      <c r="K186" s="974"/>
      <c r="L186" s="975"/>
    </row>
    <row r="187" spans="2:15" x14ac:dyDescent="0.2">
      <c r="B187" s="976"/>
      <c r="C187" s="977"/>
      <c r="D187" s="977"/>
      <c r="E187" s="977"/>
      <c r="F187" s="977"/>
      <c r="G187" s="977"/>
      <c r="H187" s="977"/>
      <c r="I187" s="977"/>
      <c r="J187" s="977"/>
      <c r="K187" s="977"/>
      <c r="L187" s="978"/>
    </row>
    <row r="188" spans="2:15" x14ac:dyDescent="0.2">
      <c r="B188" s="979"/>
      <c r="C188" s="980"/>
      <c r="D188" s="980"/>
      <c r="E188" s="980"/>
      <c r="F188" s="980"/>
      <c r="G188" s="980"/>
      <c r="H188" s="980"/>
      <c r="I188" s="980"/>
      <c r="J188" s="980"/>
      <c r="K188" s="980"/>
      <c r="L188" s="981"/>
    </row>
    <row r="189" spans="2:15" x14ac:dyDescent="0.2">
      <c r="B189" s="979"/>
      <c r="C189" s="980"/>
      <c r="D189" s="980"/>
      <c r="E189" s="980"/>
      <c r="F189" s="980"/>
      <c r="G189" s="980"/>
      <c r="H189" s="980"/>
      <c r="I189" s="980"/>
      <c r="J189" s="980"/>
      <c r="K189" s="980"/>
      <c r="L189" s="981"/>
      <c r="O189" s="684"/>
    </row>
    <row r="190" spans="2:15" x14ac:dyDescent="0.2">
      <c r="B190" s="979"/>
      <c r="C190" s="980"/>
      <c r="D190" s="980"/>
      <c r="E190" s="980"/>
      <c r="F190" s="980"/>
      <c r="G190" s="980"/>
      <c r="H190" s="980"/>
      <c r="I190" s="980"/>
      <c r="J190" s="980"/>
      <c r="K190" s="980"/>
      <c r="L190" s="981"/>
    </row>
    <row r="191" spans="2:15" x14ac:dyDescent="0.2">
      <c r="B191" s="979"/>
      <c r="C191" s="980"/>
      <c r="D191" s="980"/>
      <c r="E191" s="980"/>
      <c r="F191" s="980"/>
      <c r="G191" s="980"/>
      <c r="H191" s="980"/>
      <c r="I191" s="980"/>
      <c r="J191" s="980"/>
      <c r="K191" s="980"/>
      <c r="L191" s="981"/>
    </row>
    <row r="192" spans="2:15" x14ac:dyDescent="0.2">
      <c r="B192" s="979"/>
      <c r="C192" s="980"/>
      <c r="D192" s="980"/>
      <c r="E192" s="980"/>
      <c r="F192" s="980"/>
      <c r="G192" s="980"/>
      <c r="H192" s="980"/>
      <c r="I192" s="980"/>
      <c r="J192" s="980"/>
      <c r="K192" s="980"/>
      <c r="L192" s="981"/>
    </row>
    <row r="193" spans="2:12" ht="12.75" customHeight="1" x14ac:dyDescent="0.2">
      <c r="B193" s="979" t="s">
        <v>2161</v>
      </c>
      <c r="C193" s="980"/>
      <c r="D193" s="980"/>
      <c r="E193" s="980"/>
      <c r="F193" s="980"/>
      <c r="G193" s="980"/>
      <c r="H193" s="980"/>
      <c r="I193" s="980"/>
      <c r="J193" s="980"/>
      <c r="K193" s="980"/>
      <c r="L193" s="981"/>
    </row>
    <row r="194" spans="2:12" x14ac:dyDescent="0.2">
      <c r="B194" s="979"/>
      <c r="C194" s="980"/>
      <c r="D194" s="980"/>
      <c r="E194" s="980"/>
      <c r="F194" s="980"/>
      <c r="G194" s="980"/>
      <c r="H194" s="980"/>
      <c r="I194" s="980"/>
      <c r="J194" s="980"/>
      <c r="K194" s="980"/>
      <c r="L194" s="981"/>
    </row>
    <row r="195" spans="2:12" x14ac:dyDescent="0.2">
      <c r="B195" s="982"/>
      <c r="C195" s="983"/>
      <c r="D195" s="983"/>
      <c r="E195" s="983"/>
      <c r="F195" s="983"/>
      <c r="G195" s="983"/>
      <c r="H195" s="983"/>
      <c r="I195" s="983"/>
      <c r="J195" s="983"/>
      <c r="K195" s="983"/>
      <c r="L195" s="984"/>
    </row>
    <row r="196" spans="2:12" x14ac:dyDescent="0.2">
      <c r="B196" s="37"/>
      <c r="C196" s="37"/>
      <c r="D196" s="37"/>
      <c r="E196" s="37"/>
      <c r="F196" s="37"/>
      <c r="G196" s="37"/>
      <c r="H196" s="37"/>
      <c r="I196" s="37"/>
      <c r="J196" s="37"/>
      <c r="K196" s="37"/>
      <c r="L196" s="37"/>
    </row>
    <row r="197" spans="2:12" hidden="1" x14ac:dyDescent="0.2">
      <c r="B197" s="37"/>
      <c r="C197" s="37"/>
      <c r="D197" s="37"/>
      <c r="E197" s="37"/>
      <c r="F197" s="37"/>
      <c r="G197" s="37"/>
      <c r="H197" s="37"/>
      <c r="I197" s="37"/>
      <c r="J197" s="37"/>
      <c r="K197" s="37"/>
      <c r="L197" s="37"/>
    </row>
  </sheetData>
  <mergeCells count="186">
    <mergeCell ref="B8:B9"/>
    <mergeCell ref="C8:D9"/>
    <mergeCell ref="E8:F9"/>
    <mergeCell ref="G8:H9"/>
    <mergeCell ref="I8:J9"/>
    <mergeCell ref="K8:L9"/>
    <mergeCell ref="B1:C3"/>
    <mergeCell ref="D1:L3"/>
    <mergeCell ref="B5:L6"/>
    <mergeCell ref="C7:D7"/>
    <mergeCell ref="E7:F7"/>
    <mergeCell ref="G7:H7"/>
    <mergeCell ref="I7:J7"/>
    <mergeCell ref="K7:L7"/>
    <mergeCell ref="C17:G17"/>
    <mergeCell ref="I17:L17"/>
    <mergeCell ref="B18:C18"/>
    <mergeCell ref="D18:G18"/>
    <mergeCell ref="I18:L18"/>
    <mergeCell ref="B19:C19"/>
    <mergeCell ref="D19:G19"/>
    <mergeCell ref="I19:L19"/>
    <mergeCell ref="B10:B11"/>
    <mergeCell ref="C10:L11"/>
    <mergeCell ref="C12:G12"/>
    <mergeCell ref="H12:L12"/>
    <mergeCell ref="B14:L15"/>
    <mergeCell ref="B16:G16"/>
    <mergeCell ref="H16:L16"/>
    <mergeCell ref="B24:L24"/>
    <mergeCell ref="C25:F25"/>
    <mergeCell ref="H25:L25"/>
    <mergeCell ref="B26:B27"/>
    <mergeCell ref="C26:F27"/>
    <mergeCell ref="G26:G27"/>
    <mergeCell ref="H26:L27"/>
    <mergeCell ref="D20:G20"/>
    <mergeCell ref="I20:L20"/>
    <mergeCell ref="B21:C21"/>
    <mergeCell ref="D21:G21"/>
    <mergeCell ref="I21:L21"/>
    <mergeCell ref="B22:C22"/>
    <mergeCell ref="D22:G22"/>
    <mergeCell ref="I22:L22"/>
    <mergeCell ref="B34:F49"/>
    <mergeCell ref="G34:L49"/>
    <mergeCell ref="B50:F50"/>
    <mergeCell ref="G50:L50"/>
    <mergeCell ref="C51:F51"/>
    <mergeCell ref="G51:I51"/>
    <mergeCell ref="B28:B29"/>
    <mergeCell ref="C28:F29"/>
    <mergeCell ref="G28:G29"/>
    <mergeCell ref="H28:L29"/>
    <mergeCell ref="B31:L32"/>
    <mergeCell ref="B33:F33"/>
    <mergeCell ref="G33:L33"/>
    <mergeCell ref="B54:B55"/>
    <mergeCell ref="C54:F55"/>
    <mergeCell ref="G54:I55"/>
    <mergeCell ref="J54:J55"/>
    <mergeCell ref="K54:K55"/>
    <mergeCell ref="L54:L55"/>
    <mergeCell ref="B52:B53"/>
    <mergeCell ref="C52:F53"/>
    <mergeCell ref="G52:I53"/>
    <mergeCell ref="J52:J53"/>
    <mergeCell ref="K52:K53"/>
    <mergeCell ref="L52:L53"/>
    <mergeCell ref="B58:B59"/>
    <mergeCell ref="C58:F59"/>
    <mergeCell ref="G58:I59"/>
    <mergeCell ref="J58:J59"/>
    <mergeCell ref="K58:K59"/>
    <mergeCell ref="L58:L59"/>
    <mergeCell ref="B56:B57"/>
    <mergeCell ref="C56:F57"/>
    <mergeCell ref="G56:I57"/>
    <mergeCell ref="J56:J57"/>
    <mergeCell ref="K56:K57"/>
    <mergeCell ref="L56:L57"/>
    <mergeCell ref="B76:L76"/>
    <mergeCell ref="B77:L77"/>
    <mergeCell ref="B78:C79"/>
    <mergeCell ref="D78:F79"/>
    <mergeCell ref="G78:H79"/>
    <mergeCell ref="I78:J79"/>
    <mergeCell ref="K78:L79"/>
    <mergeCell ref="J64:J65"/>
    <mergeCell ref="K64:K65"/>
    <mergeCell ref="L64:L65"/>
    <mergeCell ref="B66:L66"/>
    <mergeCell ref="B67:L72"/>
    <mergeCell ref="B74:L75"/>
    <mergeCell ref="B60:F65"/>
    <mergeCell ref="G60:I61"/>
    <mergeCell ref="J60:J61"/>
    <mergeCell ref="K60:K61"/>
    <mergeCell ref="L60:L61"/>
    <mergeCell ref="G62:I63"/>
    <mergeCell ref="J62:J63"/>
    <mergeCell ref="K62:K63"/>
    <mergeCell ref="L62:L63"/>
    <mergeCell ref="G64:I65"/>
    <mergeCell ref="B83:F83"/>
    <mergeCell ref="G83:L83"/>
    <mergeCell ref="B84:F85"/>
    <mergeCell ref="G84:L85"/>
    <mergeCell ref="B86:L86"/>
    <mergeCell ref="B87:E87"/>
    <mergeCell ref="F87:H87"/>
    <mergeCell ref="I87:L87"/>
    <mergeCell ref="B80:C81"/>
    <mergeCell ref="D80:F81"/>
    <mergeCell ref="G80:H81"/>
    <mergeCell ref="I80:J81"/>
    <mergeCell ref="K80:L81"/>
    <mergeCell ref="B82:L82"/>
    <mergeCell ref="B114:L114"/>
    <mergeCell ref="B115:D115"/>
    <mergeCell ref="E115:H115"/>
    <mergeCell ref="I115:L115"/>
    <mergeCell ref="B116:D117"/>
    <mergeCell ref="E116:H117"/>
    <mergeCell ref="I116:L117"/>
    <mergeCell ref="B88:E89"/>
    <mergeCell ref="F88:H89"/>
    <mergeCell ref="I88:L89"/>
    <mergeCell ref="B91:L91"/>
    <mergeCell ref="B92:L111"/>
    <mergeCell ref="B113:L113"/>
    <mergeCell ref="B118:L118"/>
    <mergeCell ref="B119:C119"/>
    <mergeCell ref="D119:F119"/>
    <mergeCell ref="G119:I119"/>
    <mergeCell ref="J119:L119"/>
    <mergeCell ref="B120:C121"/>
    <mergeCell ref="D120:F121"/>
    <mergeCell ref="G120:I121"/>
    <mergeCell ref="J120:L121"/>
    <mergeCell ref="B127:D127"/>
    <mergeCell ref="E127:H127"/>
    <mergeCell ref="I127:L127"/>
    <mergeCell ref="B128:D129"/>
    <mergeCell ref="E128:H129"/>
    <mergeCell ref="I128:L129"/>
    <mergeCell ref="B122:C123"/>
    <mergeCell ref="D122:F123"/>
    <mergeCell ref="G122:I123"/>
    <mergeCell ref="J122:L123"/>
    <mergeCell ref="B125:L125"/>
    <mergeCell ref="B126:L126"/>
    <mergeCell ref="B131:L132"/>
    <mergeCell ref="B133:L133"/>
    <mergeCell ref="B134:L153"/>
    <mergeCell ref="B154:B155"/>
    <mergeCell ref="C154:D155"/>
    <mergeCell ref="E154:F155"/>
    <mergeCell ref="G154:H155"/>
    <mergeCell ref="I154:J155"/>
    <mergeCell ref="K154:L155"/>
    <mergeCell ref="B159:L159"/>
    <mergeCell ref="B160:L179"/>
    <mergeCell ref="B180:B181"/>
    <mergeCell ref="C180:D181"/>
    <mergeCell ref="E180:F181"/>
    <mergeCell ref="G180:H181"/>
    <mergeCell ref="I180:J181"/>
    <mergeCell ref="K180:L181"/>
    <mergeCell ref="B156:B157"/>
    <mergeCell ref="C156:D157"/>
    <mergeCell ref="E156:F157"/>
    <mergeCell ref="G156:H157"/>
    <mergeCell ref="I156:J157"/>
    <mergeCell ref="K156:L157"/>
    <mergeCell ref="B185:L186"/>
    <mergeCell ref="B187:L189"/>
    <mergeCell ref="B190:L191"/>
    <mergeCell ref="B192:L192"/>
    <mergeCell ref="B193:L195"/>
    <mergeCell ref="B182:B183"/>
    <mergeCell ref="C182:D183"/>
    <mergeCell ref="E182:F183"/>
    <mergeCell ref="G182:H183"/>
    <mergeCell ref="I182:J183"/>
    <mergeCell ref="K182:L183"/>
  </mergeCells>
  <conditionalFormatting sqref="E116:H117">
    <cfRule type="expression" dxfId="136" priority="28">
      <formula xml:space="preserve"> $E$116&lt;$K$60</formula>
    </cfRule>
  </conditionalFormatting>
  <conditionalFormatting sqref="I116:L117">
    <cfRule type="expression" dxfId="135" priority="27">
      <formula xml:space="preserve"> $I$116&lt;$K$58</formula>
    </cfRule>
  </conditionalFormatting>
  <conditionalFormatting sqref="C156:D158">
    <cfRule type="expression" dxfId="134" priority="26">
      <formula xml:space="preserve"> ABS($C$156)&lt;ABS($K$58)</formula>
    </cfRule>
  </conditionalFormatting>
  <conditionalFormatting sqref="D80:F81">
    <cfRule type="cellIs" dxfId="133" priority="21" operator="lessThan">
      <formula>$K$54</formula>
    </cfRule>
  </conditionalFormatting>
  <conditionalFormatting sqref="K80:L81">
    <cfRule type="expression" dxfId="132" priority="20">
      <formula xml:space="preserve"> ABS($K$80) &lt; ABS($K$58)</formula>
    </cfRule>
  </conditionalFormatting>
  <conditionalFormatting sqref="I80:J81">
    <cfRule type="cellIs" dxfId="131" priority="19" operator="lessThan">
      <formula>$K$60</formula>
    </cfRule>
  </conditionalFormatting>
  <conditionalFormatting sqref="B80:C81">
    <cfRule type="expression" dxfId="130" priority="17">
      <formula xml:space="preserve"> $B$80&lt;($K$56-0.05)</formula>
    </cfRule>
    <cfRule type="expression" dxfId="129" priority="18">
      <formula xml:space="preserve"> $B$80&gt;($K$56+0.05)</formula>
    </cfRule>
  </conditionalFormatting>
  <conditionalFormatting sqref="B84:F85">
    <cfRule type="expression" dxfId="128" priority="14">
      <formula xml:space="preserve"> AND($B$84&lt;0,$K$62&gt;0)</formula>
    </cfRule>
    <cfRule type="expression" dxfId="127" priority="15">
      <formula xml:space="preserve"> AND($B$84&gt;0,$K$62&lt;0)</formula>
    </cfRule>
    <cfRule type="expression" dxfId="126" priority="16">
      <formula xml:space="preserve"> ABS($B$84)&gt;ABS($K$62)</formula>
    </cfRule>
  </conditionalFormatting>
  <conditionalFormatting sqref="G84:L85">
    <cfRule type="expression" dxfId="125" priority="11">
      <formula xml:space="preserve"> AND($G$84&lt;0,$K$64&gt;0)</formula>
    </cfRule>
    <cfRule type="expression" dxfId="124" priority="12">
      <formula xml:space="preserve"> AND($G$84&gt;0,$K$64&lt;0)</formula>
    </cfRule>
    <cfRule type="expression" dxfId="123" priority="13">
      <formula xml:space="preserve"> ABS($B$84)&gt;ABS($K$64)</formula>
    </cfRule>
  </conditionalFormatting>
  <conditionalFormatting sqref="C182:D183">
    <cfRule type="expression" dxfId="122" priority="1">
      <formula xml:space="preserve"> ABS($C$156)&lt;ABS($K$58)</formula>
    </cfRule>
  </conditionalFormatting>
  <pageMargins left="0.23622047244094491" right="0.23622047244094491" top="0.19685039370078741" bottom="0.19685039370078741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9681" r:id="rId4" name="Button 1">
              <controlPr defaultSize="0" print="0" autoFill="0" autoPict="0" macro="[0]!ImportImages.ImportImages">
                <anchor moveWithCells="1" sizeWithCells="1">
                  <from>
                    <xdr:col>14</xdr:col>
                    <xdr:colOff>19050</xdr:colOff>
                    <xdr:row>4</xdr:row>
                    <xdr:rowOff>9525</xdr:rowOff>
                  </from>
                  <to>
                    <xdr:col>17</xdr:col>
                    <xdr:colOff>9525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2" r:id="rId5" name="Button 2">
              <controlPr defaultSize="0" print="0" autoFill="0" autoPict="0" macro="[0]!Conclusao.Conclusao">
                <anchor moveWithCells="1" sizeWithCells="1">
                  <from>
                    <xdr:col>14</xdr:col>
                    <xdr:colOff>19050</xdr:colOff>
                    <xdr:row>13</xdr:row>
                    <xdr:rowOff>9525</xdr:rowOff>
                  </from>
                  <to>
                    <xdr:col>17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C7EBC6EF-2A2E-4868-A275-30DC11A94A3F}">
            <xm:f xml:space="preserve"> AND($B$88&lt;0,Esforços!$G$11&gt;0)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9" id="{AD5626D5-ED49-466B-BA57-59E3A02D2BCA}">
            <xm:f xml:space="preserve"> AND($B$88&gt;0,Esforços!$G$11&lt;0)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10" id="{25950CCD-31A3-4DF1-8F65-81E84ECB0933}">
            <xm:f xml:space="preserve"> ABS($B$88)&gt;ABS(Esforços!$G$11)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B88:E89</xm:sqref>
        </x14:conditionalFormatting>
        <x14:conditionalFormatting xmlns:xm="http://schemas.microsoft.com/office/excel/2006/main">
          <x14:cfRule type="expression" priority="5" id="{4E820AC2-43AF-4345-82AE-A981780AD8A9}">
            <xm:f xml:space="preserve"> AND($F$88&gt;0,Esforços!$G$9&lt;0)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6" id="{681FBD63-59E8-4125-A132-DB5104E5A925}">
            <xm:f xml:space="preserve"> AND($F$88&lt;0,Esforços!$G$9&gt;0)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7" id="{9440464A-7F21-473C-8797-34DD36B01CC5}">
            <xm:f xml:space="preserve"> ABS($F$88)&gt;ABS(Esforços!$G$9)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F88:H89</xm:sqref>
        </x14:conditionalFormatting>
        <x14:conditionalFormatting xmlns:xm="http://schemas.microsoft.com/office/excel/2006/main">
          <x14:cfRule type="expression" priority="2" id="{89F50B00-1C92-44B9-A7FB-ABE9C3F928A7}">
            <xm:f xml:space="preserve"> AND($I$88&gt;0,Esforços!$G$10&lt;0)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3" id="{C67CC53C-26BC-4BBE-9F28-E09E556FCB15}">
            <xm:f xml:space="preserve"> AND($I$88&lt;0,Esforços!$G$10&gt;0)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4" id="{BC1EB816-CB39-4C68-9EA3-A65C4759F902}">
            <xm:f xml:space="preserve"> ABS($I$88)&gt;ABS(Esforços!$G$10)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I88:L89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1FA1-6496-4808-9475-3B80E7944A81}">
  <sheetPr codeName="Sheet28">
    <tabColor rgb="FF00A3E0"/>
  </sheetPr>
  <dimension ref="A1:AL678"/>
  <sheetViews>
    <sheetView zoomScale="80" zoomScaleNormal="80" workbookViewId="0"/>
  </sheetViews>
  <sheetFormatPr defaultColWidth="0" defaultRowHeight="12.75" customHeight="1" zeroHeight="1" outlineLevelRow="1" x14ac:dyDescent="0.2"/>
  <cols>
    <col min="1" max="1" width="1.7109375" style="8" customWidth="1"/>
    <col min="2" max="2" width="10.7109375" style="8" bestFit="1" customWidth="1"/>
    <col min="3" max="33" width="9.140625" style="8" customWidth="1"/>
    <col min="34" max="34" width="1.7109375" style="8" customWidth="1"/>
    <col min="35" max="38" width="0" style="8" hidden="1" customWidth="1"/>
    <col min="39" max="16384" width="9.140625" style="8" hidden="1"/>
  </cols>
  <sheetData>
    <row r="1" spans="1:34" s="4" customFormat="1" ht="13.5" customHeight="1" thickTop="1" x14ac:dyDescent="0.2">
      <c r="A1" s="33"/>
      <c r="B1" s="1230"/>
      <c r="C1" s="1231"/>
      <c r="D1" s="1231"/>
      <c r="E1" s="1232"/>
      <c r="F1" s="1239" t="str">
        <f xml:space="preserve"> IF(ISBLANK(estudo_edr),"",estudo_edr)</f>
        <v>S51956-RT-5801-IAS-661</v>
      </c>
      <c r="G1" s="1240"/>
      <c r="H1" s="1240"/>
      <c r="I1" s="1240"/>
      <c r="J1" s="1240"/>
      <c r="K1" s="1240"/>
      <c r="L1" s="1240"/>
      <c r="M1" s="1240"/>
      <c r="N1" s="1240"/>
      <c r="O1" s="1240"/>
      <c r="P1" s="1240"/>
      <c r="Q1" s="1240"/>
      <c r="R1" s="1240"/>
      <c r="S1" s="1240"/>
      <c r="T1" s="1240"/>
      <c r="U1" s="1240"/>
      <c r="V1" s="1240"/>
      <c r="W1" s="1240"/>
      <c r="X1" s="1240"/>
      <c r="Y1" s="1240"/>
      <c r="Z1" s="1240"/>
      <c r="AA1" s="1240"/>
      <c r="AB1" s="1241"/>
      <c r="AC1" s="8"/>
      <c r="AD1" s="8"/>
      <c r="AE1" s="8"/>
      <c r="AF1" s="8"/>
      <c r="AG1" s="8"/>
      <c r="AH1" s="8"/>
    </row>
    <row r="2" spans="1:34" s="4" customFormat="1" ht="13.5" customHeight="1" x14ac:dyDescent="0.2">
      <c r="A2" s="8"/>
      <c r="B2" s="1233"/>
      <c r="C2" s="1234"/>
      <c r="D2" s="1234"/>
      <c r="E2" s="1235"/>
      <c r="F2" s="1242"/>
      <c r="G2" s="1243"/>
      <c r="H2" s="1243"/>
      <c r="I2" s="1243"/>
      <c r="J2" s="1243"/>
      <c r="K2" s="1243"/>
      <c r="L2" s="1243"/>
      <c r="M2" s="1243"/>
      <c r="N2" s="1243"/>
      <c r="O2" s="1243"/>
      <c r="P2" s="1243"/>
      <c r="Q2" s="1243"/>
      <c r="R2" s="1243"/>
      <c r="S2" s="1243"/>
      <c r="T2" s="1243"/>
      <c r="U2" s="1243"/>
      <c r="V2" s="1243"/>
      <c r="W2" s="1243"/>
      <c r="X2" s="1243"/>
      <c r="Y2" s="1243"/>
      <c r="Z2" s="1243"/>
      <c r="AA2" s="1243"/>
      <c r="AB2" s="1244"/>
      <c r="AC2" s="8"/>
      <c r="AD2" s="8"/>
      <c r="AE2" s="8"/>
      <c r="AF2" s="8"/>
      <c r="AG2" s="8"/>
      <c r="AH2" s="8"/>
    </row>
    <row r="3" spans="1:34" s="4" customFormat="1" ht="12.75" customHeight="1" x14ac:dyDescent="0.2">
      <c r="A3" s="8"/>
      <c r="B3" s="1233"/>
      <c r="C3" s="1234"/>
      <c r="D3" s="1234"/>
      <c r="E3" s="1235"/>
      <c r="F3" s="1242"/>
      <c r="G3" s="1243"/>
      <c r="H3" s="1243"/>
      <c r="I3" s="1243"/>
      <c r="J3" s="1243"/>
      <c r="K3" s="1243"/>
      <c r="L3" s="1243"/>
      <c r="M3" s="1243"/>
      <c r="N3" s="1243"/>
      <c r="O3" s="1243"/>
      <c r="P3" s="1243"/>
      <c r="Q3" s="1243"/>
      <c r="R3" s="1243"/>
      <c r="S3" s="1243"/>
      <c r="T3" s="1243"/>
      <c r="U3" s="1243"/>
      <c r="V3" s="1243"/>
      <c r="W3" s="1243"/>
      <c r="X3" s="1243"/>
      <c r="Y3" s="1243"/>
      <c r="Z3" s="1243"/>
      <c r="AA3" s="1243"/>
      <c r="AB3" s="1244"/>
      <c r="AC3" s="8"/>
      <c r="AD3" s="8"/>
      <c r="AE3" s="8"/>
      <c r="AF3" s="8"/>
      <c r="AG3" s="8"/>
      <c r="AH3" s="8"/>
    </row>
    <row r="4" spans="1:34" s="4" customFormat="1" ht="12.75" customHeight="1" x14ac:dyDescent="0.2">
      <c r="A4" s="8"/>
      <c r="B4" s="1233"/>
      <c r="C4" s="1234"/>
      <c r="D4" s="1234"/>
      <c r="E4" s="1235"/>
      <c r="F4" s="1242"/>
      <c r="G4" s="1243"/>
      <c r="H4" s="1243"/>
      <c r="I4" s="1243"/>
      <c r="J4" s="1243"/>
      <c r="K4" s="1243"/>
      <c r="L4" s="1243"/>
      <c r="M4" s="1243"/>
      <c r="N4" s="1243"/>
      <c r="O4" s="1243"/>
      <c r="P4" s="1243"/>
      <c r="Q4" s="1243"/>
      <c r="R4" s="1243"/>
      <c r="S4" s="1243"/>
      <c r="T4" s="1243"/>
      <c r="U4" s="1243"/>
      <c r="V4" s="1243"/>
      <c r="W4" s="1243"/>
      <c r="X4" s="1243"/>
      <c r="Y4" s="1243"/>
      <c r="Z4" s="1243"/>
      <c r="AA4" s="1243"/>
      <c r="AB4" s="1244"/>
      <c r="AC4" s="8"/>
      <c r="AD4" s="8"/>
      <c r="AE4" s="8"/>
      <c r="AF4" s="8"/>
      <c r="AG4" s="8"/>
      <c r="AH4" s="8"/>
    </row>
    <row r="5" spans="1:34" s="4" customFormat="1" ht="12.75" customHeight="1" thickBot="1" x14ac:dyDescent="0.25">
      <c r="A5" s="8"/>
      <c r="B5" s="1236"/>
      <c r="C5" s="1237"/>
      <c r="D5" s="1237"/>
      <c r="E5" s="1238"/>
      <c r="F5" s="1245"/>
      <c r="G5" s="1246"/>
      <c r="H5" s="1246"/>
      <c r="I5" s="1246"/>
      <c r="J5" s="1246"/>
      <c r="K5" s="1246"/>
      <c r="L5" s="1246"/>
      <c r="M5" s="1246"/>
      <c r="N5" s="1246"/>
      <c r="O5" s="1246"/>
      <c r="P5" s="1246"/>
      <c r="Q5" s="1246"/>
      <c r="R5" s="1246"/>
      <c r="S5" s="1246"/>
      <c r="T5" s="1246"/>
      <c r="U5" s="1246"/>
      <c r="V5" s="1246"/>
      <c r="W5" s="1246"/>
      <c r="X5" s="1246"/>
      <c r="Y5" s="1246"/>
      <c r="Z5" s="1246"/>
      <c r="AA5" s="1246"/>
      <c r="AB5" s="1247"/>
      <c r="AC5" s="8"/>
      <c r="AD5" s="8"/>
      <c r="AE5" s="8"/>
      <c r="AF5" s="8"/>
      <c r="AG5" s="8"/>
      <c r="AH5" s="8"/>
    </row>
    <row r="6" spans="1:34" s="4" customFormat="1" ht="13.5" customHeight="1" thickTop="1" x14ac:dyDescent="0.2">
      <c r="A6" s="8"/>
      <c r="B6" s="33"/>
      <c r="C6" s="33"/>
      <c r="D6" s="33"/>
      <c r="E6" s="33"/>
      <c r="F6" s="692"/>
      <c r="G6" s="692"/>
      <c r="H6" s="692"/>
      <c r="I6" s="692"/>
      <c r="J6" s="692"/>
      <c r="K6" s="692"/>
      <c r="L6" s="692"/>
      <c r="M6" s="692"/>
      <c r="N6" s="692"/>
      <c r="O6" s="692"/>
      <c r="P6" s="692"/>
      <c r="Q6" s="692"/>
      <c r="R6" s="692"/>
      <c r="S6" s="692"/>
      <c r="T6" s="692"/>
      <c r="U6" s="692"/>
      <c r="V6" s="692"/>
      <c r="W6" s="692"/>
      <c r="X6" s="692"/>
      <c r="Y6" s="692"/>
      <c r="Z6" s="692"/>
      <c r="AA6" s="692"/>
      <c r="AB6" s="692"/>
      <c r="AC6" s="8"/>
      <c r="AD6" s="8"/>
      <c r="AE6" s="8"/>
      <c r="AF6" s="8"/>
      <c r="AG6" s="8"/>
      <c r="AH6" s="8"/>
    </row>
    <row r="7" spans="1:34" s="4" customFormat="1" x14ac:dyDescent="0.2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</row>
    <row r="8" spans="1:34" s="4" customFormat="1" x14ac:dyDescent="0.2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</row>
    <row r="9" spans="1:34" s="4" customFormat="1" ht="12.75" customHeight="1" x14ac:dyDescent="0.2">
      <c r="A9" s="8"/>
      <c r="B9" s="1248" t="s">
        <v>1361</v>
      </c>
      <c r="C9" s="1248"/>
      <c r="D9" s="1248"/>
      <c r="E9" s="1248"/>
      <c r="F9" s="1248"/>
      <c r="G9" s="1248"/>
      <c r="H9" s="1248"/>
      <c r="I9" s="1248"/>
      <c r="J9" s="1248"/>
      <c r="K9" s="1248"/>
      <c r="L9" s="1248"/>
      <c r="M9" s="1248"/>
      <c r="N9" s="1248"/>
      <c r="O9" s="8"/>
      <c r="P9" s="1136" t="s">
        <v>2155</v>
      </c>
      <c r="Q9" s="1136"/>
      <c r="R9" s="1136"/>
      <c r="S9" s="1136"/>
      <c r="T9" s="1136"/>
      <c r="U9" s="1136"/>
      <c r="V9" s="1136"/>
      <c r="W9" s="1136"/>
      <c r="X9" s="1136"/>
      <c r="Y9" s="1136"/>
      <c r="Z9" s="1136"/>
      <c r="AA9" s="1136"/>
      <c r="AB9" s="1136"/>
      <c r="AC9" s="8"/>
      <c r="AD9" s="8"/>
      <c r="AE9" s="8"/>
      <c r="AF9" s="8"/>
      <c r="AG9" s="8"/>
      <c r="AH9" s="8"/>
    </row>
    <row r="10" spans="1:34" s="4" customFormat="1" ht="12.75" customHeight="1" x14ac:dyDescent="0.2">
      <c r="A10" s="8"/>
      <c r="B10" s="1249"/>
      <c r="C10" s="1249"/>
      <c r="D10" s="1249"/>
      <c r="E10" s="1249"/>
      <c r="F10" s="1249"/>
      <c r="G10" s="1249"/>
      <c r="H10" s="1249"/>
      <c r="I10" s="1249"/>
      <c r="J10" s="1249"/>
      <c r="K10" s="1249"/>
      <c r="L10" s="1249"/>
      <c r="M10" s="1249"/>
      <c r="N10" s="1249"/>
      <c r="O10" s="8"/>
      <c r="P10" s="1157"/>
      <c r="Q10" s="1157"/>
      <c r="R10" s="1157"/>
      <c r="S10" s="1157"/>
      <c r="T10" s="1157"/>
      <c r="U10" s="1157"/>
      <c r="V10" s="1157"/>
      <c r="W10" s="1157"/>
      <c r="X10" s="1157"/>
      <c r="Y10" s="1157"/>
      <c r="Z10" s="1157"/>
      <c r="AA10" s="1157"/>
      <c r="AB10" s="1157"/>
      <c r="AC10" s="8"/>
      <c r="AD10" s="8"/>
      <c r="AE10" s="8"/>
      <c r="AF10" s="8"/>
      <c r="AG10" s="8"/>
      <c r="AH10" s="8"/>
    </row>
    <row r="11" spans="1:34" s="4" customFormat="1" x14ac:dyDescent="0.2">
      <c r="A11" s="10"/>
      <c r="B11" s="693" t="s">
        <v>1364</v>
      </c>
      <c r="C11" s="1250" t="s">
        <v>1365</v>
      </c>
      <c r="D11" s="1251"/>
      <c r="E11" s="1252"/>
      <c r="F11" s="1253" t="s">
        <v>1366</v>
      </c>
      <c r="G11" s="1201"/>
      <c r="H11" s="1254"/>
      <c r="I11" s="1253" t="s">
        <v>1367</v>
      </c>
      <c r="J11" s="1201"/>
      <c r="K11" s="1254"/>
      <c r="L11" s="1253" t="s">
        <v>1368</v>
      </c>
      <c r="M11" s="1201"/>
      <c r="N11" s="1202"/>
      <c r="O11" s="8"/>
      <c r="P11" s="1255" t="s">
        <v>1421</v>
      </c>
      <c r="Q11" s="1256"/>
      <c r="R11" s="1256"/>
      <c r="S11" s="1256"/>
      <c r="T11" s="1256"/>
      <c r="U11" s="1256"/>
      <c r="V11" s="1256"/>
      <c r="W11" s="1256"/>
      <c r="X11" s="1256"/>
      <c r="Y11" s="1256"/>
      <c r="Z11" s="1256"/>
      <c r="AA11" s="1256"/>
      <c r="AB11" s="1257"/>
      <c r="AC11" s="8"/>
      <c r="AD11" s="8"/>
      <c r="AE11" s="8"/>
      <c r="AF11" s="8"/>
      <c r="AG11" s="8"/>
      <c r="AH11" s="8"/>
    </row>
    <row r="12" spans="1:34" s="4" customFormat="1" ht="12.75" customHeight="1" x14ac:dyDescent="0.2">
      <c r="A12" s="10"/>
      <c r="B12" s="1188">
        <f>estudo_version_report</f>
        <v>0</v>
      </c>
      <c r="C12" s="1040">
        <f ca="1">TODAY()</f>
        <v>45712</v>
      </c>
      <c r="D12" s="997"/>
      <c r="E12" s="998"/>
      <c r="F12" s="1191" t="str">
        <f>estudo_initials_engineer</f>
        <v>YBN</v>
      </c>
      <c r="G12" s="1192"/>
      <c r="H12" s="1193"/>
      <c r="I12" s="1191" t="str">
        <f>estudo_initials_reviewer</f>
        <v>NSI</v>
      </c>
      <c r="J12" s="1192"/>
      <c r="K12" s="1193"/>
      <c r="L12" s="1197" t="str">
        <f>estudo_initials_aprover</f>
        <v>CFS</v>
      </c>
      <c r="M12" s="1198"/>
      <c r="N12" s="1199"/>
      <c r="O12" s="8"/>
      <c r="P12" s="1050"/>
      <c r="Q12" s="1055"/>
      <c r="R12" s="1055"/>
      <c r="S12" s="1055"/>
      <c r="T12" s="1055"/>
      <c r="U12" s="1055"/>
      <c r="V12" s="1055"/>
      <c r="W12" s="1055"/>
      <c r="X12" s="1055"/>
      <c r="Y12" s="1055"/>
      <c r="Z12" s="1055"/>
      <c r="AA12" s="1055"/>
      <c r="AB12" s="1051"/>
      <c r="AC12" s="8"/>
      <c r="AD12" s="8"/>
      <c r="AE12" s="8"/>
      <c r="AF12" s="8"/>
      <c r="AG12" s="8"/>
      <c r="AH12" s="8"/>
    </row>
    <row r="13" spans="1:34" s="4" customFormat="1" ht="12.75" customHeight="1" x14ac:dyDescent="0.2">
      <c r="A13" s="10"/>
      <c r="B13" s="1189"/>
      <c r="C13" s="999"/>
      <c r="D13" s="1000"/>
      <c r="E13" s="1001"/>
      <c r="F13" s="1194"/>
      <c r="G13" s="1195"/>
      <c r="H13" s="1196"/>
      <c r="I13" s="1194"/>
      <c r="J13" s="1195"/>
      <c r="K13" s="1196"/>
      <c r="L13" s="1197"/>
      <c r="M13" s="1198"/>
      <c r="N13" s="1199"/>
      <c r="O13" s="8"/>
      <c r="P13" s="1050"/>
      <c r="Q13" s="1055"/>
      <c r="R13" s="1055"/>
      <c r="S13" s="1055"/>
      <c r="T13" s="1055"/>
      <c r="U13" s="1055"/>
      <c r="V13" s="1055"/>
      <c r="W13" s="1055"/>
      <c r="X13" s="1055"/>
      <c r="Y13" s="1055"/>
      <c r="Z13" s="1055"/>
      <c r="AA13" s="1055"/>
      <c r="AB13" s="1051"/>
      <c r="AC13" s="8"/>
      <c r="AD13" s="8"/>
      <c r="AE13" s="8"/>
      <c r="AF13" s="8"/>
      <c r="AG13" s="8"/>
      <c r="AH13" s="8"/>
    </row>
    <row r="14" spans="1:34" s="4" customFormat="1" x14ac:dyDescent="0.2">
      <c r="A14" s="10"/>
      <c r="B14" s="1190"/>
      <c r="C14" s="1200" t="s">
        <v>1372</v>
      </c>
      <c r="D14" s="1201"/>
      <c r="E14" s="1201"/>
      <c r="F14" s="1201"/>
      <c r="G14" s="1201"/>
      <c r="H14" s="1201"/>
      <c r="I14" s="1201"/>
      <c r="J14" s="1201"/>
      <c r="K14" s="1201"/>
      <c r="L14" s="1201"/>
      <c r="M14" s="1201"/>
      <c r="N14" s="1202"/>
      <c r="O14" s="8"/>
      <c r="P14" s="1050"/>
      <c r="Q14" s="1055"/>
      <c r="R14" s="1055"/>
      <c r="S14" s="1055"/>
      <c r="T14" s="1055"/>
      <c r="U14" s="1055"/>
      <c r="V14" s="1055"/>
      <c r="W14" s="1055"/>
      <c r="X14" s="1055"/>
      <c r="Y14" s="1055"/>
      <c r="Z14" s="1055"/>
      <c r="AA14" s="1055"/>
      <c r="AB14" s="1051"/>
      <c r="AC14" s="8"/>
      <c r="AD14" s="8"/>
      <c r="AE14" s="8"/>
      <c r="AF14" s="8"/>
      <c r="AG14" s="8"/>
      <c r="AH14" s="8"/>
    </row>
    <row r="15" spans="1:34" s="4" customFormat="1" ht="12.75" customHeight="1" x14ac:dyDescent="0.2">
      <c r="A15" s="10"/>
      <c r="B15" s="1203" t="s">
        <v>1373</v>
      </c>
      <c r="C15" s="1206" t="str">
        <f>_xlfn.CONCAT("ESTUDO DE CVD DE 2ª EXTREMIDADE DA LINHA DE"," ",estudo_line_type," ","no"," ",estudo_connection_type," ",estudo_well_name)</f>
        <v>ESTUDO DE CVD DE 2ª EXTREMIDADE DA LINHA DE IG no Poço 8-LL-44-RJS</v>
      </c>
      <c r="D15" s="1207"/>
      <c r="E15" s="1207"/>
      <c r="F15" s="1207"/>
      <c r="G15" s="1207"/>
      <c r="H15" s="1207"/>
      <c r="I15" s="1207"/>
      <c r="J15" s="1207"/>
      <c r="K15" s="1207"/>
      <c r="L15" s="1207"/>
      <c r="M15" s="1207"/>
      <c r="N15" s="1208"/>
      <c r="O15" s="8"/>
      <c r="P15" s="1050"/>
      <c r="Q15" s="1055"/>
      <c r="R15" s="1055"/>
      <c r="S15" s="1055"/>
      <c r="T15" s="1055"/>
      <c r="U15" s="1055"/>
      <c r="V15" s="1055"/>
      <c r="W15" s="1055"/>
      <c r="X15" s="1055"/>
      <c r="Y15" s="1055"/>
      <c r="Z15" s="1055"/>
      <c r="AA15" s="1055"/>
      <c r="AB15" s="1051"/>
      <c r="AC15" s="8"/>
      <c r="AD15" s="8"/>
      <c r="AE15" s="8"/>
      <c r="AF15" s="8"/>
      <c r="AG15" s="8"/>
      <c r="AH15" s="8"/>
    </row>
    <row r="16" spans="1:34" s="4" customFormat="1" ht="12.75" customHeight="1" x14ac:dyDescent="0.2">
      <c r="A16" s="10"/>
      <c r="B16" s="1204"/>
      <c r="C16" s="1209"/>
      <c r="D16" s="1210"/>
      <c r="E16" s="1210"/>
      <c r="F16" s="1210"/>
      <c r="G16" s="1210"/>
      <c r="H16" s="1210"/>
      <c r="I16" s="1210"/>
      <c r="J16" s="1210"/>
      <c r="K16" s="1210"/>
      <c r="L16" s="1210"/>
      <c r="M16" s="1210"/>
      <c r="N16" s="1211"/>
      <c r="O16" s="8"/>
      <c r="P16" s="1050"/>
      <c r="Q16" s="1055"/>
      <c r="R16" s="1055"/>
      <c r="S16" s="1055"/>
      <c r="T16" s="1055"/>
      <c r="U16" s="1055"/>
      <c r="V16" s="1055"/>
      <c r="W16" s="1055"/>
      <c r="X16" s="1055"/>
      <c r="Y16" s="1055"/>
      <c r="Z16" s="1055"/>
      <c r="AA16" s="1055"/>
      <c r="AB16" s="1051"/>
      <c r="AC16" s="8"/>
      <c r="AD16" s="8"/>
      <c r="AE16" s="8"/>
      <c r="AF16" s="8"/>
      <c r="AG16" s="8"/>
      <c r="AH16" s="8"/>
    </row>
    <row r="17" spans="1:34" s="4" customFormat="1" x14ac:dyDescent="0.2">
      <c r="A17" s="10"/>
      <c r="B17" s="1205"/>
      <c r="C17" s="1212"/>
      <c r="D17" s="1213"/>
      <c r="E17" s="1213"/>
      <c r="F17" s="1213"/>
      <c r="G17" s="1213"/>
      <c r="H17" s="1213"/>
      <c r="I17" s="1213"/>
      <c r="J17" s="1213"/>
      <c r="K17" s="1213"/>
      <c r="L17" s="1213"/>
      <c r="M17" s="1213"/>
      <c r="N17" s="1214"/>
      <c r="O17" s="8"/>
      <c r="P17" s="1050"/>
      <c r="Q17" s="1055"/>
      <c r="R17" s="1055"/>
      <c r="S17" s="1055"/>
      <c r="T17" s="1055"/>
      <c r="U17" s="1055"/>
      <c r="V17" s="1055"/>
      <c r="W17" s="1055"/>
      <c r="X17" s="1055"/>
      <c r="Y17" s="1055"/>
      <c r="Z17" s="1055"/>
      <c r="AA17" s="1055"/>
      <c r="AB17" s="1051"/>
      <c r="AC17" s="8"/>
      <c r="AD17" s="8"/>
      <c r="AE17" s="8"/>
      <c r="AF17" s="8"/>
      <c r="AG17" s="8"/>
      <c r="AH17" s="8"/>
    </row>
    <row r="18" spans="1:34" s="4" customFormat="1" ht="13.5" customHeight="1" thickBot="1" x14ac:dyDescent="0.25">
      <c r="A18" s="10"/>
      <c r="B18" s="694" t="s">
        <v>1383</v>
      </c>
      <c r="C18" s="1215" t="str">
        <f xml:space="preserve"> IF(ISBLANK(estudo_requester),"",estudo_requester)</f>
        <v>Alef Nascimento; João Gabriel Santos</v>
      </c>
      <c r="D18" s="1216"/>
      <c r="E18" s="1216"/>
      <c r="F18" s="1216"/>
      <c r="G18" s="1216"/>
      <c r="H18" s="1216"/>
      <c r="I18" s="1216" t="str">
        <f>IF(ISBLANK(estudo_vessel_coordinator),"",estudo_vessel_coordinator)</f>
        <v>André Paulo</v>
      </c>
      <c r="J18" s="1216"/>
      <c r="K18" s="1216"/>
      <c r="L18" s="1216"/>
      <c r="M18" s="1216"/>
      <c r="N18" s="1219"/>
      <c r="O18" s="8"/>
      <c r="P18" s="1050"/>
      <c r="Q18" s="1055"/>
      <c r="R18" s="1055"/>
      <c r="S18" s="1055"/>
      <c r="T18" s="1055"/>
      <c r="U18" s="1055"/>
      <c r="V18" s="1055"/>
      <c r="W18" s="1055"/>
      <c r="X18" s="1055"/>
      <c r="Y18" s="1055"/>
      <c r="Z18" s="1055"/>
      <c r="AA18" s="1055"/>
      <c r="AB18" s="1051"/>
      <c r="AC18" s="8"/>
      <c r="AD18" s="8"/>
      <c r="AE18" s="8"/>
      <c r="AF18" s="8"/>
      <c r="AG18" s="8"/>
      <c r="AH18" s="8"/>
    </row>
    <row r="19" spans="1:34" s="4" customFormat="1" x14ac:dyDescent="0.2">
      <c r="A19" s="8"/>
      <c r="B19" s="11"/>
      <c r="C19" s="8"/>
      <c r="D19" s="8"/>
      <c r="E19" s="8"/>
      <c r="F19" s="8"/>
      <c r="G19" s="8"/>
      <c r="H19" s="8"/>
      <c r="I19" s="8"/>
      <c r="J19" s="8"/>
      <c r="K19" s="8"/>
      <c r="L19" s="8"/>
      <c r="M19" s="11"/>
      <c r="N19" s="11"/>
      <c r="O19" s="8"/>
      <c r="P19" s="1050"/>
      <c r="Q19" s="1055"/>
      <c r="R19" s="1055"/>
      <c r="S19" s="1055"/>
      <c r="T19" s="1055"/>
      <c r="U19" s="1055"/>
      <c r="V19" s="1055"/>
      <c r="W19" s="1055"/>
      <c r="X19" s="1055"/>
      <c r="Y19" s="1055"/>
      <c r="Z19" s="1055"/>
      <c r="AA19" s="1055"/>
      <c r="AB19" s="1051"/>
      <c r="AC19" s="8"/>
      <c r="AD19" s="8"/>
      <c r="AE19" s="8"/>
      <c r="AF19" s="8"/>
      <c r="AG19" s="8"/>
      <c r="AH19" s="8"/>
    </row>
    <row r="20" spans="1:34" s="4" customFormat="1" x14ac:dyDescent="0.2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1050"/>
      <c r="Q20" s="1055"/>
      <c r="R20" s="1055"/>
      <c r="S20" s="1055"/>
      <c r="T20" s="1055"/>
      <c r="U20" s="1055"/>
      <c r="V20" s="1055"/>
      <c r="W20" s="1055"/>
      <c r="X20" s="1055"/>
      <c r="Y20" s="1055"/>
      <c r="Z20" s="1055"/>
      <c r="AA20" s="1055"/>
      <c r="AB20" s="1051"/>
      <c r="AC20" s="8"/>
      <c r="AD20" s="8"/>
      <c r="AE20" s="8"/>
      <c r="AF20" s="8"/>
      <c r="AG20" s="8"/>
      <c r="AH20" s="8"/>
    </row>
    <row r="21" spans="1:34" s="4" customFormat="1" ht="12.75" customHeight="1" x14ac:dyDescent="0.2">
      <c r="A21" s="8"/>
      <c r="B21" s="1136" t="s">
        <v>1482</v>
      </c>
      <c r="C21" s="1136"/>
      <c r="D21" s="1136"/>
      <c r="E21" s="1136"/>
      <c r="F21" s="1136"/>
      <c r="G21" s="1136"/>
      <c r="H21" s="1136"/>
      <c r="I21" s="1136"/>
      <c r="J21" s="1136"/>
      <c r="K21" s="1136"/>
      <c r="L21" s="1136"/>
      <c r="M21" s="1136"/>
      <c r="N21" s="1136"/>
      <c r="O21" s="8"/>
      <c r="P21" s="1050"/>
      <c r="Q21" s="1055"/>
      <c r="R21" s="1055"/>
      <c r="S21" s="1055"/>
      <c r="T21" s="1055"/>
      <c r="U21" s="1055"/>
      <c r="V21" s="1055"/>
      <c r="W21" s="1055"/>
      <c r="X21" s="1055"/>
      <c r="Y21" s="1055"/>
      <c r="Z21" s="1055"/>
      <c r="AA21" s="1055"/>
      <c r="AB21" s="1051"/>
      <c r="AC21" s="8"/>
      <c r="AD21" s="8"/>
      <c r="AE21" s="8"/>
      <c r="AF21" s="8"/>
      <c r="AG21" s="8"/>
      <c r="AH21" s="8"/>
    </row>
    <row r="22" spans="1:34" s="4" customFormat="1" ht="12.75" customHeight="1" x14ac:dyDescent="0.2">
      <c r="A22" s="8"/>
      <c r="B22" s="1157"/>
      <c r="C22" s="1157"/>
      <c r="D22" s="1157"/>
      <c r="E22" s="1157"/>
      <c r="F22" s="1157"/>
      <c r="G22" s="1157"/>
      <c r="H22" s="1157"/>
      <c r="I22" s="1157"/>
      <c r="J22" s="1157"/>
      <c r="K22" s="1157"/>
      <c r="L22" s="1157"/>
      <c r="M22" s="1157"/>
      <c r="N22" s="1157"/>
      <c r="O22" s="8"/>
      <c r="P22" s="1050"/>
      <c r="Q22" s="1055"/>
      <c r="R22" s="1055"/>
      <c r="S22" s="1055"/>
      <c r="T22" s="1055"/>
      <c r="U22" s="1055"/>
      <c r="V22" s="1055"/>
      <c r="W22" s="1055"/>
      <c r="X22" s="1055"/>
      <c r="Y22" s="1055"/>
      <c r="Z22" s="1055"/>
      <c r="AA22" s="1055"/>
      <c r="AB22" s="1051"/>
      <c r="AC22" s="8"/>
      <c r="AD22" s="8"/>
      <c r="AE22" s="8"/>
      <c r="AF22" s="8"/>
      <c r="AG22" s="8"/>
      <c r="AH22" s="8"/>
    </row>
    <row r="23" spans="1:34" s="4" customFormat="1" ht="12.75" customHeight="1" x14ac:dyDescent="0.2">
      <c r="A23" s="10"/>
      <c r="B23" s="1220" t="s">
        <v>1385</v>
      </c>
      <c r="C23" s="1220"/>
      <c r="D23" s="1220"/>
      <c r="E23" s="1220"/>
      <c r="F23" s="1220"/>
      <c r="G23" s="1220"/>
      <c r="H23" s="1221"/>
      <c r="I23" s="1222" t="s">
        <v>1386</v>
      </c>
      <c r="J23" s="1222"/>
      <c r="K23" s="1222"/>
      <c r="L23" s="1222"/>
      <c r="M23" s="1222"/>
      <c r="N23" s="1223"/>
      <c r="O23" s="8"/>
      <c r="P23" s="1050"/>
      <c r="Q23" s="1055"/>
      <c r="R23" s="1055"/>
      <c r="S23" s="1055"/>
      <c r="T23" s="1055"/>
      <c r="U23" s="1055"/>
      <c r="V23" s="1055"/>
      <c r="W23" s="1055"/>
      <c r="X23" s="1055"/>
      <c r="Y23" s="1055"/>
      <c r="Z23" s="1055"/>
      <c r="AA23" s="1055"/>
      <c r="AB23" s="1051"/>
      <c r="AC23" s="8"/>
      <c r="AD23" s="8"/>
      <c r="AE23" s="8"/>
      <c r="AF23" s="8"/>
      <c r="AG23" s="8"/>
      <c r="AH23" s="8"/>
    </row>
    <row r="24" spans="1:34" s="4" customFormat="1" x14ac:dyDescent="0.2">
      <c r="A24" s="10"/>
      <c r="B24" s="32" t="s">
        <v>1390</v>
      </c>
      <c r="C24" s="1088" t="s">
        <v>2156</v>
      </c>
      <c r="D24" s="1088"/>
      <c r="E24" s="1088"/>
      <c r="F24" s="1088"/>
      <c r="G24" s="1088"/>
      <c r="H24" s="1170"/>
      <c r="I24" s="32" t="s">
        <v>1392</v>
      </c>
      <c r="J24" s="1088" t="s">
        <v>1393</v>
      </c>
      <c r="K24" s="1088"/>
      <c r="L24" s="1088"/>
      <c r="M24" s="1088"/>
      <c r="N24" s="1089"/>
      <c r="O24" s="12"/>
      <c r="P24" s="1050"/>
      <c r="Q24" s="1055"/>
      <c r="R24" s="1055"/>
      <c r="S24" s="1055"/>
      <c r="T24" s="1055"/>
      <c r="U24" s="1055"/>
      <c r="V24" s="1055"/>
      <c r="W24" s="1055"/>
      <c r="X24" s="1055"/>
      <c r="Y24" s="1055"/>
      <c r="Z24" s="1055"/>
      <c r="AA24" s="1055"/>
      <c r="AB24" s="1051"/>
      <c r="AC24" s="8"/>
      <c r="AD24" s="8"/>
      <c r="AE24" s="8"/>
      <c r="AF24" s="8"/>
      <c r="AG24" s="8"/>
      <c r="AH24" s="8"/>
    </row>
    <row r="25" spans="1:34" s="4" customFormat="1" x14ac:dyDescent="0.2">
      <c r="A25" s="10"/>
      <c r="B25" s="1217" t="s">
        <v>1394</v>
      </c>
      <c r="C25" s="1218"/>
      <c r="D25" s="1111" t="str">
        <f>_xlfn.CONCAT(estudo_connection_type,"  ",estudo_well_name)</f>
        <v>Poço  8-LL-44-RJS</v>
      </c>
      <c r="E25" s="1111"/>
      <c r="F25" s="1111"/>
      <c r="G25" s="1111"/>
      <c r="H25" s="1118"/>
      <c r="I25" s="69" t="str">
        <f>_xlfn.CONCAT(estudo_line_type,":")</f>
        <v>IG:</v>
      </c>
      <c r="J25" s="1111" t="s">
        <v>1395</v>
      </c>
      <c r="K25" s="1111"/>
      <c r="L25" s="1111"/>
      <c r="M25" s="1111"/>
      <c r="N25" s="1141"/>
      <c r="O25" s="12"/>
      <c r="P25" s="1050"/>
      <c r="Q25" s="1055"/>
      <c r="R25" s="1055"/>
      <c r="S25" s="1055"/>
      <c r="T25" s="1055"/>
      <c r="U25" s="1055"/>
      <c r="V25" s="1055"/>
      <c r="W25" s="1055"/>
      <c r="X25" s="1055"/>
      <c r="Y25" s="1055"/>
      <c r="Z25" s="1055"/>
      <c r="AA25" s="1055"/>
      <c r="AB25" s="1051"/>
      <c r="AC25" s="8"/>
      <c r="AD25" s="8"/>
      <c r="AE25" s="8"/>
      <c r="AF25" s="8"/>
      <c r="AG25" s="8"/>
      <c r="AH25" s="8"/>
    </row>
    <row r="26" spans="1:34" s="4" customFormat="1" ht="12.75" customHeight="1" x14ac:dyDescent="0.2">
      <c r="A26" s="10"/>
      <c r="B26" s="1186" t="s">
        <v>1396</v>
      </c>
      <c r="C26" s="1187"/>
      <c r="D26" s="1111" t="str">
        <f>_xlfn.CONCAT(Values!C3," ","[m]")</f>
        <v>2240 [m]</v>
      </c>
      <c r="E26" s="1111"/>
      <c r="F26" s="1111"/>
      <c r="G26" s="1111"/>
      <c r="H26" s="1118"/>
      <c r="I26" s="678" t="s">
        <v>1397</v>
      </c>
      <c r="J26" s="1111" t="s">
        <v>1398</v>
      </c>
      <c r="K26" s="1111"/>
      <c r="L26" s="1111"/>
      <c r="M26" s="1111"/>
      <c r="N26" s="1141"/>
      <c r="O26" s="8"/>
      <c r="P26" s="1050"/>
      <c r="Q26" s="1055"/>
      <c r="R26" s="1055"/>
      <c r="S26" s="1055"/>
      <c r="T26" s="1055"/>
      <c r="U26" s="1055"/>
      <c r="V26" s="1055"/>
      <c r="W26" s="1055"/>
      <c r="X26" s="1055"/>
      <c r="Y26" s="1055"/>
      <c r="Z26" s="1055"/>
      <c r="AA26" s="1055"/>
      <c r="AB26" s="1051"/>
      <c r="AC26" s="8"/>
      <c r="AD26" s="8"/>
      <c r="AE26" s="8"/>
      <c r="AF26" s="8"/>
      <c r="AG26" s="8"/>
      <c r="AH26" s="8"/>
    </row>
    <row r="27" spans="1:34" s="4" customFormat="1" ht="12.75" customHeight="1" x14ac:dyDescent="0.2">
      <c r="A27" s="10"/>
      <c r="B27" s="1186" t="s">
        <v>1400</v>
      </c>
      <c r="C27" s="1187"/>
      <c r="D27" s="1111" t="str">
        <f xml:space="preserve"> IF(ISBLANK(estudo_vessel_name)," ",estudo_vessel_name)</f>
        <v>Skandi Açu</v>
      </c>
      <c r="E27" s="1111"/>
      <c r="F27" s="1111"/>
      <c r="G27" s="1111"/>
      <c r="H27" s="1118"/>
      <c r="I27" s="69" t="s">
        <v>1401</v>
      </c>
      <c r="J27" s="1111" t="s">
        <v>1402</v>
      </c>
      <c r="K27" s="1111"/>
      <c r="L27" s="1111"/>
      <c r="M27" s="1111"/>
      <c r="N27" s="1141"/>
      <c r="O27" s="8"/>
      <c r="P27" s="1050"/>
      <c r="Q27" s="1055"/>
      <c r="R27" s="1055"/>
      <c r="S27" s="1055"/>
      <c r="T27" s="1055"/>
      <c r="U27" s="1055"/>
      <c r="V27" s="1055"/>
      <c r="W27" s="1055"/>
      <c r="X27" s="1055"/>
      <c r="Y27" s="1055"/>
      <c r="Z27" s="1055"/>
      <c r="AA27" s="1055"/>
      <c r="AB27" s="1051"/>
      <c r="AC27" s="8"/>
      <c r="AD27" s="8"/>
      <c r="AE27" s="8"/>
      <c r="AF27" s="8"/>
      <c r="AG27" s="8"/>
      <c r="AH27" s="8"/>
    </row>
    <row r="28" spans="1:34" s="4" customFormat="1" ht="12.75" customHeight="1" x14ac:dyDescent="0.2">
      <c r="A28" s="10"/>
      <c r="B28" s="70" t="s">
        <v>1403</v>
      </c>
      <c r="C28" s="1111" t="str">
        <f>IF(ISBLANK(estudo_field_name),"",estudo_field_name)</f>
        <v>Lula</v>
      </c>
      <c r="D28" s="1111"/>
      <c r="E28" s="1111"/>
      <c r="F28" s="1111"/>
      <c r="G28" s="1111"/>
      <c r="H28" s="1118"/>
      <c r="I28" s="69" t="s">
        <v>1404</v>
      </c>
      <c r="J28" s="1111" t="s">
        <v>1405</v>
      </c>
      <c r="K28" s="1111"/>
      <c r="L28" s="1111"/>
      <c r="M28" s="1111"/>
      <c r="N28" s="1141"/>
      <c r="O28" s="8"/>
      <c r="P28" s="1050"/>
      <c r="Q28" s="1055"/>
      <c r="R28" s="1055"/>
      <c r="S28" s="1055"/>
      <c r="T28" s="1055"/>
      <c r="U28" s="1055"/>
      <c r="V28" s="1055"/>
      <c r="W28" s="1055"/>
      <c r="X28" s="1055"/>
      <c r="Y28" s="1055"/>
      <c r="Z28" s="1055"/>
      <c r="AA28" s="1055"/>
      <c r="AB28" s="1051"/>
      <c r="AC28" s="8"/>
      <c r="AD28" s="8"/>
      <c r="AE28" s="8"/>
      <c r="AF28" s="8"/>
      <c r="AG28" s="8"/>
      <c r="AH28" s="8"/>
    </row>
    <row r="29" spans="1:34" s="4" customFormat="1" ht="12.75" customHeight="1" x14ac:dyDescent="0.2">
      <c r="A29" s="10"/>
      <c r="B29" s="12" t="s">
        <v>1406</v>
      </c>
      <c r="C29" s="1111" t="str">
        <f>_xlfn.CONCAT("ORCAFLEX versão"," ", postproc_orcaflex_version)</f>
        <v>ORCAFLEX versão 0</v>
      </c>
      <c r="D29" s="1111"/>
      <c r="E29" s="1111"/>
      <c r="F29" s="1111"/>
      <c r="G29" s="1111"/>
      <c r="H29" s="1118"/>
      <c r="I29" s="69" t="s">
        <v>1407</v>
      </c>
      <c r="J29" s="1081" t="s">
        <v>1408</v>
      </c>
      <c r="K29" s="1081"/>
      <c r="L29" s="1081"/>
      <c r="M29" s="1081"/>
      <c r="N29" s="1082"/>
      <c r="O29" s="8"/>
      <c r="P29" s="1050"/>
      <c r="Q29" s="1055"/>
      <c r="R29" s="1055"/>
      <c r="S29" s="1055"/>
      <c r="T29" s="1055"/>
      <c r="U29" s="1055"/>
      <c r="V29" s="1055"/>
      <c r="W29" s="1055"/>
      <c r="X29" s="1055"/>
      <c r="Y29" s="1055"/>
      <c r="Z29" s="1055"/>
      <c r="AA29" s="1055"/>
      <c r="AB29" s="1051"/>
      <c r="AC29" s="8"/>
      <c r="AD29" s="8"/>
      <c r="AE29" s="8"/>
      <c r="AF29" s="8"/>
      <c r="AG29" s="8"/>
      <c r="AH29" s="8"/>
    </row>
    <row r="30" spans="1:34" s="4" customFormat="1" x14ac:dyDescent="0.2">
      <c r="A30" s="10"/>
      <c r="B30" s="1224" t="s">
        <v>1409</v>
      </c>
      <c r="C30" s="1225"/>
      <c r="D30" s="1225"/>
      <c r="E30" s="1225"/>
      <c r="F30" s="1225"/>
      <c r="G30" s="1225"/>
      <c r="H30" s="1225"/>
      <c r="I30" s="1225"/>
      <c r="J30" s="1225"/>
      <c r="K30" s="1225"/>
      <c r="L30" s="1225"/>
      <c r="M30" s="1225"/>
      <c r="N30" s="1226"/>
      <c r="O30" s="8"/>
      <c r="P30" s="1050"/>
      <c r="Q30" s="1055"/>
      <c r="R30" s="1055"/>
      <c r="S30" s="1055"/>
      <c r="T30" s="1055"/>
      <c r="U30" s="1055"/>
      <c r="V30" s="1055"/>
      <c r="W30" s="1055"/>
      <c r="X30" s="1055"/>
      <c r="Y30" s="1055"/>
      <c r="Z30" s="1055"/>
      <c r="AA30" s="1055"/>
      <c r="AB30" s="1051"/>
      <c r="AC30" s="8"/>
      <c r="AD30" s="8"/>
      <c r="AE30" s="8"/>
      <c r="AF30" s="8"/>
      <c r="AG30" s="8"/>
      <c r="AH30" s="8"/>
    </row>
    <row r="31" spans="1:34" s="4" customFormat="1" x14ac:dyDescent="0.2">
      <c r="A31" s="10"/>
      <c r="B31" s="71" t="s">
        <v>1410</v>
      </c>
      <c r="C31" s="1227" t="s">
        <v>1411</v>
      </c>
      <c r="D31" s="1228"/>
      <c r="E31" s="1229"/>
      <c r="F31" s="13" t="s">
        <v>1412</v>
      </c>
      <c r="G31" s="1179" t="s">
        <v>1413</v>
      </c>
      <c r="H31" s="1180"/>
      <c r="I31" s="1180"/>
      <c r="J31" s="1180"/>
      <c r="K31" s="1180"/>
      <c r="L31" s="1180"/>
      <c r="M31" s="1180"/>
      <c r="N31" s="1181"/>
      <c r="O31" s="8"/>
      <c r="P31" s="1050"/>
      <c r="Q31" s="1055"/>
      <c r="R31" s="1055"/>
      <c r="S31" s="1055"/>
      <c r="T31" s="1055"/>
      <c r="U31" s="1055"/>
      <c r="V31" s="1055"/>
      <c r="W31" s="1055"/>
      <c r="X31" s="1055"/>
      <c r="Y31" s="1055"/>
      <c r="Z31" s="1055"/>
      <c r="AA31" s="1055"/>
      <c r="AB31" s="1051"/>
      <c r="AC31" s="8"/>
      <c r="AD31" s="8"/>
      <c r="AE31" s="8"/>
      <c r="AF31" s="8"/>
      <c r="AG31" s="8"/>
      <c r="AH31" s="8"/>
    </row>
    <row r="32" spans="1:34" s="4" customFormat="1" ht="12.75" customHeight="1" x14ac:dyDescent="0.2">
      <c r="A32" s="10"/>
      <c r="B32" s="1168" t="s">
        <v>1414</v>
      </c>
      <c r="C32" s="1169" t="str">
        <f xml:space="preserve"> IF(ISBLANK(estudo_rl_doc),"",estudo_rl_doc)</f>
        <v/>
      </c>
      <c r="D32" s="1088"/>
      <c r="E32" s="1170"/>
      <c r="F32" s="1173">
        <f xml:space="preserve"> estudo_rl_rev</f>
        <v>0</v>
      </c>
      <c r="G32" s="1169" t="str">
        <f xml:space="preserve"> IF(ISBLANK(estudo_rl_titulo),"",estudo_rl_titulo)</f>
        <v/>
      </c>
      <c r="H32" s="1088"/>
      <c r="I32" s="1088"/>
      <c r="J32" s="1088"/>
      <c r="K32" s="1088"/>
      <c r="L32" s="1088"/>
      <c r="M32" s="1088"/>
      <c r="N32" s="1089"/>
      <c r="O32" s="8"/>
      <c r="P32" s="1050"/>
      <c r="Q32" s="1055"/>
      <c r="R32" s="1055"/>
      <c r="S32" s="1055"/>
      <c r="T32" s="1055"/>
      <c r="U32" s="1055"/>
      <c r="V32" s="1055"/>
      <c r="W32" s="1055"/>
      <c r="X32" s="1055"/>
      <c r="Y32" s="1055"/>
      <c r="Z32" s="1055"/>
      <c r="AA32" s="1055"/>
      <c r="AB32" s="1051"/>
      <c r="AC32" s="8"/>
      <c r="AD32" s="8"/>
      <c r="AE32" s="8"/>
      <c r="AF32" s="8"/>
      <c r="AG32" s="8"/>
      <c r="AH32" s="8"/>
    </row>
    <row r="33" spans="1:34" s="4" customFormat="1" x14ac:dyDescent="0.2">
      <c r="A33" s="10"/>
      <c r="B33" s="1182"/>
      <c r="C33" s="1183"/>
      <c r="D33" s="1081"/>
      <c r="E33" s="1184"/>
      <c r="F33" s="1185"/>
      <c r="G33" s="1183"/>
      <c r="H33" s="1081"/>
      <c r="I33" s="1081"/>
      <c r="J33" s="1081"/>
      <c r="K33" s="1081"/>
      <c r="L33" s="1081"/>
      <c r="M33" s="1081"/>
      <c r="N33" s="1082"/>
      <c r="O33" s="8"/>
      <c r="P33" s="1064" t="s">
        <v>1444</v>
      </c>
      <c r="Q33" s="1175"/>
      <c r="R33" s="1175" t="s">
        <v>1389</v>
      </c>
      <c r="S33" s="1175"/>
      <c r="T33" s="1175" t="s">
        <v>1445</v>
      </c>
      <c r="U33" s="1175"/>
      <c r="V33" s="1175" t="s">
        <v>1446</v>
      </c>
      <c r="W33" s="1175"/>
      <c r="X33" s="1175" t="s">
        <v>1447</v>
      </c>
      <c r="Y33" s="1175"/>
      <c r="Z33" s="1175" t="s">
        <v>1448</v>
      </c>
      <c r="AA33" s="1175"/>
      <c r="AB33" s="1066"/>
      <c r="AC33" s="8"/>
      <c r="AD33" s="8"/>
      <c r="AE33" s="8"/>
      <c r="AF33" s="8"/>
      <c r="AG33" s="8"/>
      <c r="AH33" s="8"/>
    </row>
    <row r="34" spans="1:34" s="4" customFormat="1" outlineLevel="1" x14ac:dyDescent="0.2">
      <c r="A34" s="10"/>
      <c r="B34" s="1168" t="s">
        <v>1415</v>
      </c>
      <c r="C34" s="1169" t="str">
        <f xml:space="preserve"> IF(ISBLANK(estudo_rt_doc),"",estudo_rt_doc)</f>
        <v>RT-2691</v>
      </c>
      <c r="D34" s="1088"/>
      <c r="E34" s="1170"/>
      <c r="F34" s="1173">
        <f xml:space="preserve"> estudo_rt_rev</f>
        <v>0</v>
      </c>
      <c r="G34" s="1169" t="str">
        <f xml:space="preserve"> IF(ISBLANK(estudo_rt_titulo),"",estudo_rt_titulo)</f>
        <v>CVD de 1ª da linha de IG do MSIAG-01 do FPSO Cidade de Itaguaí</v>
      </c>
      <c r="H34" s="1088"/>
      <c r="I34" s="1088"/>
      <c r="J34" s="1088"/>
      <c r="K34" s="1088"/>
      <c r="L34" s="1088"/>
      <c r="M34" s="1088"/>
      <c r="N34" s="1089"/>
      <c r="O34" s="8"/>
      <c r="P34" s="1064"/>
      <c r="Q34" s="1175"/>
      <c r="R34" s="1175"/>
      <c r="S34" s="1175"/>
      <c r="T34" s="1175"/>
      <c r="U34" s="1175"/>
      <c r="V34" s="1175"/>
      <c r="W34" s="1175"/>
      <c r="X34" s="1175"/>
      <c r="Y34" s="1175"/>
      <c r="Z34" s="1175"/>
      <c r="AA34" s="1175"/>
      <c r="AB34" s="1066"/>
      <c r="AC34" s="8"/>
      <c r="AD34" s="8"/>
      <c r="AE34" s="8"/>
      <c r="AF34" s="8"/>
      <c r="AG34" s="8"/>
      <c r="AH34" s="8"/>
    </row>
    <row r="35" spans="1:34" s="4" customFormat="1" ht="13.5" outlineLevel="1" thickBot="1" x14ac:dyDescent="0.25">
      <c r="A35" s="10"/>
      <c r="B35" s="1069"/>
      <c r="C35" s="1171"/>
      <c r="D35" s="1151"/>
      <c r="E35" s="1172"/>
      <c r="F35" s="1174"/>
      <c r="G35" s="1171"/>
      <c r="H35" s="1151"/>
      <c r="I35" s="1151"/>
      <c r="J35" s="1151"/>
      <c r="K35" s="1151"/>
      <c r="L35" s="1151"/>
      <c r="M35" s="1151"/>
      <c r="N35" s="1152"/>
      <c r="O35" s="8"/>
      <c r="P35" s="1050">
        <f>cont1_mbr_linha</f>
        <v>0</v>
      </c>
      <c r="Q35" s="1146"/>
      <c r="R35" s="1145">
        <f>cont1_mbr_vert</f>
        <v>0</v>
      </c>
      <c r="S35" s="1146"/>
      <c r="T35" s="1145">
        <f>cont1_bm_vert</f>
        <v>0</v>
      </c>
      <c r="U35" s="1146"/>
      <c r="V35" s="1145">
        <f>cont1_sf_vert</f>
        <v>0</v>
      </c>
      <c r="W35" s="1146"/>
      <c r="X35" s="1145">
        <f>cont1_ey_moment</f>
        <v>0</v>
      </c>
      <c r="Y35" s="1146"/>
      <c r="Z35" s="1117">
        <f>cont1_sf_line_endb</f>
        <v>0</v>
      </c>
      <c r="AA35" s="1117"/>
      <c r="AB35" s="1141"/>
      <c r="AC35" s="8"/>
      <c r="AD35" s="8"/>
      <c r="AE35" s="8"/>
      <c r="AF35" s="8"/>
      <c r="AG35" s="8"/>
      <c r="AH35" s="8"/>
    </row>
    <row r="36" spans="1:34" s="4" customFormat="1" ht="13.5" thickBot="1" x14ac:dyDescent="0.25">
      <c r="A36" s="8"/>
      <c r="B36" s="11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1052"/>
      <c r="Q36" s="1056"/>
      <c r="R36" s="1147"/>
      <c r="S36" s="1056"/>
      <c r="T36" s="1147"/>
      <c r="U36" s="1056"/>
      <c r="V36" s="1147"/>
      <c r="W36" s="1056"/>
      <c r="X36" s="1147"/>
      <c r="Y36" s="1056"/>
      <c r="Z36" s="1151"/>
      <c r="AA36" s="1151"/>
      <c r="AB36" s="1152"/>
      <c r="AC36" s="8"/>
      <c r="AD36" s="8"/>
      <c r="AE36" s="8"/>
      <c r="AF36" s="8"/>
      <c r="AG36" s="8"/>
      <c r="AH36" s="8"/>
    </row>
    <row r="37" spans="1:34" s="4" customFormat="1" x14ac:dyDescent="0.2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1098" t="s">
        <v>1449</v>
      </c>
      <c r="Q37" s="1156"/>
      <c r="R37" s="1156"/>
      <c r="S37" s="1156"/>
      <c r="T37" s="1156"/>
      <c r="U37" s="1156"/>
      <c r="V37" s="1156"/>
      <c r="W37" s="1156"/>
      <c r="X37" s="1156"/>
      <c r="Y37" s="1156"/>
      <c r="Z37" s="1156"/>
      <c r="AA37" s="1156"/>
      <c r="AB37" s="1100"/>
      <c r="AC37" s="8"/>
      <c r="AD37" s="8"/>
      <c r="AE37" s="8"/>
      <c r="AF37" s="8"/>
      <c r="AG37" s="8"/>
      <c r="AH37" s="8"/>
    </row>
    <row r="38" spans="1:34" s="4" customFormat="1" x14ac:dyDescent="0.2">
      <c r="A38" s="8"/>
      <c r="B38" s="1136" t="s">
        <v>1492</v>
      </c>
      <c r="C38" s="1136"/>
      <c r="D38" s="1136"/>
      <c r="E38" s="1136"/>
      <c r="F38" s="1136"/>
      <c r="G38" s="1136"/>
      <c r="H38" s="1136"/>
      <c r="I38" s="1136"/>
      <c r="J38" s="1136"/>
      <c r="K38" s="1136"/>
      <c r="L38" s="1136"/>
      <c r="M38" s="1136"/>
      <c r="N38" s="1136"/>
      <c r="O38" s="8"/>
      <c r="P38" s="1158"/>
      <c r="Q38" s="1159"/>
      <c r="R38" s="1159"/>
      <c r="S38" s="1159"/>
      <c r="T38" s="1159"/>
      <c r="U38" s="1159"/>
      <c r="V38" s="1159"/>
      <c r="W38" s="1159"/>
      <c r="X38" s="1159"/>
      <c r="Y38" s="1159"/>
      <c r="Z38" s="1159"/>
      <c r="AA38" s="1159"/>
      <c r="AB38" s="1160"/>
      <c r="AC38" s="8"/>
      <c r="AD38" s="8"/>
      <c r="AE38" s="8"/>
      <c r="AF38" s="8"/>
      <c r="AG38" s="8"/>
      <c r="AH38" s="8"/>
    </row>
    <row r="39" spans="1:34" s="4" customFormat="1" x14ac:dyDescent="0.2">
      <c r="A39" s="8"/>
      <c r="B39" s="1157"/>
      <c r="C39" s="1157"/>
      <c r="D39" s="1157"/>
      <c r="E39" s="1157"/>
      <c r="F39" s="1157"/>
      <c r="G39" s="1157"/>
      <c r="H39" s="1157"/>
      <c r="I39" s="1157"/>
      <c r="J39" s="1157"/>
      <c r="K39" s="1157"/>
      <c r="L39" s="1157"/>
      <c r="M39" s="1157"/>
      <c r="N39" s="1157"/>
      <c r="O39" s="8"/>
      <c r="P39" s="1158"/>
      <c r="Q39" s="1159"/>
      <c r="R39" s="1159"/>
      <c r="S39" s="1159"/>
      <c r="T39" s="1159"/>
      <c r="U39" s="1159"/>
      <c r="V39" s="1159"/>
      <c r="W39" s="1159"/>
      <c r="X39" s="1159"/>
      <c r="Y39" s="1159"/>
      <c r="Z39" s="1159"/>
      <c r="AA39" s="1159"/>
      <c r="AB39" s="1160"/>
      <c r="AC39" s="8"/>
      <c r="AD39" s="8"/>
      <c r="AE39" s="8"/>
      <c r="AF39" s="8"/>
      <c r="AG39" s="8"/>
      <c r="AH39" s="8"/>
    </row>
    <row r="40" spans="1:34" s="4" customFormat="1" ht="12.75" customHeight="1" x14ac:dyDescent="0.2">
      <c r="A40" s="10"/>
      <c r="B40" s="1164" t="s">
        <v>1417</v>
      </c>
      <c r="C40" s="1164"/>
      <c r="D40" s="1164"/>
      <c r="E40" s="1164"/>
      <c r="F40" s="1164"/>
      <c r="G40" s="1165"/>
      <c r="H40" s="1166" t="s">
        <v>1418</v>
      </c>
      <c r="I40" s="1164"/>
      <c r="J40" s="1164"/>
      <c r="K40" s="1164"/>
      <c r="L40" s="1164"/>
      <c r="M40" s="1164"/>
      <c r="N40" s="1167"/>
      <c r="O40" s="8"/>
      <c r="P40" s="1158"/>
      <c r="Q40" s="1159"/>
      <c r="R40" s="1159"/>
      <c r="S40" s="1159"/>
      <c r="T40" s="1159"/>
      <c r="U40" s="1159"/>
      <c r="V40" s="1159"/>
      <c r="W40" s="1159"/>
      <c r="X40" s="1159"/>
      <c r="Y40" s="1159"/>
      <c r="Z40" s="1159"/>
      <c r="AA40" s="1159"/>
      <c r="AB40" s="1160"/>
      <c r="AC40" s="8"/>
      <c r="AD40" s="8"/>
      <c r="AE40" s="8"/>
      <c r="AF40" s="8"/>
      <c r="AG40" s="8"/>
      <c r="AH40" s="8"/>
    </row>
    <row r="41" spans="1:34" s="4" customFormat="1" x14ac:dyDescent="0.2">
      <c r="A41" s="10"/>
      <c r="B41" s="977" t="s">
        <v>1419</v>
      </c>
      <c r="C41" s="977"/>
      <c r="D41" s="977"/>
      <c r="E41" s="977"/>
      <c r="F41" s="977"/>
      <c r="G41" s="978"/>
      <c r="H41" s="1169"/>
      <c r="I41" s="1088"/>
      <c r="J41" s="1088"/>
      <c r="K41" s="1088"/>
      <c r="L41" s="1088"/>
      <c r="M41" s="1088"/>
      <c r="N41" s="1089"/>
      <c r="O41" s="8"/>
      <c r="P41" s="1158"/>
      <c r="Q41" s="1159"/>
      <c r="R41" s="1159"/>
      <c r="S41" s="1159"/>
      <c r="T41" s="1159"/>
      <c r="U41" s="1159"/>
      <c r="V41" s="1159"/>
      <c r="W41" s="1159"/>
      <c r="X41" s="1159"/>
      <c r="Y41" s="1159"/>
      <c r="Z41" s="1159"/>
      <c r="AA41" s="1159"/>
      <c r="AB41" s="1160"/>
      <c r="AC41" s="8"/>
      <c r="AD41" s="8"/>
      <c r="AE41" s="8"/>
      <c r="AF41" s="8"/>
      <c r="AG41" s="8"/>
      <c r="AH41" s="8"/>
    </row>
    <row r="42" spans="1:34" s="4" customFormat="1" x14ac:dyDescent="0.2">
      <c r="A42" s="10"/>
      <c r="B42" s="980"/>
      <c r="C42" s="980"/>
      <c r="D42" s="980"/>
      <c r="E42" s="980"/>
      <c r="F42" s="980"/>
      <c r="G42" s="981"/>
      <c r="H42" s="1116"/>
      <c r="I42" s="1111"/>
      <c r="J42" s="1111"/>
      <c r="K42" s="1111"/>
      <c r="L42" s="1111"/>
      <c r="M42" s="1111"/>
      <c r="N42" s="1141"/>
      <c r="O42" s="8"/>
      <c r="P42" s="1158"/>
      <c r="Q42" s="1159"/>
      <c r="R42" s="1159"/>
      <c r="S42" s="1159"/>
      <c r="T42" s="1159"/>
      <c r="U42" s="1159"/>
      <c r="V42" s="1159"/>
      <c r="W42" s="1159"/>
      <c r="X42" s="1159"/>
      <c r="Y42" s="1159"/>
      <c r="Z42" s="1159"/>
      <c r="AA42" s="1159"/>
      <c r="AB42" s="1160"/>
      <c r="AC42" s="8"/>
      <c r="AD42" s="8"/>
      <c r="AE42" s="8"/>
      <c r="AF42" s="8"/>
      <c r="AG42" s="8"/>
      <c r="AH42" s="8"/>
    </row>
    <row r="43" spans="1:34" s="4" customFormat="1" ht="12.75" customHeight="1" x14ac:dyDescent="0.2">
      <c r="A43" s="10"/>
      <c r="B43" s="980"/>
      <c r="C43" s="980"/>
      <c r="D43" s="980"/>
      <c r="E43" s="980"/>
      <c r="F43" s="980"/>
      <c r="G43" s="981"/>
      <c r="H43" s="1116"/>
      <c r="I43" s="1111"/>
      <c r="J43" s="1111"/>
      <c r="K43" s="1111"/>
      <c r="L43" s="1111"/>
      <c r="M43" s="1111"/>
      <c r="N43" s="1141"/>
      <c r="O43" s="8"/>
      <c r="P43" s="1158"/>
      <c r="Q43" s="1159"/>
      <c r="R43" s="1159"/>
      <c r="S43" s="1159"/>
      <c r="T43" s="1159"/>
      <c r="U43" s="1159"/>
      <c r="V43" s="1159"/>
      <c r="W43" s="1159"/>
      <c r="X43" s="1159"/>
      <c r="Y43" s="1159"/>
      <c r="Z43" s="1159"/>
      <c r="AA43" s="1159"/>
      <c r="AB43" s="1160"/>
      <c r="AC43" s="8"/>
      <c r="AD43" s="8"/>
      <c r="AE43" s="8"/>
      <c r="AF43" s="8"/>
      <c r="AG43" s="8"/>
      <c r="AH43" s="8"/>
    </row>
    <row r="44" spans="1:34" s="4" customFormat="1" ht="12.75" customHeight="1" x14ac:dyDescent="0.2">
      <c r="A44" s="10"/>
      <c r="B44" s="980"/>
      <c r="C44" s="980"/>
      <c r="D44" s="980"/>
      <c r="E44" s="980"/>
      <c r="F44" s="980"/>
      <c r="G44" s="981"/>
      <c r="H44" s="1116"/>
      <c r="I44" s="1111"/>
      <c r="J44" s="1111"/>
      <c r="K44" s="1111"/>
      <c r="L44" s="1111"/>
      <c r="M44" s="1111"/>
      <c r="N44" s="1141"/>
      <c r="O44" s="8"/>
      <c r="P44" s="1158"/>
      <c r="Q44" s="1159"/>
      <c r="R44" s="1159"/>
      <c r="S44" s="1159"/>
      <c r="T44" s="1159"/>
      <c r="U44" s="1159"/>
      <c r="V44" s="1159"/>
      <c r="W44" s="1159"/>
      <c r="X44" s="1159"/>
      <c r="Y44" s="1159"/>
      <c r="Z44" s="1159"/>
      <c r="AA44" s="1159"/>
      <c r="AB44" s="1160"/>
      <c r="AC44" s="8"/>
      <c r="AD44" s="8"/>
      <c r="AE44" s="8"/>
      <c r="AF44" s="8"/>
      <c r="AG44" s="8"/>
      <c r="AH44" s="8"/>
    </row>
    <row r="45" spans="1:34" s="4" customFormat="1" x14ac:dyDescent="0.2">
      <c r="A45" s="10"/>
      <c r="B45" s="980"/>
      <c r="C45" s="980"/>
      <c r="D45" s="980"/>
      <c r="E45" s="980"/>
      <c r="F45" s="980"/>
      <c r="G45" s="981"/>
      <c r="H45" s="1116"/>
      <c r="I45" s="1111"/>
      <c r="J45" s="1111"/>
      <c r="K45" s="1111"/>
      <c r="L45" s="1111"/>
      <c r="M45" s="1111"/>
      <c r="N45" s="1141"/>
      <c r="O45" s="8"/>
      <c r="P45" s="1158"/>
      <c r="Q45" s="1159"/>
      <c r="R45" s="1159"/>
      <c r="S45" s="1159"/>
      <c r="T45" s="1159"/>
      <c r="U45" s="1159"/>
      <c r="V45" s="1159"/>
      <c r="W45" s="1159"/>
      <c r="X45" s="1159"/>
      <c r="Y45" s="1159"/>
      <c r="Z45" s="1159"/>
      <c r="AA45" s="1159"/>
      <c r="AB45" s="1160"/>
      <c r="AC45" s="8"/>
      <c r="AD45" s="8"/>
      <c r="AE45" s="8"/>
      <c r="AF45" s="8"/>
      <c r="AG45" s="8"/>
      <c r="AH45" s="8"/>
    </row>
    <row r="46" spans="1:34" s="4" customFormat="1" x14ac:dyDescent="0.2">
      <c r="A46" s="10"/>
      <c r="B46" s="980"/>
      <c r="C46" s="980"/>
      <c r="D46" s="980"/>
      <c r="E46" s="980"/>
      <c r="F46" s="980"/>
      <c r="G46" s="981"/>
      <c r="H46" s="1116"/>
      <c r="I46" s="1111"/>
      <c r="J46" s="1111"/>
      <c r="K46" s="1111"/>
      <c r="L46" s="1111"/>
      <c r="M46" s="1111"/>
      <c r="N46" s="1141"/>
      <c r="O46" s="8"/>
      <c r="P46" s="1158"/>
      <c r="Q46" s="1159"/>
      <c r="R46" s="1159"/>
      <c r="S46" s="1159"/>
      <c r="T46" s="1159"/>
      <c r="U46" s="1159"/>
      <c r="V46" s="1159"/>
      <c r="W46" s="1159"/>
      <c r="X46" s="1159"/>
      <c r="Y46" s="1159"/>
      <c r="Z46" s="1159"/>
      <c r="AA46" s="1159"/>
      <c r="AB46" s="1160"/>
      <c r="AC46" s="8"/>
      <c r="AD46" s="8"/>
      <c r="AE46" s="8"/>
      <c r="AF46" s="8"/>
      <c r="AG46" s="8"/>
      <c r="AH46" s="8"/>
    </row>
    <row r="47" spans="1:34" s="4" customFormat="1" x14ac:dyDescent="0.2">
      <c r="A47" s="10"/>
      <c r="B47" s="980"/>
      <c r="C47" s="980"/>
      <c r="D47" s="980"/>
      <c r="E47" s="980"/>
      <c r="F47" s="980"/>
      <c r="G47" s="981"/>
      <c r="H47" s="1116"/>
      <c r="I47" s="1111"/>
      <c r="J47" s="1111"/>
      <c r="K47" s="1111"/>
      <c r="L47" s="1111"/>
      <c r="M47" s="1111"/>
      <c r="N47" s="1141"/>
      <c r="O47" s="12"/>
      <c r="P47" s="1158"/>
      <c r="Q47" s="1159"/>
      <c r="R47" s="1159"/>
      <c r="S47" s="1159"/>
      <c r="T47" s="1159"/>
      <c r="U47" s="1159"/>
      <c r="V47" s="1159"/>
      <c r="W47" s="1159"/>
      <c r="X47" s="1159"/>
      <c r="Y47" s="1159"/>
      <c r="Z47" s="1159"/>
      <c r="AA47" s="1159"/>
      <c r="AB47" s="1160"/>
      <c r="AC47" s="8"/>
      <c r="AD47" s="8"/>
      <c r="AE47" s="8"/>
      <c r="AF47" s="8"/>
      <c r="AG47" s="8"/>
      <c r="AH47" s="8"/>
    </row>
    <row r="48" spans="1:34" s="4" customFormat="1" ht="12.75" customHeight="1" x14ac:dyDescent="0.2">
      <c r="A48" s="10"/>
      <c r="B48" s="980"/>
      <c r="C48" s="980"/>
      <c r="D48" s="980"/>
      <c r="E48" s="980"/>
      <c r="F48" s="980"/>
      <c r="G48" s="981"/>
      <c r="H48" s="1116"/>
      <c r="I48" s="1111"/>
      <c r="J48" s="1111"/>
      <c r="K48" s="1111"/>
      <c r="L48" s="1111"/>
      <c r="M48" s="1111"/>
      <c r="N48" s="1141"/>
      <c r="O48" s="12"/>
      <c r="P48" s="1158"/>
      <c r="Q48" s="1159"/>
      <c r="R48" s="1159"/>
      <c r="S48" s="1159"/>
      <c r="T48" s="1159"/>
      <c r="U48" s="1159"/>
      <c r="V48" s="1159"/>
      <c r="W48" s="1159"/>
      <c r="X48" s="1159"/>
      <c r="Y48" s="1159"/>
      <c r="Z48" s="1159"/>
      <c r="AA48" s="1159"/>
      <c r="AB48" s="1160"/>
      <c r="AC48" s="8"/>
      <c r="AD48" s="8"/>
      <c r="AE48" s="8"/>
      <c r="AF48" s="8"/>
      <c r="AG48" s="8"/>
      <c r="AH48" s="8"/>
    </row>
    <row r="49" spans="1:38" s="4" customFormat="1" ht="12.75" customHeight="1" x14ac:dyDescent="0.2">
      <c r="A49" s="10"/>
      <c r="B49" s="980"/>
      <c r="C49" s="980"/>
      <c r="D49" s="980"/>
      <c r="E49" s="980"/>
      <c r="F49" s="980"/>
      <c r="G49" s="981"/>
      <c r="H49" s="1116"/>
      <c r="I49" s="1111"/>
      <c r="J49" s="1111"/>
      <c r="K49" s="1111"/>
      <c r="L49" s="1111"/>
      <c r="M49" s="1111"/>
      <c r="N49" s="1141"/>
      <c r="O49" s="12"/>
      <c r="P49" s="1158"/>
      <c r="Q49" s="1159"/>
      <c r="R49" s="1159"/>
      <c r="S49" s="1159"/>
      <c r="T49" s="1159"/>
      <c r="U49" s="1159"/>
      <c r="V49" s="1159"/>
      <c r="W49" s="1159"/>
      <c r="X49" s="1159"/>
      <c r="Y49" s="1159"/>
      <c r="Z49" s="1159"/>
      <c r="AA49" s="1159"/>
      <c r="AB49" s="1160"/>
      <c r="AC49" s="8"/>
      <c r="AD49" s="8"/>
      <c r="AE49" s="8"/>
      <c r="AF49" s="8"/>
      <c r="AG49" s="8"/>
      <c r="AH49" s="8"/>
    </row>
    <row r="50" spans="1:38" s="4" customFormat="1" x14ac:dyDescent="0.2">
      <c r="A50" s="10"/>
      <c r="B50" s="980"/>
      <c r="C50" s="980"/>
      <c r="D50" s="980"/>
      <c r="E50" s="980"/>
      <c r="F50" s="980"/>
      <c r="G50" s="981"/>
      <c r="H50" s="1116"/>
      <c r="I50" s="1111"/>
      <c r="J50" s="1111"/>
      <c r="K50" s="1111"/>
      <c r="L50" s="1111"/>
      <c r="M50" s="1111"/>
      <c r="N50" s="1141"/>
      <c r="O50" s="12"/>
      <c r="P50" s="1158"/>
      <c r="Q50" s="1159"/>
      <c r="R50" s="1159"/>
      <c r="S50" s="1159"/>
      <c r="T50" s="1159"/>
      <c r="U50" s="1159"/>
      <c r="V50" s="1159"/>
      <c r="W50" s="1159"/>
      <c r="X50" s="1159"/>
      <c r="Y50" s="1159"/>
      <c r="Z50" s="1159"/>
      <c r="AA50" s="1159"/>
      <c r="AB50" s="1160"/>
      <c r="AC50" s="8"/>
      <c r="AD50" s="8"/>
      <c r="AE50" s="8"/>
      <c r="AF50" s="8"/>
      <c r="AG50" s="8"/>
      <c r="AH50" s="8"/>
    </row>
    <row r="51" spans="1:38" s="4" customFormat="1" x14ac:dyDescent="0.2">
      <c r="A51" s="10"/>
      <c r="B51" s="980"/>
      <c r="C51" s="980"/>
      <c r="D51" s="980"/>
      <c r="E51" s="980"/>
      <c r="F51" s="980"/>
      <c r="G51" s="981"/>
      <c r="H51" s="1116"/>
      <c r="I51" s="1111"/>
      <c r="J51" s="1111"/>
      <c r="K51" s="1111"/>
      <c r="L51" s="1111"/>
      <c r="M51" s="1111"/>
      <c r="N51" s="1141"/>
      <c r="O51" s="12"/>
      <c r="P51" s="1158"/>
      <c r="Q51" s="1159"/>
      <c r="R51" s="1159"/>
      <c r="S51" s="1159"/>
      <c r="T51" s="1159"/>
      <c r="U51" s="1159"/>
      <c r="V51" s="1159"/>
      <c r="W51" s="1159"/>
      <c r="X51" s="1159"/>
      <c r="Y51" s="1159"/>
      <c r="Z51" s="1159"/>
      <c r="AA51" s="1159"/>
      <c r="AB51" s="1160"/>
      <c r="AC51" s="8"/>
      <c r="AD51" s="8"/>
      <c r="AE51" s="8"/>
      <c r="AF51" s="8"/>
      <c r="AG51" s="8"/>
      <c r="AH51" s="8"/>
    </row>
    <row r="52" spans="1:38" s="4" customFormat="1" x14ac:dyDescent="0.2">
      <c r="A52" s="10"/>
      <c r="B52" s="980"/>
      <c r="C52" s="980"/>
      <c r="D52" s="980"/>
      <c r="E52" s="980"/>
      <c r="F52" s="980"/>
      <c r="G52" s="981"/>
      <c r="H52" s="1116"/>
      <c r="I52" s="1111"/>
      <c r="J52" s="1111"/>
      <c r="K52" s="1111"/>
      <c r="L52" s="1111"/>
      <c r="M52" s="1111"/>
      <c r="N52" s="1141"/>
      <c r="O52" s="12"/>
      <c r="P52" s="1158"/>
      <c r="Q52" s="1159"/>
      <c r="R52" s="1159"/>
      <c r="S52" s="1159"/>
      <c r="T52" s="1159"/>
      <c r="U52" s="1159"/>
      <c r="V52" s="1159"/>
      <c r="W52" s="1159"/>
      <c r="X52" s="1159"/>
      <c r="Y52" s="1159"/>
      <c r="Z52" s="1159"/>
      <c r="AA52" s="1159"/>
      <c r="AB52" s="1160"/>
      <c r="AC52" s="8"/>
      <c r="AD52" s="8"/>
      <c r="AE52" s="8"/>
      <c r="AF52" s="8"/>
      <c r="AG52" s="8"/>
      <c r="AH52" s="8"/>
    </row>
    <row r="53" spans="1:38" s="4" customFormat="1" x14ac:dyDescent="0.2">
      <c r="A53" s="10"/>
      <c r="B53" s="980"/>
      <c r="C53" s="980"/>
      <c r="D53" s="980"/>
      <c r="E53" s="980"/>
      <c r="F53" s="980"/>
      <c r="G53" s="981"/>
      <c r="H53" s="1116"/>
      <c r="I53" s="1111"/>
      <c r="J53" s="1111"/>
      <c r="K53" s="1111"/>
      <c r="L53" s="1111"/>
      <c r="M53" s="1111"/>
      <c r="N53" s="1141"/>
      <c r="O53" s="8"/>
      <c r="P53" s="1158"/>
      <c r="Q53" s="1159"/>
      <c r="R53" s="1159"/>
      <c r="S53" s="1159"/>
      <c r="T53" s="1159"/>
      <c r="U53" s="1159"/>
      <c r="V53" s="1159"/>
      <c r="W53" s="1159"/>
      <c r="X53" s="1159"/>
      <c r="Y53" s="1159"/>
      <c r="Z53" s="1159"/>
      <c r="AA53" s="1159"/>
      <c r="AB53" s="1160"/>
      <c r="AC53" s="8"/>
      <c r="AD53" s="684"/>
      <c r="AE53" s="680"/>
      <c r="AF53" s="680"/>
      <c r="AG53" s="680"/>
      <c r="AH53" s="680"/>
      <c r="AI53" s="16"/>
      <c r="AJ53" s="16"/>
    </row>
    <row r="54" spans="1:38" s="4" customFormat="1" ht="12.75" customHeight="1" x14ac:dyDescent="0.2">
      <c r="A54" s="10"/>
      <c r="B54" s="980"/>
      <c r="C54" s="980"/>
      <c r="D54" s="980"/>
      <c r="E54" s="980"/>
      <c r="F54" s="980"/>
      <c r="G54" s="981"/>
      <c r="H54" s="1116"/>
      <c r="I54" s="1111"/>
      <c r="J54" s="1111"/>
      <c r="K54" s="1111"/>
      <c r="L54" s="1111"/>
      <c r="M54" s="1111"/>
      <c r="N54" s="1141"/>
      <c r="O54" s="8"/>
      <c r="P54" s="1158"/>
      <c r="Q54" s="1159"/>
      <c r="R54" s="1159"/>
      <c r="S54" s="1159"/>
      <c r="T54" s="1159"/>
      <c r="U54" s="1159"/>
      <c r="V54" s="1159"/>
      <c r="W54" s="1159"/>
      <c r="X54" s="1159"/>
      <c r="Y54" s="1159"/>
      <c r="Z54" s="1159"/>
      <c r="AA54" s="1159"/>
      <c r="AB54" s="1160"/>
      <c r="AC54" s="8"/>
      <c r="AD54" s="680"/>
      <c r="AE54" s="680"/>
      <c r="AF54" s="680"/>
      <c r="AG54" s="680"/>
      <c r="AH54" s="680"/>
      <c r="AI54" s="16"/>
      <c r="AJ54" s="16"/>
    </row>
    <row r="55" spans="1:38" s="4" customFormat="1" ht="12.75" customHeight="1" x14ac:dyDescent="0.2">
      <c r="A55" s="10"/>
      <c r="B55" s="980"/>
      <c r="C55" s="980"/>
      <c r="D55" s="980"/>
      <c r="E55" s="980"/>
      <c r="F55" s="980"/>
      <c r="G55" s="981"/>
      <c r="H55" s="1116"/>
      <c r="I55" s="1111"/>
      <c r="J55" s="1111"/>
      <c r="K55" s="1111"/>
      <c r="L55" s="1111"/>
      <c r="M55" s="1111"/>
      <c r="N55" s="1141"/>
      <c r="O55" s="8"/>
      <c r="P55" s="1158"/>
      <c r="Q55" s="1159"/>
      <c r="R55" s="1159"/>
      <c r="S55" s="1159"/>
      <c r="T55" s="1159"/>
      <c r="U55" s="1159"/>
      <c r="V55" s="1159"/>
      <c r="W55" s="1159"/>
      <c r="X55" s="1159"/>
      <c r="Y55" s="1159"/>
      <c r="Z55" s="1159"/>
      <c r="AA55" s="1159"/>
      <c r="AB55" s="1160"/>
      <c r="AC55" s="8"/>
      <c r="AD55" s="680"/>
      <c r="AE55" s="680"/>
      <c r="AF55" s="680"/>
      <c r="AG55" s="680"/>
      <c r="AH55" s="680"/>
      <c r="AI55" s="16"/>
      <c r="AJ55" s="16"/>
    </row>
    <row r="56" spans="1:38" s="4" customFormat="1" ht="13.5" thickBot="1" x14ac:dyDescent="0.25">
      <c r="A56" s="10"/>
      <c r="B56" s="980"/>
      <c r="C56" s="980"/>
      <c r="D56" s="980"/>
      <c r="E56" s="980"/>
      <c r="F56" s="980"/>
      <c r="G56" s="981"/>
      <c r="H56" s="1116"/>
      <c r="I56" s="1111"/>
      <c r="J56" s="1111"/>
      <c r="K56" s="1111"/>
      <c r="L56" s="1111"/>
      <c r="M56" s="1111"/>
      <c r="N56" s="1141"/>
      <c r="O56" s="8"/>
      <c r="P56" s="1158"/>
      <c r="Q56" s="1159"/>
      <c r="R56" s="1159"/>
      <c r="S56" s="1159"/>
      <c r="T56" s="1159"/>
      <c r="U56" s="1159"/>
      <c r="V56" s="1159"/>
      <c r="W56" s="1159"/>
      <c r="X56" s="1159"/>
      <c r="Y56" s="1159"/>
      <c r="Z56" s="1159"/>
      <c r="AA56" s="1159"/>
      <c r="AB56" s="1160"/>
      <c r="AC56" s="8"/>
      <c r="AD56" s="680"/>
      <c r="AE56" s="680"/>
      <c r="AF56" s="680"/>
      <c r="AG56" s="680"/>
      <c r="AH56" s="680"/>
      <c r="AI56" s="16"/>
      <c r="AJ56" s="16"/>
    </row>
    <row r="57" spans="1:38" s="4" customFormat="1" ht="12.75" customHeight="1" x14ac:dyDescent="0.2">
      <c r="A57" s="10"/>
      <c r="B57" s="1176" t="s">
        <v>1248</v>
      </c>
      <c r="C57" s="1177"/>
      <c r="D57" s="1177"/>
      <c r="E57" s="1177"/>
      <c r="F57" s="1177"/>
      <c r="G57" s="1177"/>
      <c r="H57" s="1176" t="s">
        <v>1422</v>
      </c>
      <c r="I57" s="1176"/>
      <c r="J57" s="1176"/>
      <c r="K57" s="1176"/>
      <c r="L57" s="1176"/>
      <c r="M57" s="1176"/>
      <c r="N57" s="1178"/>
      <c r="O57" s="8"/>
      <c r="P57" s="1158"/>
      <c r="Q57" s="1159"/>
      <c r="R57" s="1159"/>
      <c r="S57" s="1159"/>
      <c r="T57" s="1159"/>
      <c r="U57" s="1159"/>
      <c r="V57" s="1159"/>
      <c r="W57" s="1159"/>
      <c r="X57" s="1159"/>
      <c r="Y57" s="1159"/>
      <c r="Z57" s="1159"/>
      <c r="AA57" s="1159"/>
      <c r="AB57" s="1160"/>
      <c r="AC57" s="8"/>
      <c r="AD57" s="680"/>
      <c r="AE57" s="680"/>
      <c r="AF57" s="680"/>
      <c r="AG57" s="680"/>
      <c r="AH57" s="680"/>
      <c r="AI57" s="16"/>
      <c r="AJ57" s="16"/>
    </row>
    <row r="58" spans="1:38" s="4" customFormat="1" ht="12.75" customHeight="1" x14ac:dyDescent="0.2">
      <c r="A58" s="10"/>
      <c r="B58" s="696" t="s">
        <v>1423</v>
      </c>
      <c r="C58" s="1150" t="s">
        <v>6</v>
      </c>
      <c r="D58" s="1150"/>
      <c r="E58" s="1150"/>
      <c r="F58" s="1150"/>
      <c r="G58" s="1150"/>
      <c r="H58" s="1150" t="s">
        <v>1424</v>
      </c>
      <c r="I58" s="1150"/>
      <c r="J58" s="1150"/>
      <c r="K58" s="683" t="s">
        <v>1425</v>
      </c>
      <c r="L58" s="1150" t="s">
        <v>1426</v>
      </c>
      <c r="M58" s="1150"/>
      <c r="N58" s="682" t="s">
        <v>1427</v>
      </c>
      <c r="O58" s="12"/>
      <c r="P58" s="1158"/>
      <c r="Q58" s="1159"/>
      <c r="R58" s="1159"/>
      <c r="S58" s="1159"/>
      <c r="T58" s="1159"/>
      <c r="U58" s="1159"/>
      <c r="V58" s="1159"/>
      <c r="W58" s="1159"/>
      <c r="X58" s="1159"/>
      <c r="Y58" s="1159"/>
      <c r="Z58" s="1159"/>
      <c r="AA58" s="1159"/>
      <c r="AB58" s="1160"/>
      <c r="AC58" s="8"/>
      <c r="AD58" s="680"/>
      <c r="AE58" s="680"/>
      <c r="AF58" s="680"/>
      <c r="AG58" s="680"/>
      <c r="AH58" s="680"/>
      <c r="AI58" s="16"/>
      <c r="AJ58" s="16"/>
    </row>
    <row r="59" spans="1:38" s="4" customFormat="1" ht="12.75" customHeight="1" thickBot="1" x14ac:dyDescent="0.25">
      <c r="A59" s="10"/>
      <c r="B59" s="1111" t="s">
        <v>1428</v>
      </c>
      <c r="C59" s="1111" t="str">
        <f xml:space="preserve"> IF(ISBLANK(data_nome_estrutura),"",data_nome_estrutura)</f>
        <v>WSI 152.2553-RD-4042-6 Rev. 1</v>
      </c>
      <c r="D59" s="1111"/>
      <c r="E59" s="1111"/>
      <c r="F59" s="1111"/>
      <c r="G59" s="1111"/>
      <c r="H59" s="980" t="s">
        <v>1429</v>
      </c>
      <c r="I59" s="980"/>
      <c r="J59" s="980"/>
      <c r="K59" s="1111" t="s">
        <v>1255</v>
      </c>
      <c r="L59" s="1111" t="s">
        <v>1430</v>
      </c>
      <c r="M59" s="1111"/>
      <c r="N59" s="1141" t="s">
        <v>1431</v>
      </c>
      <c r="O59" s="12"/>
      <c r="P59" s="1161"/>
      <c r="Q59" s="1162"/>
      <c r="R59" s="1162"/>
      <c r="S59" s="1162"/>
      <c r="T59" s="1162"/>
      <c r="U59" s="1162"/>
      <c r="V59" s="1162"/>
      <c r="W59" s="1162"/>
      <c r="X59" s="1162"/>
      <c r="Y59" s="1162"/>
      <c r="Z59" s="1162"/>
      <c r="AA59" s="1162"/>
      <c r="AB59" s="1163"/>
      <c r="AC59" s="8"/>
      <c r="AD59" s="680"/>
      <c r="AE59" s="680"/>
      <c r="AF59" s="680"/>
      <c r="AG59" s="680"/>
      <c r="AH59" s="680"/>
      <c r="AI59" s="16"/>
      <c r="AJ59" s="16"/>
    </row>
    <row r="60" spans="1:38" s="4" customFormat="1" x14ac:dyDescent="0.2">
      <c r="A60" s="10"/>
      <c r="B60" s="1111"/>
      <c r="C60" s="1111"/>
      <c r="D60" s="1111"/>
      <c r="E60" s="1111"/>
      <c r="F60" s="1111"/>
      <c r="G60" s="1111"/>
      <c r="H60" s="980"/>
      <c r="I60" s="980"/>
      <c r="J60" s="980"/>
      <c r="K60" s="1111"/>
      <c r="L60" s="1111"/>
      <c r="M60" s="1111"/>
      <c r="N60" s="1141"/>
      <c r="O60" s="12"/>
      <c r="P60" s="1153" t="s">
        <v>1444</v>
      </c>
      <c r="Q60" s="1154"/>
      <c r="R60" s="1154" t="s">
        <v>1389</v>
      </c>
      <c r="S60" s="1154"/>
      <c r="T60" s="1154" t="s">
        <v>1445</v>
      </c>
      <c r="U60" s="1154"/>
      <c r="V60" s="1154" t="s">
        <v>1446</v>
      </c>
      <c r="W60" s="1154"/>
      <c r="X60" s="1154" t="s">
        <v>1447</v>
      </c>
      <c r="Y60" s="1154"/>
      <c r="Z60" s="1154" t="s">
        <v>1448</v>
      </c>
      <c r="AA60" s="1154"/>
      <c r="AB60" s="1155"/>
      <c r="AC60" s="8"/>
      <c r="AD60" s="680"/>
      <c r="AE60" s="680"/>
      <c r="AF60" s="680"/>
      <c r="AG60" s="680"/>
      <c r="AH60" s="680"/>
      <c r="AI60" s="16"/>
      <c r="AJ60" s="16"/>
    </row>
    <row r="61" spans="1:38" s="4" customFormat="1" ht="12.75" customHeight="1" x14ac:dyDescent="0.2">
      <c r="A61" s="10"/>
      <c r="B61" s="1111" t="s">
        <v>1432</v>
      </c>
      <c r="C61" s="1111" t="str">
        <f xml:space="preserve">  IF(ISBLANK(data_nome_vertebra),"",data_nome_vertebra)</f>
        <v>CB-BR1522553-00-01 Rev. 1</v>
      </c>
      <c r="D61" s="1111"/>
      <c r="E61" s="1111"/>
      <c r="F61" s="1111"/>
      <c r="G61" s="1111"/>
      <c r="H61" s="980" t="s">
        <v>1433</v>
      </c>
      <c r="I61" s="980"/>
      <c r="J61" s="980"/>
      <c r="K61" s="1111" t="s">
        <v>1255</v>
      </c>
      <c r="L61" s="1111">
        <v>0.5</v>
      </c>
      <c r="M61" s="1111"/>
      <c r="N61" s="1141" t="s">
        <v>1434</v>
      </c>
      <c r="O61" s="12"/>
      <c r="P61" s="1064"/>
      <c r="Q61" s="1065"/>
      <c r="R61" s="1065"/>
      <c r="S61" s="1065"/>
      <c r="T61" s="1065"/>
      <c r="U61" s="1065"/>
      <c r="V61" s="1065"/>
      <c r="W61" s="1065"/>
      <c r="X61" s="1065"/>
      <c r="Y61" s="1065"/>
      <c r="Z61" s="1065"/>
      <c r="AA61" s="1065"/>
      <c r="AB61" s="1066"/>
      <c r="AC61" s="8"/>
      <c r="AD61" s="680"/>
      <c r="AE61" s="680"/>
      <c r="AF61" s="680"/>
      <c r="AG61" s="680"/>
      <c r="AH61" s="680"/>
      <c r="AI61" s="16"/>
      <c r="AJ61" s="16"/>
    </row>
    <row r="62" spans="1:38" s="4" customFormat="1" x14ac:dyDescent="0.2">
      <c r="A62" s="10"/>
      <c r="B62" s="1111"/>
      <c r="C62" s="1111"/>
      <c r="D62" s="1111"/>
      <c r="E62" s="1111"/>
      <c r="F62" s="1111"/>
      <c r="G62" s="1111"/>
      <c r="H62" s="980"/>
      <c r="I62" s="980"/>
      <c r="J62" s="980"/>
      <c r="K62" s="1111"/>
      <c r="L62" s="1111"/>
      <c r="M62" s="1111"/>
      <c r="N62" s="1141"/>
      <c r="O62" s="12"/>
      <c r="P62" s="1050">
        <f>cont2_mbr_linha</f>
        <v>0</v>
      </c>
      <c r="Q62" s="1146"/>
      <c r="R62" s="1145">
        <f>cont2_mbr_vert</f>
        <v>0</v>
      </c>
      <c r="S62" s="1146"/>
      <c r="T62" s="1145">
        <f>cont2_bm_vert</f>
        <v>0</v>
      </c>
      <c r="U62" s="1146"/>
      <c r="V62" s="1145">
        <f>cont2_sf_vert</f>
        <v>0</v>
      </c>
      <c r="W62" s="1146"/>
      <c r="X62" s="1145">
        <f>cont2_ey_moment</f>
        <v>0</v>
      </c>
      <c r="Y62" s="1146"/>
      <c r="Z62" s="1117">
        <f>cont2_sf_line_endb</f>
        <v>0</v>
      </c>
      <c r="AA62" s="1117"/>
      <c r="AB62" s="1141"/>
      <c r="AC62" s="8"/>
      <c r="AD62" s="680"/>
      <c r="AE62" s="680"/>
      <c r="AF62" s="680"/>
      <c r="AG62" s="680"/>
      <c r="AH62" s="680"/>
      <c r="AI62" s="16"/>
      <c r="AJ62" s="16"/>
    </row>
    <row r="63" spans="1:38" s="4" customFormat="1" ht="12.75" customHeight="1" thickBot="1" x14ac:dyDescent="0.25">
      <c r="A63" s="10"/>
      <c r="B63" s="1111" t="s">
        <v>1435</v>
      </c>
      <c r="C63" s="1111" t="str">
        <f xml:space="preserve"> IF(ISBLANK(data_nome_conector),"",data_nome_conector)</f>
        <v>CB-EF1522540-00-05 Rev. 4</v>
      </c>
      <c r="D63" s="1111"/>
      <c r="E63" s="1111"/>
      <c r="F63" s="1111"/>
      <c r="G63" s="1111"/>
      <c r="H63" s="980" t="s">
        <v>1436</v>
      </c>
      <c r="I63" s="980"/>
      <c r="J63" s="980"/>
      <c r="K63" s="1111" t="s">
        <v>1414</v>
      </c>
      <c r="L63" s="1111">
        <f>IF(ISBLANK(('MCV e Guindaste'!B8)*10^-3),"",('MCV e Guindaste'!B8)*10^-3)</f>
        <v>3.81</v>
      </c>
      <c r="M63" s="1111"/>
      <c r="N63" s="1141" t="s">
        <v>1434</v>
      </c>
      <c r="O63" s="12"/>
      <c r="P63" s="1052"/>
      <c r="Q63" s="1056"/>
      <c r="R63" s="1147"/>
      <c r="S63" s="1056"/>
      <c r="T63" s="1147"/>
      <c r="U63" s="1056"/>
      <c r="V63" s="1147"/>
      <c r="W63" s="1056"/>
      <c r="X63" s="1147"/>
      <c r="Y63" s="1056"/>
      <c r="Z63" s="1151"/>
      <c r="AA63" s="1151"/>
      <c r="AB63" s="1152"/>
      <c r="AC63" s="8"/>
      <c r="AD63" s="680"/>
      <c r="AE63" s="33"/>
      <c r="AF63" s="33"/>
      <c r="AG63" s="33"/>
      <c r="AH63" s="33"/>
      <c r="AI63" s="21"/>
      <c r="AJ63" s="21"/>
      <c r="AK63" s="21"/>
      <c r="AL63" s="21"/>
    </row>
    <row r="64" spans="1:38" s="4" customFormat="1" x14ac:dyDescent="0.2">
      <c r="A64" s="10"/>
      <c r="B64" s="1111"/>
      <c r="C64" s="1111"/>
      <c r="D64" s="1111"/>
      <c r="E64" s="1111"/>
      <c r="F64" s="1111"/>
      <c r="G64" s="1111"/>
      <c r="H64" s="980"/>
      <c r="I64" s="980"/>
      <c r="J64" s="980"/>
      <c r="K64" s="1111"/>
      <c r="L64" s="1111"/>
      <c r="M64" s="1111"/>
      <c r="N64" s="1141"/>
      <c r="O64" s="12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8"/>
      <c r="AD64" s="680"/>
      <c r="AE64" s="33"/>
      <c r="AF64" s="33"/>
      <c r="AG64" s="33"/>
      <c r="AH64" s="33"/>
      <c r="AI64" s="21"/>
      <c r="AJ64" s="21"/>
      <c r="AK64" s="21"/>
      <c r="AL64" s="21"/>
    </row>
    <row r="65" spans="1:38" s="4" customFormat="1" ht="12.75" customHeight="1" x14ac:dyDescent="0.2">
      <c r="A65" s="10"/>
      <c r="B65" s="1111" t="s">
        <v>1437</v>
      </c>
      <c r="C65" s="1111" t="str">
        <f>IF(ISBLANK(data_nome_mcv),"",data_nome_mcv)</f>
        <v>TechnipFMC / D</v>
      </c>
      <c r="D65" s="1111"/>
      <c r="E65" s="1111"/>
      <c r="F65" s="1111"/>
      <c r="G65" s="1111"/>
      <c r="H65" s="980" t="s">
        <v>1438</v>
      </c>
      <c r="I65" s="980"/>
      <c r="J65" s="980"/>
      <c r="K65" s="1111" t="s">
        <v>1414</v>
      </c>
      <c r="L65" s="1111">
        <f>IF(ISBLANK(Values!C27),"",(Values!C27))</f>
        <v>4.1399999999999997</v>
      </c>
      <c r="M65" s="1111"/>
      <c r="N65" s="1141" t="s">
        <v>1434</v>
      </c>
      <c r="O65" s="12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8"/>
      <c r="AD65" s="680"/>
      <c r="AE65" s="34"/>
      <c r="AF65" s="34"/>
      <c r="AG65" s="34"/>
      <c r="AH65" s="34"/>
      <c r="AI65" s="28"/>
      <c r="AJ65" s="28"/>
      <c r="AK65" s="28"/>
      <c r="AL65" s="28"/>
    </row>
    <row r="66" spans="1:38" s="4" customFormat="1" x14ac:dyDescent="0.2">
      <c r="A66" s="10"/>
      <c r="B66" s="1111"/>
      <c r="C66" s="1111"/>
      <c r="D66" s="1111"/>
      <c r="E66" s="1111"/>
      <c r="F66" s="1111"/>
      <c r="G66" s="1111"/>
      <c r="H66" s="980"/>
      <c r="I66" s="980"/>
      <c r="J66" s="980"/>
      <c r="K66" s="1111"/>
      <c r="L66" s="1111"/>
      <c r="M66" s="1111"/>
      <c r="N66" s="1141"/>
      <c r="O66" s="8"/>
      <c r="P66" s="989" t="s">
        <v>1515</v>
      </c>
      <c r="Q66" s="989"/>
      <c r="R66" s="989"/>
      <c r="S66" s="989"/>
      <c r="T66" s="989"/>
      <c r="U66" s="989"/>
      <c r="V66" s="989"/>
      <c r="W66" s="989"/>
      <c r="X66" s="989"/>
      <c r="Y66" s="989"/>
      <c r="Z66" s="989"/>
      <c r="AA66" s="989"/>
      <c r="AB66" s="989"/>
      <c r="AC66" s="8"/>
      <c r="AD66" s="680"/>
      <c r="AE66" s="34"/>
      <c r="AF66" s="34"/>
      <c r="AG66" s="34"/>
      <c r="AH66" s="34"/>
      <c r="AI66" s="28"/>
      <c r="AJ66" s="28"/>
      <c r="AK66" s="28"/>
      <c r="AL66" s="28"/>
    </row>
    <row r="67" spans="1:38" s="4" customFormat="1" ht="12.75" customHeight="1" x14ac:dyDescent="0.2">
      <c r="A67" s="10"/>
      <c r="B67" s="1148"/>
      <c r="C67" s="1149"/>
      <c r="D67" s="1149"/>
      <c r="E67" s="1149"/>
      <c r="F67" s="1149"/>
      <c r="G67" s="1149"/>
      <c r="H67" s="980" t="s">
        <v>1439</v>
      </c>
      <c r="I67" s="980"/>
      <c r="J67" s="980"/>
      <c r="K67" s="1111" t="s">
        <v>1414</v>
      </c>
      <c r="L67" s="1142">
        <f>IF(ISBLANK(Values!C13),"",(Values!C13))</f>
        <v>2.4</v>
      </c>
      <c r="M67" s="1142"/>
      <c r="N67" s="1141" t="s">
        <v>1434</v>
      </c>
      <c r="O67" s="8"/>
      <c r="P67" s="989"/>
      <c r="Q67" s="989"/>
      <c r="R67" s="989"/>
      <c r="S67" s="989"/>
      <c r="T67" s="989"/>
      <c r="U67" s="989"/>
      <c r="V67" s="989"/>
      <c r="W67" s="989"/>
      <c r="X67" s="989"/>
      <c r="Y67" s="989"/>
      <c r="Z67" s="989"/>
      <c r="AA67" s="989"/>
      <c r="AB67" s="989"/>
      <c r="AC67" s="8"/>
      <c r="AD67" s="680"/>
      <c r="AE67" s="680"/>
      <c r="AF67" s="680"/>
      <c r="AG67" s="680"/>
      <c r="AH67" s="680"/>
      <c r="AI67" s="16"/>
      <c r="AJ67" s="16"/>
    </row>
    <row r="68" spans="1:38" s="4" customFormat="1" x14ac:dyDescent="0.2">
      <c r="A68" s="10"/>
      <c r="B68" s="1148"/>
      <c r="C68" s="1149"/>
      <c r="D68" s="1149"/>
      <c r="E68" s="1149"/>
      <c r="F68" s="1149"/>
      <c r="G68" s="1149"/>
      <c r="H68" s="980"/>
      <c r="I68" s="980"/>
      <c r="J68" s="980"/>
      <c r="K68" s="1111"/>
      <c r="L68" s="1142"/>
      <c r="M68" s="1142"/>
      <c r="N68" s="1141"/>
      <c r="O68" s="8"/>
      <c r="P68" s="1132"/>
      <c r="Q68" s="1130"/>
      <c r="R68" s="1130"/>
      <c r="S68" s="1130"/>
      <c r="T68" s="1130"/>
      <c r="U68" s="1130"/>
      <c r="V68" s="1130"/>
      <c r="W68" s="1130"/>
      <c r="X68" s="1130"/>
      <c r="Y68" s="1130"/>
      <c r="Z68" s="1130"/>
      <c r="AA68" s="1130"/>
      <c r="AB68" s="1131"/>
      <c r="AC68" s="8"/>
      <c r="AD68" s="680"/>
      <c r="AE68" s="680"/>
      <c r="AF68" s="680"/>
      <c r="AG68" s="680"/>
      <c r="AH68" s="680"/>
      <c r="AI68" s="16"/>
      <c r="AJ68" s="16"/>
    </row>
    <row r="69" spans="1:38" s="4" customFormat="1" x14ac:dyDescent="0.2">
      <c r="A69" s="10"/>
      <c r="B69" s="1148"/>
      <c r="C69" s="1149"/>
      <c r="D69" s="1149"/>
      <c r="E69" s="1149"/>
      <c r="F69" s="1149"/>
      <c r="G69" s="1149"/>
      <c r="H69" s="980" t="s">
        <v>1440</v>
      </c>
      <c r="I69" s="980"/>
      <c r="J69" s="980"/>
      <c r="K69" s="1111" t="s">
        <v>1414</v>
      </c>
      <c r="L69" s="1142">
        <f>IF(ISBLANK(Values!C28),"N/A",(Values!C28))</f>
        <v>70</v>
      </c>
      <c r="M69" s="1142"/>
      <c r="N69" s="1141" t="s">
        <v>1265</v>
      </c>
      <c r="O69" s="8"/>
      <c r="P69" s="1132"/>
      <c r="Q69" s="1130"/>
      <c r="R69" s="1130"/>
      <c r="S69" s="1130"/>
      <c r="T69" s="1130"/>
      <c r="U69" s="1130"/>
      <c r="V69" s="1130"/>
      <c r="W69" s="1130"/>
      <c r="X69" s="1130"/>
      <c r="Y69" s="1130"/>
      <c r="Z69" s="1130"/>
      <c r="AA69" s="1130"/>
      <c r="AB69" s="1131"/>
      <c r="AC69" s="8"/>
      <c r="AD69" s="680"/>
      <c r="AE69" s="680"/>
      <c r="AF69" s="680"/>
      <c r="AG69" s="680"/>
      <c r="AH69" s="680"/>
      <c r="AI69" s="16"/>
      <c r="AJ69" s="16"/>
    </row>
    <row r="70" spans="1:38" s="4" customFormat="1" x14ac:dyDescent="0.2">
      <c r="A70" s="10"/>
      <c r="B70" s="1148"/>
      <c r="C70" s="1149"/>
      <c r="D70" s="1149"/>
      <c r="E70" s="1149"/>
      <c r="F70" s="1149"/>
      <c r="G70" s="1149"/>
      <c r="H70" s="980"/>
      <c r="I70" s="980"/>
      <c r="J70" s="980"/>
      <c r="K70" s="1111"/>
      <c r="L70" s="1142"/>
      <c r="M70" s="1142"/>
      <c r="N70" s="1141"/>
      <c r="O70" s="8"/>
      <c r="P70" s="1132"/>
      <c r="Q70" s="1130"/>
      <c r="R70" s="1130"/>
      <c r="S70" s="1130"/>
      <c r="T70" s="1130"/>
      <c r="U70" s="1130"/>
      <c r="V70" s="1130"/>
      <c r="W70" s="1130"/>
      <c r="X70" s="1130"/>
      <c r="Y70" s="1130"/>
      <c r="Z70" s="1130"/>
      <c r="AA70" s="1130"/>
      <c r="AB70" s="1131"/>
      <c r="AC70" s="8"/>
      <c r="AD70" s="680"/>
      <c r="AE70" s="680"/>
      <c r="AF70" s="680"/>
      <c r="AG70" s="680"/>
      <c r="AH70" s="680"/>
      <c r="AI70" s="16"/>
      <c r="AJ70" s="16"/>
    </row>
    <row r="71" spans="1:38" s="4" customFormat="1" x14ac:dyDescent="0.2">
      <c r="A71" s="10"/>
      <c r="B71" s="1148"/>
      <c r="C71" s="1149"/>
      <c r="D71" s="1149"/>
      <c r="E71" s="1149"/>
      <c r="F71" s="1149"/>
      <c r="G71" s="1149"/>
      <c r="H71" s="980" t="s">
        <v>1441</v>
      </c>
      <c r="I71" s="980"/>
      <c r="J71" s="980"/>
      <c r="K71" s="1111" t="s">
        <v>1414</v>
      </c>
      <c r="L71" s="1142">
        <f xml:space="preserve"> IF( ISBLANK(Values!C29),"N/A",(Values!C29))</f>
        <v>34</v>
      </c>
      <c r="M71" s="1142"/>
      <c r="N71" s="1141" t="s">
        <v>1268</v>
      </c>
      <c r="O71" s="8"/>
      <c r="P71" s="1132"/>
      <c r="Q71" s="1130"/>
      <c r="R71" s="1130"/>
      <c r="S71" s="1130"/>
      <c r="T71" s="1130"/>
      <c r="U71" s="1130"/>
      <c r="V71" s="1130"/>
      <c r="W71" s="1130"/>
      <c r="X71" s="1130"/>
      <c r="Y71" s="1130"/>
      <c r="Z71" s="1130"/>
      <c r="AA71" s="1130"/>
      <c r="AB71" s="1131"/>
      <c r="AC71" s="8"/>
      <c r="AD71" s="680"/>
      <c r="AE71" s="680"/>
      <c r="AF71" s="680"/>
      <c r="AG71" s="680"/>
      <c r="AH71" s="680"/>
      <c r="AI71" s="16"/>
      <c r="AJ71" s="16"/>
    </row>
    <row r="72" spans="1:38" s="4" customFormat="1" x14ac:dyDescent="0.2">
      <c r="A72" s="10"/>
      <c r="B72" s="1148"/>
      <c r="C72" s="1149"/>
      <c r="D72" s="1149"/>
      <c r="E72" s="1149"/>
      <c r="F72" s="1149"/>
      <c r="G72" s="1149"/>
      <c r="H72" s="980"/>
      <c r="I72" s="980"/>
      <c r="J72" s="980"/>
      <c r="K72" s="1111"/>
      <c r="L72" s="1142"/>
      <c r="M72" s="1142"/>
      <c r="N72" s="1141"/>
      <c r="O72" s="8"/>
      <c r="P72" s="1126"/>
      <c r="Q72" s="1127"/>
      <c r="R72" s="1127"/>
      <c r="S72" s="1127"/>
      <c r="T72" s="1127"/>
      <c r="U72" s="1127"/>
      <c r="V72" s="1127"/>
      <c r="W72" s="1127"/>
      <c r="X72" s="1127"/>
      <c r="Y72" s="1127"/>
      <c r="Z72" s="1127"/>
      <c r="AA72" s="1127"/>
      <c r="AB72" s="1128"/>
      <c r="AC72" s="8"/>
      <c r="AD72" s="680"/>
      <c r="AE72" s="680"/>
      <c r="AF72" s="680"/>
      <c r="AG72" s="680"/>
      <c r="AH72" s="680"/>
      <c r="AI72" s="16"/>
      <c r="AJ72" s="16"/>
    </row>
    <row r="73" spans="1:38" s="4" customFormat="1" ht="13.5" thickBot="1" x14ac:dyDescent="0.25">
      <c r="A73" s="10"/>
      <c r="B73" s="1143" t="s">
        <v>1442</v>
      </c>
      <c r="C73" s="1143"/>
      <c r="D73" s="1143"/>
      <c r="E73" s="1143"/>
      <c r="F73" s="1143"/>
      <c r="G73" s="1143"/>
      <c r="H73" s="1143"/>
      <c r="I73" s="1143"/>
      <c r="J73" s="1143"/>
      <c r="K73" s="1143"/>
      <c r="L73" s="1143"/>
      <c r="M73" s="1143"/>
      <c r="N73" s="1144"/>
      <c r="O73" s="8"/>
      <c r="P73" s="1126"/>
      <c r="Q73" s="1127"/>
      <c r="R73" s="1127"/>
      <c r="S73" s="1127"/>
      <c r="T73" s="1127"/>
      <c r="U73" s="1127"/>
      <c r="V73" s="1127"/>
      <c r="W73" s="1127"/>
      <c r="X73" s="1127"/>
      <c r="Y73" s="1127"/>
      <c r="Z73" s="1127"/>
      <c r="AA73" s="1127"/>
      <c r="AB73" s="1128"/>
      <c r="AC73" s="8"/>
      <c r="AD73" s="680"/>
      <c r="AE73" s="680"/>
      <c r="AF73" s="680"/>
      <c r="AG73" s="680"/>
      <c r="AH73" s="680"/>
      <c r="AI73" s="16"/>
      <c r="AJ73" s="16"/>
    </row>
    <row r="74" spans="1:38" s="4" customFormat="1" ht="12.75" customHeight="1" x14ac:dyDescent="0.2">
      <c r="A74" s="10"/>
      <c r="B74" s="1122" t="s">
        <v>1443</v>
      </c>
      <c r="C74" s="980"/>
      <c r="D74" s="980"/>
      <c r="E74" s="980"/>
      <c r="F74" s="980"/>
      <c r="G74" s="980"/>
      <c r="H74" s="980"/>
      <c r="I74" s="980"/>
      <c r="J74" s="980"/>
      <c r="K74" s="980"/>
      <c r="L74" s="980"/>
      <c r="M74" s="980"/>
      <c r="N74" s="1123"/>
      <c r="O74" s="8"/>
      <c r="P74" s="1126"/>
      <c r="Q74" s="1127"/>
      <c r="R74" s="1127"/>
      <c r="S74" s="1127"/>
      <c r="T74" s="1127"/>
      <c r="U74" s="1127"/>
      <c r="V74" s="1127"/>
      <c r="W74" s="1127"/>
      <c r="X74" s="1127"/>
      <c r="Y74" s="1127"/>
      <c r="Z74" s="1127"/>
      <c r="AA74" s="1127"/>
      <c r="AB74" s="1128"/>
      <c r="AC74" s="8"/>
      <c r="AD74" s="680"/>
      <c r="AE74" s="680"/>
      <c r="AF74" s="680"/>
      <c r="AG74" s="680"/>
      <c r="AH74" s="680"/>
      <c r="AI74" s="16"/>
      <c r="AJ74" s="16"/>
    </row>
    <row r="75" spans="1:38" s="4" customFormat="1" ht="15" x14ac:dyDescent="0.2">
      <c r="A75" s="10"/>
      <c r="B75" s="980"/>
      <c r="C75" s="980"/>
      <c r="D75" s="980"/>
      <c r="E75" s="980"/>
      <c r="F75" s="980"/>
      <c r="G75" s="980"/>
      <c r="H75" s="980"/>
      <c r="I75" s="980"/>
      <c r="J75" s="980"/>
      <c r="K75" s="980"/>
      <c r="L75" s="980"/>
      <c r="M75" s="980"/>
      <c r="N75" s="1123"/>
      <c r="O75" s="8"/>
      <c r="P75" s="41"/>
      <c r="Q75" s="73"/>
      <c r="R75" s="73"/>
      <c r="S75" s="73"/>
      <c r="T75" s="73"/>
      <c r="U75" s="73"/>
      <c r="V75" s="73"/>
      <c r="W75" s="73"/>
      <c r="X75" s="73"/>
      <c r="Y75" s="73"/>
      <c r="Z75" s="73"/>
      <c r="AA75" s="73"/>
      <c r="AB75" s="42"/>
      <c r="AC75" s="8"/>
      <c r="AD75" s="680"/>
      <c r="AE75" s="680"/>
      <c r="AF75" s="680"/>
      <c r="AG75" s="680"/>
      <c r="AH75" s="680"/>
      <c r="AI75" s="16"/>
      <c r="AJ75" s="16"/>
    </row>
    <row r="76" spans="1:38" s="4" customFormat="1" ht="12.75" customHeight="1" x14ac:dyDescent="0.2">
      <c r="A76" s="10"/>
      <c r="B76" s="980"/>
      <c r="C76" s="980"/>
      <c r="D76" s="980"/>
      <c r="E76" s="980"/>
      <c r="F76" s="980"/>
      <c r="G76" s="980"/>
      <c r="H76" s="980"/>
      <c r="I76" s="980"/>
      <c r="J76" s="980"/>
      <c r="K76" s="980"/>
      <c r="L76" s="980"/>
      <c r="M76" s="980"/>
      <c r="N76" s="1123"/>
      <c r="O76" s="8"/>
      <c r="P76" s="1129" t="s">
        <v>1467</v>
      </c>
      <c r="Q76" s="1130"/>
      <c r="R76" s="1130"/>
      <c r="S76" s="1130"/>
      <c r="T76" s="1130"/>
      <c r="U76" s="1130"/>
      <c r="V76" s="1130"/>
      <c r="W76" s="1130"/>
      <c r="X76" s="1130"/>
      <c r="Y76" s="1130"/>
      <c r="Z76" s="1130"/>
      <c r="AA76" s="1130"/>
      <c r="AB76" s="1131"/>
      <c r="AC76" s="8"/>
      <c r="AD76" s="680"/>
      <c r="AE76" s="680"/>
      <c r="AF76" s="680"/>
      <c r="AG76" s="680"/>
      <c r="AH76" s="680"/>
      <c r="AI76" s="16"/>
      <c r="AJ76" s="16"/>
    </row>
    <row r="77" spans="1:38" s="4" customFormat="1" ht="13.5" customHeight="1" x14ac:dyDescent="0.2">
      <c r="A77" s="10"/>
      <c r="B77" s="980"/>
      <c r="C77" s="980"/>
      <c r="D77" s="980"/>
      <c r="E77" s="980"/>
      <c r="F77" s="980"/>
      <c r="G77" s="980"/>
      <c r="H77" s="980"/>
      <c r="I77" s="980"/>
      <c r="J77" s="980"/>
      <c r="K77" s="980"/>
      <c r="L77" s="980"/>
      <c r="M77" s="980"/>
      <c r="N77" s="1123"/>
      <c r="O77" s="8"/>
      <c r="P77" s="1132"/>
      <c r="Q77" s="1130"/>
      <c r="R77" s="1130"/>
      <c r="S77" s="1130"/>
      <c r="T77" s="1130"/>
      <c r="U77" s="1130"/>
      <c r="V77" s="1130"/>
      <c r="W77" s="1130"/>
      <c r="X77" s="1130"/>
      <c r="Y77" s="1130"/>
      <c r="Z77" s="1130"/>
      <c r="AA77" s="1130"/>
      <c r="AB77" s="1131"/>
      <c r="AC77" s="8"/>
      <c r="AD77" s="680"/>
      <c r="AE77" s="680"/>
      <c r="AF77" s="680"/>
      <c r="AG77" s="680"/>
      <c r="AH77" s="680"/>
      <c r="AI77" s="16"/>
      <c r="AJ77" s="16"/>
    </row>
    <row r="78" spans="1:38" s="4" customFormat="1" ht="12.75" customHeight="1" x14ac:dyDescent="0.2">
      <c r="A78" s="10"/>
      <c r="B78" s="980"/>
      <c r="C78" s="980"/>
      <c r="D78" s="980"/>
      <c r="E78" s="980"/>
      <c r="F78" s="980"/>
      <c r="G78" s="980"/>
      <c r="H78" s="980"/>
      <c r="I78" s="980"/>
      <c r="J78" s="980"/>
      <c r="K78" s="980"/>
      <c r="L78" s="980"/>
      <c r="M78" s="980"/>
      <c r="N78" s="1123"/>
      <c r="O78" s="8"/>
      <c r="P78" s="1132"/>
      <c r="Q78" s="1130"/>
      <c r="R78" s="1130"/>
      <c r="S78" s="1130"/>
      <c r="T78" s="1130"/>
      <c r="U78" s="1130"/>
      <c r="V78" s="1130"/>
      <c r="W78" s="1130"/>
      <c r="X78" s="1130"/>
      <c r="Y78" s="1130"/>
      <c r="Z78" s="1130"/>
      <c r="AA78" s="1130"/>
      <c r="AB78" s="1131"/>
      <c r="AC78" s="8"/>
      <c r="AD78" s="680"/>
      <c r="AE78" s="680"/>
      <c r="AF78" s="680"/>
      <c r="AG78" s="680"/>
      <c r="AH78" s="680"/>
      <c r="AI78" s="16"/>
      <c r="AJ78" s="16"/>
    </row>
    <row r="79" spans="1:38" s="4" customFormat="1" ht="14.25" customHeight="1" thickBot="1" x14ac:dyDescent="0.25">
      <c r="A79" s="10"/>
      <c r="B79" s="1124"/>
      <c r="C79" s="1124"/>
      <c r="D79" s="1124"/>
      <c r="E79" s="1124"/>
      <c r="F79" s="1124"/>
      <c r="G79" s="1124"/>
      <c r="H79" s="1124"/>
      <c r="I79" s="1124"/>
      <c r="J79" s="1124"/>
      <c r="K79" s="1124"/>
      <c r="L79" s="1124"/>
      <c r="M79" s="1124"/>
      <c r="N79" s="1125"/>
      <c r="O79" s="8"/>
      <c r="P79" s="1132"/>
      <c r="Q79" s="1130"/>
      <c r="R79" s="1130"/>
      <c r="S79" s="1130"/>
      <c r="T79" s="1130"/>
      <c r="U79" s="1130"/>
      <c r="V79" s="1130"/>
      <c r="W79" s="1130"/>
      <c r="X79" s="1130"/>
      <c r="Y79" s="1130"/>
      <c r="Z79" s="1130"/>
      <c r="AA79" s="1130"/>
      <c r="AB79" s="1131"/>
      <c r="AC79" s="8"/>
      <c r="AD79" s="680"/>
      <c r="AE79" s="680"/>
      <c r="AF79" s="680"/>
      <c r="AG79" s="680"/>
      <c r="AH79" s="680"/>
      <c r="AI79" s="16"/>
      <c r="AJ79" s="16"/>
      <c r="AK79" s="16"/>
      <c r="AL79" s="16"/>
    </row>
    <row r="80" spans="1:38" s="4" customFormat="1" ht="14.25" customHeight="1" thickBot="1" x14ac:dyDescent="0.25">
      <c r="A80" s="8"/>
      <c r="B80" s="684"/>
      <c r="C80" s="684"/>
      <c r="D80" s="684"/>
      <c r="E80" s="684"/>
      <c r="F80" s="684"/>
      <c r="G80" s="684"/>
      <c r="H80" s="684"/>
      <c r="I80" s="684"/>
      <c r="J80" s="684"/>
      <c r="K80" s="684"/>
      <c r="L80" s="684"/>
      <c r="M80" s="684"/>
      <c r="N80" s="684"/>
      <c r="O80" s="8"/>
      <c r="P80" s="1133"/>
      <c r="Q80" s="1134"/>
      <c r="R80" s="1134"/>
      <c r="S80" s="1134"/>
      <c r="T80" s="1134"/>
      <c r="U80" s="1134"/>
      <c r="V80" s="1134"/>
      <c r="W80" s="1134"/>
      <c r="X80" s="1134"/>
      <c r="Y80" s="1134"/>
      <c r="Z80" s="1134"/>
      <c r="AA80" s="1134"/>
      <c r="AB80" s="1135"/>
      <c r="AC80" s="8"/>
      <c r="AD80" s="680"/>
      <c r="AE80" s="680"/>
      <c r="AF80" s="680"/>
      <c r="AG80" s="680"/>
      <c r="AH80" s="680"/>
      <c r="AI80" s="16"/>
      <c r="AJ80" s="16"/>
      <c r="AK80" s="16"/>
      <c r="AL80" s="16"/>
    </row>
    <row r="81" spans="1:38" s="4" customFormat="1" ht="12.75" customHeight="1" x14ac:dyDescent="0.2">
      <c r="A81" s="8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8"/>
      <c r="O81" s="8"/>
      <c r="P81" s="697"/>
      <c r="Q81" s="697"/>
      <c r="R81" s="697"/>
      <c r="S81" s="697"/>
      <c r="T81" s="697"/>
      <c r="U81" s="697"/>
      <c r="V81" s="697"/>
      <c r="W81" s="697"/>
      <c r="X81" s="697"/>
      <c r="Y81" s="697"/>
      <c r="Z81" s="697"/>
      <c r="AA81" s="697"/>
      <c r="AB81" s="697"/>
      <c r="AC81" s="8"/>
      <c r="AD81" s="680"/>
      <c r="AE81" s="680"/>
      <c r="AF81" s="680"/>
      <c r="AG81" s="680"/>
      <c r="AH81" s="680"/>
      <c r="AI81" s="16"/>
      <c r="AJ81" s="16"/>
      <c r="AK81" s="16"/>
      <c r="AL81" s="16"/>
    </row>
    <row r="82" spans="1:38" s="4" customFormat="1" ht="14.25" x14ac:dyDescent="0.2">
      <c r="A82" s="8"/>
      <c r="B82" s="1136" t="s">
        <v>1499</v>
      </c>
      <c r="C82" s="1136"/>
      <c r="D82" s="1136"/>
      <c r="E82" s="1136"/>
      <c r="F82" s="1136"/>
      <c r="G82" s="1136"/>
      <c r="H82" s="1136"/>
      <c r="I82" s="1136"/>
      <c r="J82" s="1136"/>
      <c r="K82" s="1136"/>
      <c r="L82" s="1136"/>
      <c r="M82" s="1136"/>
      <c r="N82" s="1136"/>
      <c r="O82" s="8"/>
      <c r="P82" s="697"/>
      <c r="Q82" s="697"/>
      <c r="R82" s="697"/>
      <c r="S82" s="697"/>
      <c r="T82" s="697"/>
      <c r="U82" s="697"/>
      <c r="V82" s="697"/>
      <c r="W82" s="697"/>
      <c r="X82" s="697"/>
      <c r="Y82" s="697"/>
      <c r="Z82" s="697"/>
      <c r="AA82" s="697"/>
      <c r="AB82" s="697"/>
      <c r="AC82" s="8"/>
      <c r="AD82" s="680"/>
      <c r="AE82" s="680"/>
      <c r="AF82" s="680"/>
      <c r="AG82" s="680"/>
      <c r="AH82" s="680"/>
      <c r="AI82" s="16"/>
      <c r="AJ82" s="16"/>
      <c r="AK82" s="16"/>
      <c r="AL82" s="16"/>
    </row>
    <row r="83" spans="1:38" s="4" customFormat="1" ht="15.75" thickBot="1" x14ac:dyDescent="0.25">
      <c r="A83" s="8"/>
      <c r="B83" s="1137"/>
      <c r="C83" s="1137"/>
      <c r="D83" s="1137"/>
      <c r="E83" s="1137"/>
      <c r="F83" s="1137"/>
      <c r="G83" s="1137"/>
      <c r="H83" s="1137"/>
      <c r="I83" s="1137"/>
      <c r="J83" s="1137"/>
      <c r="K83" s="1137"/>
      <c r="L83" s="1137"/>
      <c r="M83" s="1137"/>
      <c r="N83" s="1137"/>
      <c r="O83" s="8"/>
      <c r="P83" s="73"/>
      <c r="Q83" s="73"/>
      <c r="R83" s="73"/>
      <c r="S83" s="73"/>
      <c r="T83" s="73"/>
      <c r="U83" s="73"/>
      <c r="V83" s="73"/>
      <c r="W83" s="73"/>
      <c r="X83" s="73"/>
      <c r="Y83" s="73"/>
      <c r="Z83" s="73"/>
      <c r="AA83" s="73"/>
      <c r="AB83" s="73"/>
      <c r="AC83" s="8"/>
      <c r="AD83" s="8"/>
      <c r="AE83" s="8"/>
      <c r="AF83" s="8"/>
      <c r="AG83" s="8"/>
      <c r="AH83" s="8"/>
    </row>
    <row r="84" spans="1:38" s="4" customFormat="1" ht="13.5" customHeight="1" x14ac:dyDescent="0.2">
      <c r="A84" s="8"/>
      <c r="B84" s="1138" t="s">
        <v>1451</v>
      </c>
      <c r="C84" s="1139"/>
      <c r="D84" s="1139"/>
      <c r="E84" s="1139"/>
      <c r="F84" s="1139"/>
      <c r="G84" s="1139"/>
      <c r="H84" s="1139"/>
      <c r="I84" s="1139"/>
      <c r="J84" s="1139"/>
      <c r="K84" s="1139"/>
      <c r="L84" s="1139"/>
      <c r="M84" s="1139"/>
      <c r="N84" s="1140"/>
      <c r="O84" s="8"/>
      <c r="P84" s="698"/>
      <c r="Q84" s="699"/>
      <c r="R84" s="699"/>
      <c r="S84" s="699"/>
      <c r="T84" s="699"/>
      <c r="U84" s="699"/>
      <c r="V84" s="699"/>
      <c r="W84" s="699"/>
      <c r="X84" s="699"/>
      <c r="Y84" s="699"/>
      <c r="Z84" s="699"/>
      <c r="AA84" s="699"/>
      <c r="AB84" s="699"/>
      <c r="AC84" s="8"/>
      <c r="AD84" s="8"/>
      <c r="AE84" s="8"/>
      <c r="AF84" s="8"/>
      <c r="AG84" s="8"/>
      <c r="AH84" s="8"/>
    </row>
    <row r="85" spans="1:38" s="4" customFormat="1" ht="12.75" customHeight="1" x14ac:dyDescent="0.2">
      <c r="A85" s="8"/>
      <c r="B85" s="1098" t="s">
        <v>1452</v>
      </c>
      <c r="C85" s="1099"/>
      <c r="D85" s="1099"/>
      <c r="E85" s="1099"/>
      <c r="F85" s="1099"/>
      <c r="G85" s="1099"/>
      <c r="H85" s="1099"/>
      <c r="I85" s="1099"/>
      <c r="J85" s="1099"/>
      <c r="K85" s="1099"/>
      <c r="L85" s="1099"/>
      <c r="M85" s="1099"/>
      <c r="N85" s="1100"/>
      <c r="O85" s="8"/>
      <c r="P85" s="699"/>
      <c r="Q85" s="699"/>
      <c r="R85" s="699"/>
      <c r="S85" s="699"/>
      <c r="T85" s="699"/>
      <c r="U85" s="699"/>
      <c r="V85" s="699"/>
      <c r="W85" s="699"/>
      <c r="X85" s="699"/>
      <c r="Y85" s="699"/>
      <c r="Z85" s="699"/>
      <c r="AA85" s="699"/>
      <c r="AB85" s="699"/>
      <c r="AC85" s="8"/>
      <c r="AD85" s="8"/>
      <c r="AE85" s="8"/>
      <c r="AF85" s="8"/>
      <c r="AG85" s="8"/>
      <c r="AH85" s="8"/>
    </row>
    <row r="86" spans="1:38" s="4" customFormat="1" ht="12.75" customHeight="1" x14ac:dyDescent="0.2">
      <c r="A86" s="8"/>
      <c r="B86" s="1073" t="s">
        <v>1453</v>
      </c>
      <c r="C86" s="1074"/>
      <c r="D86" s="1074"/>
      <c r="E86" s="1074" t="s">
        <v>1454</v>
      </c>
      <c r="F86" s="1074"/>
      <c r="G86" s="1074"/>
      <c r="H86" s="1074" t="s">
        <v>1380</v>
      </c>
      <c r="I86" s="1074"/>
      <c r="J86" s="1074" t="s">
        <v>1455</v>
      </c>
      <c r="K86" s="1074"/>
      <c r="L86" s="1074" t="s">
        <v>1389</v>
      </c>
      <c r="M86" s="1074"/>
      <c r="N86" s="1101"/>
      <c r="O86" s="8"/>
      <c r="P86" s="699"/>
      <c r="Q86" s="699"/>
      <c r="R86" s="699"/>
      <c r="S86" s="699"/>
      <c r="T86" s="699"/>
      <c r="U86" s="699"/>
      <c r="V86" s="699"/>
      <c r="W86" s="699"/>
      <c r="X86" s="699"/>
      <c r="Y86" s="699"/>
      <c r="Z86" s="699"/>
      <c r="AA86" s="699"/>
      <c r="AB86" s="699"/>
      <c r="AC86" s="8"/>
      <c r="AD86" s="8"/>
      <c r="AE86" s="8"/>
      <c r="AF86" s="8"/>
      <c r="AG86" s="8"/>
      <c r="AH86" s="8"/>
    </row>
    <row r="87" spans="1:38" s="4" customFormat="1" ht="12.75" customHeight="1" x14ac:dyDescent="0.2">
      <c r="A87" s="8"/>
      <c r="B87" s="1073"/>
      <c r="C87" s="1074"/>
      <c r="D87" s="1074"/>
      <c r="E87" s="1074"/>
      <c r="F87" s="1074"/>
      <c r="G87" s="1074"/>
      <c r="H87" s="1074"/>
      <c r="I87" s="1074"/>
      <c r="J87" s="1074"/>
      <c r="K87" s="1074"/>
      <c r="L87" s="1074"/>
      <c r="M87" s="1074"/>
      <c r="N87" s="1101"/>
      <c r="O87" s="8"/>
      <c r="P87" s="699"/>
      <c r="Q87" s="699"/>
      <c r="R87" s="699"/>
      <c r="S87" s="699"/>
      <c r="T87" s="699"/>
      <c r="U87" s="699"/>
      <c r="V87" s="699"/>
      <c r="W87" s="699"/>
      <c r="X87" s="699"/>
      <c r="Y87" s="699"/>
      <c r="Z87" s="699"/>
      <c r="AA87" s="699"/>
      <c r="AB87" s="699"/>
      <c r="AC87" s="8"/>
      <c r="AD87" s="8"/>
      <c r="AE87" s="8"/>
      <c r="AF87" s="8"/>
      <c r="AG87" s="8"/>
      <c r="AH87" s="8"/>
    </row>
    <row r="88" spans="1:38" s="4" customFormat="1" ht="12.75" customHeight="1" x14ac:dyDescent="0.2">
      <c r="A88" s="8"/>
      <c r="B88" s="1112">
        <f>IF(ISBLANK(case2_est_dist_flange),"",(case2_est_dist_flange))</f>
        <v>0</v>
      </c>
      <c r="C88" s="1113"/>
      <c r="D88" s="1113"/>
      <c r="E88" s="1116">
        <f>IF(ISBLANK(case2_est_sbed_clear_linha),"",(case2_est_sbed_clear_linha))</f>
        <v>0</v>
      </c>
      <c r="F88" s="1117"/>
      <c r="G88" s="1118"/>
      <c r="H88" s="1094">
        <f>IF(ISBLANK(case2_est_inclinacao_mcv),"",(case2_est_inclinacao_mcv))</f>
        <v>0</v>
      </c>
      <c r="I88" s="1094"/>
      <c r="J88" s="1094">
        <f>IF(ISBLANK(case2_est_mbr_linha), "", (case2_est_mbr_linha))</f>
        <v>0</v>
      </c>
      <c r="K88" s="1094"/>
      <c r="L88" s="1119" t="str">
        <f>IF(case2_est_mbr_vert&lt;=K58,_xlfn.CONCAT(K58," ","(*Vértebra Travada)"),case2_est_mbr_vert)</f>
        <v>Ref (*Vértebra Travada)</v>
      </c>
      <c r="M88" s="1120"/>
      <c r="N88" s="1121"/>
      <c r="O88" s="1111"/>
      <c r="P88" s="699"/>
      <c r="Q88" s="699"/>
      <c r="R88" s="699"/>
      <c r="S88" s="699"/>
      <c r="T88" s="699"/>
      <c r="U88" s="699"/>
      <c r="V88" s="699"/>
      <c r="W88" s="699"/>
      <c r="X88" s="699"/>
      <c r="Y88" s="699"/>
      <c r="Z88" s="699"/>
      <c r="AA88" s="699"/>
      <c r="AB88" s="699"/>
      <c r="AC88" s="8"/>
      <c r="AD88" s="8"/>
      <c r="AE88" s="8"/>
      <c r="AF88" s="8"/>
      <c r="AG88" s="8"/>
      <c r="AH88" s="8"/>
    </row>
    <row r="89" spans="1:38" s="4" customFormat="1" ht="12.75" customHeight="1" x14ac:dyDescent="0.2">
      <c r="A89" s="8"/>
      <c r="B89" s="1114"/>
      <c r="C89" s="1115"/>
      <c r="D89" s="1115"/>
      <c r="E89" s="1116"/>
      <c r="F89" s="1117"/>
      <c r="G89" s="1118"/>
      <c r="H89" s="1096"/>
      <c r="I89" s="1096"/>
      <c r="J89" s="1096"/>
      <c r="K89" s="1096"/>
      <c r="L89" s="1119"/>
      <c r="M89" s="1120"/>
      <c r="N89" s="1121"/>
      <c r="O89" s="1111"/>
      <c r="P89" s="700"/>
      <c r="Q89" s="700"/>
      <c r="R89" s="700"/>
      <c r="S89" s="700"/>
      <c r="T89" s="700"/>
      <c r="U89" s="700"/>
      <c r="V89" s="700"/>
      <c r="W89" s="700"/>
      <c r="X89" s="700"/>
      <c r="Y89" s="700"/>
      <c r="Z89" s="700"/>
      <c r="AA89" s="700"/>
      <c r="AB89" s="700"/>
      <c r="AC89" s="8"/>
      <c r="AD89" s="8"/>
      <c r="AE89" s="8"/>
      <c r="AF89" s="8"/>
      <c r="AG89" s="8"/>
      <c r="AH89" s="8"/>
    </row>
    <row r="90" spans="1:38" s="4" customFormat="1" ht="12.75" customHeight="1" x14ac:dyDescent="0.2">
      <c r="A90" s="8"/>
      <c r="B90" s="1098" t="s">
        <v>1459</v>
      </c>
      <c r="C90" s="1099"/>
      <c r="D90" s="1099"/>
      <c r="E90" s="1099"/>
      <c r="F90" s="1099"/>
      <c r="G90" s="1099"/>
      <c r="H90" s="1099"/>
      <c r="I90" s="1099"/>
      <c r="J90" s="1099"/>
      <c r="K90" s="1099"/>
      <c r="L90" s="1099"/>
      <c r="M90" s="1099"/>
      <c r="N90" s="1100"/>
      <c r="O90" s="8"/>
      <c r="P90" s="700"/>
      <c r="Q90" s="700"/>
      <c r="R90" s="700"/>
      <c r="S90" s="700"/>
      <c r="T90" s="700"/>
      <c r="U90" s="700"/>
      <c r="V90" s="700"/>
      <c r="W90" s="700"/>
      <c r="X90" s="700"/>
      <c r="Y90" s="700"/>
      <c r="Z90" s="700"/>
      <c r="AA90" s="700"/>
      <c r="AB90" s="700"/>
      <c r="AC90" s="8"/>
      <c r="AD90" s="8"/>
      <c r="AE90" s="8"/>
      <c r="AF90" s="8"/>
      <c r="AG90" s="8"/>
      <c r="AH90" s="8"/>
    </row>
    <row r="91" spans="1:38" s="4" customFormat="1" ht="12.75" customHeight="1" x14ac:dyDescent="0.2">
      <c r="A91" s="8"/>
      <c r="B91" s="1105" t="s">
        <v>1387</v>
      </c>
      <c r="C91" s="1106"/>
      <c r="D91" s="1106"/>
      <c r="E91" s="1106"/>
      <c r="F91" s="1106"/>
      <c r="G91" s="1106"/>
      <c r="H91" s="1106"/>
      <c r="I91" s="1106" t="s">
        <v>2157</v>
      </c>
      <c r="J91" s="1106"/>
      <c r="K91" s="1106"/>
      <c r="L91" s="1106"/>
      <c r="M91" s="1106"/>
      <c r="N91" s="1107"/>
      <c r="O91" s="8"/>
      <c r="P91" s="700"/>
      <c r="Q91" s="700"/>
      <c r="R91" s="700"/>
      <c r="S91" s="700"/>
      <c r="T91" s="700"/>
      <c r="U91" s="700"/>
      <c r="V91" s="700"/>
      <c r="W91" s="700"/>
      <c r="X91" s="700"/>
      <c r="Y91" s="700"/>
      <c r="Z91" s="700"/>
      <c r="AA91" s="700"/>
      <c r="AB91" s="700"/>
      <c r="AC91" s="8"/>
      <c r="AD91" s="8"/>
      <c r="AE91" s="8"/>
      <c r="AF91" s="8"/>
      <c r="AG91" s="8"/>
      <c r="AH91" s="8"/>
    </row>
    <row r="92" spans="1:38" s="4" customFormat="1" ht="12.75" customHeight="1" x14ac:dyDescent="0.2">
      <c r="A92" s="8"/>
      <c r="B92" s="1067">
        <f>IF(ISBLANK(case2_est_bm_vert),"",(case2_est_bm_vert))</f>
        <v>0</v>
      </c>
      <c r="C92" s="1068"/>
      <c r="D92" s="1068"/>
      <c r="E92" s="1068"/>
      <c r="F92" s="1068"/>
      <c r="G92" s="1068"/>
      <c r="H92" s="1068"/>
      <c r="I92" s="1068">
        <f>IF(ISBLANK(case2_est_sf_vert),"",(case2_est_sf_vert))</f>
        <v>0</v>
      </c>
      <c r="J92" s="1068"/>
      <c r="K92" s="1068"/>
      <c r="L92" s="1068"/>
      <c r="M92" s="1068"/>
      <c r="N92" s="1071"/>
      <c r="O92" s="8"/>
      <c r="P92" s="700"/>
      <c r="Q92" s="700"/>
      <c r="R92" s="700"/>
      <c r="S92" s="700"/>
      <c r="T92" s="700"/>
      <c r="U92" s="700"/>
      <c r="V92" s="700"/>
      <c r="W92" s="700"/>
      <c r="X92" s="700"/>
      <c r="Y92" s="700"/>
      <c r="Z92" s="700"/>
      <c r="AA92" s="700"/>
      <c r="AB92" s="700"/>
      <c r="AC92" s="8"/>
      <c r="AD92" s="8"/>
      <c r="AE92" s="8"/>
      <c r="AF92" s="8"/>
      <c r="AG92" s="8"/>
      <c r="AH92" s="8"/>
    </row>
    <row r="93" spans="1:38" s="4" customFormat="1" ht="12.75" customHeight="1" x14ac:dyDescent="0.2">
      <c r="A93" s="8"/>
      <c r="B93" s="1067"/>
      <c r="C93" s="1068"/>
      <c r="D93" s="1068"/>
      <c r="E93" s="1068"/>
      <c r="F93" s="1068"/>
      <c r="G93" s="1068"/>
      <c r="H93" s="1068"/>
      <c r="I93" s="1068"/>
      <c r="J93" s="1068"/>
      <c r="K93" s="1068"/>
      <c r="L93" s="1068"/>
      <c r="M93" s="1068"/>
      <c r="N93" s="1071"/>
      <c r="O93" s="8"/>
      <c r="P93" s="700"/>
      <c r="Q93" s="700"/>
      <c r="R93" s="700"/>
      <c r="S93" s="700"/>
      <c r="T93" s="700"/>
      <c r="U93" s="700"/>
      <c r="V93" s="700"/>
      <c r="W93" s="700"/>
      <c r="X93" s="700"/>
      <c r="Y93" s="700"/>
      <c r="Z93" s="700"/>
      <c r="AA93" s="700"/>
      <c r="AB93" s="700"/>
      <c r="AC93" s="8"/>
      <c r="AD93" s="8"/>
      <c r="AE93" s="8"/>
      <c r="AF93" s="8"/>
      <c r="AG93" s="8"/>
      <c r="AH93" s="8"/>
    </row>
    <row r="94" spans="1:38" s="4" customFormat="1" ht="12.75" customHeight="1" x14ac:dyDescent="0.2">
      <c r="A94" s="8"/>
      <c r="B94" s="1098" t="s">
        <v>1460</v>
      </c>
      <c r="C94" s="1099"/>
      <c r="D94" s="1099"/>
      <c r="E94" s="1099"/>
      <c r="F94" s="1099"/>
      <c r="G94" s="1099"/>
      <c r="H94" s="1099"/>
      <c r="I94" s="1099"/>
      <c r="J94" s="1099"/>
      <c r="K94" s="1099"/>
      <c r="L94" s="1099"/>
      <c r="M94" s="1099"/>
      <c r="N94" s="1100"/>
      <c r="O94" s="8"/>
      <c r="P94" s="700"/>
      <c r="Q94" s="700"/>
      <c r="R94" s="700"/>
      <c r="S94" s="700"/>
      <c r="T94" s="700"/>
      <c r="U94" s="700"/>
      <c r="V94" s="700"/>
      <c r="W94" s="700"/>
      <c r="X94" s="700"/>
      <c r="Y94" s="700"/>
      <c r="Z94" s="700"/>
      <c r="AA94" s="700"/>
      <c r="AB94" s="700"/>
      <c r="AC94" s="8"/>
      <c r="AD94" s="8"/>
      <c r="AE94" s="8"/>
      <c r="AF94" s="8"/>
      <c r="AG94" s="8"/>
      <c r="AH94" s="8"/>
    </row>
    <row r="95" spans="1:38" s="4" customFormat="1" ht="12.75" customHeight="1" x14ac:dyDescent="0.2">
      <c r="A95" s="8"/>
      <c r="B95" s="1105" t="s">
        <v>1369</v>
      </c>
      <c r="C95" s="1106"/>
      <c r="D95" s="1106"/>
      <c r="E95" s="1106"/>
      <c r="F95" s="1106" t="s">
        <v>1461</v>
      </c>
      <c r="G95" s="1106"/>
      <c r="H95" s="1106"/>
      <c r="I95" s="1106"/>
      <c r="J95" s="1106"/>
      <c r="K95" s="1106" t="s">
        <v>1462</v>
      </c>
      <c r="L95" s="1106"/>
      <c r="M95" s="1106"/>
      <c r="N95" s="1107"/>
      <c r="O95" s="8"/>
      <c r="P95" s="700"/>
      <c r="Q95" s="700"/>
      <c r="R95" s="700"/>
      <c r="S95" s="700"/>
      <c r="T95" s="700"/>
      <c r="U95" s="700"/>
      <c r="V95" s="700"/>
      <c r="W95" s="700"/>
      <c r="X95" s="700"/>
      <c r="Y95" s="700"/>
      <c r="Z95" s="700"/>
      <c r="AA95" s="700"/>
      <c r="AB95" s="700"/>
      <c r="AC95" s="8"/>
      <c r="AD95" s="8"/>
      <c r="AE95" s="8"/>
      <c r="AF95" s="8"/>
      <c r="AG95" s="8"/>
      <c r="AH95" s="8"/>
    </row>
    <row r="96" spans="1:38" s="4" customFormat="1" ht="12.75" customHeight="1" x14ac:dyDescent="0.2">
      <c r="A96" s="8"/>
      <c r="B96" s="1108">
        <f>IF(ISBLANK(case2_est_ey_moment),"",(case2_est_ey_moment))</f>
        <v>0</v>
      </c>
      <c r="C96" s="1109"/>
      <c r="D96" s="1109"/>
      <c r="E96" s="1109"/>
      <c r="F96" s="1068">
        <f>IF(ISBLANK(case2_est_ez_axial),"",(case2_est_ez_axial))</f>
        <v>0</v>
      </c>
      <c r="G96" s="1068"/>
      <c r="H96" s="1068"/>
      <c r="I96" s="1068"/>
      <c r="J96" s="1068"/>
      <c r="K96" s="1068">
        <f>IF(ISBLANK(case2_est_ex_shear_force),"",(case2_est_ex_shear_force))</f>
        <v>0</v>
      </c>
      <c r="L96" s="1068"/>
      <c r="M96" s="1068"/>
      <c r="N96" s="1071"/>
      <c r="O96" s="8"/>
      <c r="P96" s="700"/>
      <c r="Q96" s="700"/>
      <c r="R96" s="700"/>
      <c r="S96" s="700"/>
      <c r="T96" s="700"/>
      <c r="U96" s="700"/>
      <c r="V96" s="700"/>
      <c r="W96" s="700"/>
      <c r="X96" s="700"/>
      <c r="Y96" s="700"/>
      <c r="Z96" s="700"/>
      <c r="AA96" s="700"/>
      <c r="AB96" s="700"/>
      <c r="AC96" s="8"/>
      <c r="AD96" s="8"/>
      <c r="AE96" s="8"/>
      <c r="AF96" s="8"/>
      <c r="AG96" s="8"/>
      <c r="AH96" s="8"/>
    </row>
    <row r="97" spans="1:38" s="4" customFormat="1" ht="12.75" customHeight="1" x14ac:dyDescent="0.2">
      <c r="A97" s="8"/>
      <c r="B97" s="1110"/>
      <c r="C97" s="1002"/>
      <c r="D97" s="1002"/>
      <c r="E97" s="1002"/>
      <c r="F97" s="1068"/>
      <c r="G97" s="1068"/>
      <c r="H97" s="1068"/>
      <c r="I97" s="1068"/>
      <c r="J97" s="1068"/>
      <c r="K97" s="1068"/>
      <c r="L97" s="1068"/>
      <c r="M97" s="1068"/>
      <c r="N97" s="1071"/>
      <c r="O97" s="8"/>
      <c r="P97" s="700"/>
      <c r="Q97" s="700"/>
      <c r="R97" s="700"/>
      <c r="S97" s="700"/>
      <c r="T97" s="700"/>
      <c r="U97" s="700"/>
      <c r="V97" s="700"/>
      <c r="W97" s="700"/>
      <c r="X97" s="700"/>
      <c r="Y97" s="700"/>
      <c r="Z97" s="700"/>
      <c r="AA97" s="700"/>
      <c r="AB97" s="700"/>
      <c r="AC97" s="8"/>
      <c r="AD97" s="8"/>
      <c r="AE97" s="8"/>
      <c r="AF97" s="8"/>
      <c r="AG97" s="8"/>
      <c r="AH97" s="8"/>
    </row>
    <row r="98" spans="1:38" s="4" customFormat="1" ht="12.75" customHeight="1" x14ac:dyDescent="0.2">
      <c r="A98" s="8"/>
      <c r="B98" s="1098" t="s">
        <v>2158</v>
      </c>
      <c r="C98" s="1099"/>
      <c r="D98" s="1099"/>
      <c r="E98" s="1099"/>
      <c r="F98" s="1099"/>
      <c r="G98" s="1099"/>
      <c r="H98" s="1099"/>
      <c r="I98" s="1099"/>
      <c r="J98" s="1099"/>
      <c r="K98" s="1099"/>
      <c r="L98" s="1099"/>
      <c r="M98" s="1099"/>
      <c r="N98" s="1100"/>
      <c r="O98" s="8"/>
      <c r="P98" s="700"/>
      <c r="Q98" s="700"/>
      <c r="S98" s="700"/>
      <c r="T98" s="700"/>
      <c r="U98" s="700"/>
      <c r="V98" s="700"/>
      <c r="W98" s="700"/>
      <c r="X98" s="700"/>
      <c r="Y98" s="700"/>
      <c r="Z98" s="700"/>
      <c r="AA98" s="700"/>
      <c r="AB98" s="700"/>
      <c r="AC98" s="8"/>
      <c r="AD98" s="34"/>
      <c r="AE98" s="34"/>
      <c r="AF98" s="34"/>
      <c r="AG98" s="34"/>
      <c r="AH98" s="34"/>
      <c r="AI98" s="28"/>
      <c r="AJ98" s="28"/>
      <c r="AK98" s="28"/>
      <c r="AL98" s="28"/>
    </row>
    <row r="99" spans="1:38" s="4" customFormat="1" ht="12.75" customHeight="1" x14ac:dyDescent="0.2">
      <c r="A99" s="8"/>
      <c r="B99" s="1102"/>
      <c r="C99" s="1103"/>
      <c r="D99" s="1103"/>
      <c r="E99" s="1103"/>
      <c r="F99" s="1103"/>
      <c r="G99" s="1103"/>
      <c r="H99" s="1103"/>
      <c r="I99" s="1103"/>
      <c r="J99" s="1103"/>
      <c r="K99" s="1103"/>
      <c r="L99" s="1103"/>
      <c r="M99" s="1103"/>
      <c r="N99" s="1104"/>
      <c r="O99" s="8"/>
      <c r="P99" s="700"/>
      <c r="Q99" s="700"/>
      <c r="R99" s="700"/>
      <c r="S99" s="700"/>
      <c r="T99" s="700"/>
      <c r="U99" s="700"/>
      <c r="V99" s="700"/>
      <c r="W99" s="700"/>
      <c r="X99" s="700"/>
      <c r="Y99" s="700"/>
      <c r="Z99" s="700"/>
      <c r="AA99" s="700"/>
      <c r="AB99" s="700"/>
      <c r="AC99" s="8"/>
      <c r="AD99" s="34"/>
      <c r="AE99" s="34"/>
      <c r="AF99" s="34"/>
      <c r="AG99" s="34"/>
      <c r="AH99" s="34"/>
      <c r="AI99" s="28"/>
      <c r="AJ99" s="28"/>
      <c r="AK99" s="28"/>
      <c r="AL99" s="28"/>
    </row>
    <row r="100" spans="1:38" s="4" customFormat="1" ht="12.75" customHeight="1" x14ac:dyDescent="0.2">
      <c r="A100" s="8"/>
      <c r="B100" s="1102"/>
      <c r="C100" s="1103"/>
      <c r="D100" s="1103"/>
      <c r="E100" s="1103"/>
      <c r="F100" s="1103"/>
      <c r="G100" s="1103"/>
      <c r="H100" s="1103"/>
      <c r="I100" s="1103"/>
      <c r="J100" s="1103"/>
      <c r="K100" s="1103"/>
      <c r="L100" s="1103"/>
      <c r="M100" s="1103"/>
      <c r="N100" s="1104"/>
      <c r="O100" s="8"/>
      <c r="P100" s="700"/>
      <c r="Q100" s="700"/>
      <c r="R100" s="700"/>
      <c r="S100" s="700"/>
      <c r="T100" s="700"/>
      <c r="U100" s="700"/>
      <c r="V100" s="700"/>
      <c r="W100" s="700"/>
      <c r="X100" s="700"/>
      <c r="Y100" s="700"/>
      <c r="Z100" s="700"/>
      <c r="AA100" s="700"/>
      <c r="AB100" s="700"/>
      <c r="AC100" s="8"/>
      <c r="AD100" s="34"/>
      <c r="AE100" s="34"/>
      <c r="AF100" s="34"/>
      <c r="AG100" s="34"/>
      <c r="AH100" s="34"/>
      <c r="AI100" s="28"/>
      <c r="AJ100" s="28"/>
      <c r="AK100" s="28"/>
      <c r="AL100" s="28"/>
    </row>
    <row r="101" spans="1:38" s="4" customFormat="1" ht="12.75" customHeight="1" x14ac:dyDescent="0.2">
      <c r="A101" s="8"/>
      <c r="B101" s="1102"/>
      <c r="C101" s="1103"/>
      <c r="D101" s="1103"/>
      <c r="E101" s="1103"/>
      <c r="F101" s="1103"/>
      <c r="G101" s="1103"/>
      <c r="H101" s="1103"/>
      <c r="I101" s="1103"/>
      <c r="J101" s="1103"/>
      <c r="K101" s="1103"/>
      <c r="L101" s="1103"/>
      <c r="M101" s="1103"/>
      <c r="N101" s="1104"/>
      <c r="O101" s="8"/>
      <c r="P101" s="700"/>
      <c r="Q101" s="700"/>
      <c r="R101" s="700"/>
      <c r="S101" s="700"/>
      <c r="T101" s="700"/>
      <c r="U101" s="700"/>
      <c r="V101" s="700"/>
      <c r="W101" s="700"/>
      <c r="X101" s="700"/>
      <c r="Y101" s="700"/>
      <c r="Z101" s="700"/>
      <c r="AA101" s="700"/>
      <c r="AB101" s="700"/>
      <c r="AC101" s="8"/>
      <c r="AD101" s="34"/>
      <c r="AE101" s="34"/>
      <c r="AF101" s="34"/>
      <c r="AG101" s="34"/>
      <c r="AH101" s="34"/>
      <c r="AI101" s="28"/>
      <c r="AJ101" s="28"/>
      <c r="AK101" s="28"/>
      <c r="AL101" s="28"/>
    </row>
    <row r="102" spans="1:38" s="4" customFormat="1" ht="12.75" customHeight="1" x14ac:dyDescent="0.2">
      <c r="A102" s="8"/>
      <c r="B102" s="1102"/>
      <c r="C102" s="1103"/>
      <c r="D102" s="1103"/>
      <c r="E102" s="1103"/>
      <c r="F102" s="1103"/>
      <c r="G102" s="1103"/>
      <c r="H102" s="1103"/>
      <c r="I102" s="1103"/>
      <c r="J102" s="1103"/>
      <c r="K102" s="1103"/>
      <c r="L102" s="1103"/>
      <c r="M102" s="1103"/>
      <c r="N102" s="1104"/>
      <c r="O102" s="8"/>
      <c r="P102" s="700"/>
      <c r="Q102" s="700"/>
      <c r="R102" s="700"/>
      <c r="S102" s="700"/>
      <c r="T102" s="700"/>
      <c r="U102" s="700"/>
      <c r="V102" s="700"/>
      <c r="W102" s="700"/>
      <c r="X102" s="700"/>
      <c r="Y102" s="700"/>
      <c r="Z102" s="700"/>
      <c r="AA102" s="700"/>
      <c r="AB102" s="700"/>
      <c r="AC102" s="8"/>
      <c r="AD102" s="35"/>
      <c r="AE102" s="33"/>
      <c r="AF102" s="35"/>
      <c r="AG102" s="33"/>
      <c r="AH102" s="35"/>
      <c r="AI102" s="21"/>
      <c r="AJ102" s="30"/>
      <c r="AK102" s="21"/>
      <c r="AL102" s="30"/>
    </row>
    <row r="103" spans="1:38" s="4" customFormat="1" ht="12.75" customHeight="1" x14ac:dyDescent="0.2">
      <c r="A103" s="8"/>
      <c r="B103" s="1102"/>
      <c r="C103" s="1103"/>
      <c r="D103" s="1103"/>
      <c r="E103" s="1103"/>
      <c r="F103" s="1103"/>
      <c r="G103" s="1103"/>
      <c r="H103" s="1103"/>
      <c r="I103" s="1103"/>
      <c r="J103" s="1103"/>
      <c r="K103" s="1103"/>
      <c r="L103" s="1103"/>
      <c r="M103" s="1103"/>
      <c r="N103" s="1104"/>
      <c r="O103" s="8"/>
      <c r="P103" s="700"/>
      <c r="Q103" s="700"/>
      <c r="R103" s="700"/>
      <c r="S103" s="700"/>
      <c r="T103" s="700"/>
      <c r="U103" s="700"/>
      <c r="V103" s="700"/>
      <c r="W103" s="700"/>
      <c r="X103" s="700"/>
      <c r="Y103" s="700"/>
      <c r="Z103" s="700"/>
      <c r="AA103" s="700"/>
      <c r="AB103" s="700"/>
      <c r="AC103" s="8"/>
      <c r="AD103" s="33"/>
      <c r="AE103" s="33"/>
      <c r="AF103" s="33"/>
      <c r="AG103" s="33"/>
      <c r="AH103" s="33"/>
      <c r="AI103" s="21"/>
      <c r="AJ103" s="21"/>
      <c r="AK103" s="21"/>
      <c r="AL103" s="21"/>
    </row>
    <row r="104" spans="1:38" s="4" customFormat="1" x14ac:dyDescent="0.2">
      <c r="A104" s="8"/>
      <c r="B104" s="1102"/>
      <c r="C104" s="1103"/>
      <c r="D104" s="1103"/>
      <c r="E104" s="1103"/>
      <c r="F104" s="1103"/>
      <c r="G104" s="1103"/>
      <c r="H104" s="1103"/>
      <c r="I104" s="1103"/>
      <c r="J104" s="1103"/>
      <c r="K104" s="1103"/>
      <c r="L104" s="1103"/>
      <c r="M104" s="1103"/>
      <c r="N104" s="1104"/>
      <c r="O104" s="8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8"/>
      <c r="AD104" s="34"/>
      <c r="AE104" s="34"/>
      <c r="AF104" s="34"/>
      <c r="AG104" s="34"/>
      <c r="AH104" s="34"/>
      <c r="AI104" s="28"/>
      <c r="AJ104" s="28"/>
      <c r="AK104" s="28"/>
      <c r="AL104" s="28"/>
    </row>
    <row r="105" spans="1:38" s="4" customFormat="1" x14ac:dyDescent="0.2">
      <c r="A105" s="8"/>
      <c r="B105" s="1102"/>
      <c r="C105" s="1103"/>
      <c r="D105" s="1103"/>
      <c r="E105" s="1103"/>
      <c r="F105" s="1103"/>
      <c r="G105" s="1103"/>
      <c r="H105" s="1103"/>
      <c r="I105" s="1103"/>
      <c r="J105" s="1103"/>
      <c r="K105" s="1103"/>
      <c r="L105" s="1103"/>
      <c r="M105" s="1103"/>
      <c r="N105" s="1104"/>
      <c r="O105" s="8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8"/>
      <c r="AD105" s="8"/>
      <c r="AE105" s="8"/>
      <c r="AF105" s="8"/>
      <c r="AG105" s="8"/>
      <c r="AH105" s="8"/>
    </row>
    <row r="106" spans="1:38" s="4" customFormat="1" x14ac:dyDescent="0.2">
      <c r="A106" s="8"/>
      <c r="B106" s="1102"/>
      <c r="C106" s="1103"/>
      <c r="D106" s="1103"/>
      <c r="E106" s="1103"/>
      <c r="F106" s="1103"/>
      <c r="G106" s="1103"/>
      <c r="H106" s="1103"/>
      <c r="I106" s="1103"/>
      <c r="J106" s="1103"/>
      <c r="K106" s="1103"/>
      <c r="L106" s="1103"/>
      <c r="M106" s="1103"/>
      <c r="N106" s="1104"/>
      <c r="O106" s="8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8"/>
      <c r="AD106" s="678"/>
      <c r="AE106" s="678"/>
      <c r="AF106" s="678"/>
      <c r="AG106" s="678"/>
      <c r="AH106" s="678"/>
      <c r="AI106" s="31"/>
      <c r="AJ106" s="31"/>
      <c r="AK106" s="31"/>
      <c r="AL106" s="31"/>
    </row>
    <row r="107" spans="1:38" s="4" customFormat="1" ht="12.75" customHeight="1" x14ac:dyDescent="0.2">
      <c r="A107" s="8"/>
      <c r="B107" s="1102"/>
      <c r="C107" s="1103"/>
      <c r="D107" s="1103"/>
      <c r="E107" s="1103"/>
      <c r="F107" s="1103"/>
      <c r="G107" s="1103"/>
      <c r="H107" s="1103"/>
      <c r="I107" s="1103"/>
      <c r="J107" s="1103"/>
      <c r="K107" s="1103"/>
      <c r="L107" s="1103"/>
      <c r="M107" s="1103"/>
      <c r="N107" s="1104"/>
      <c r="O107" s="8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8"/>
      <c r="AD107" s="678"/>
      <c r="AE107" s="678"/>
      <c r="AF107" s="678"/>
      <c r="AG107" s="678"/>
      <c r="AH107" s="678"/>
      <c r="AI107" s="31"/>
      <c r="AJ107" s="31"/>
      <c r="AK107" s="31"/>
      <c r="AL107" s="31"/>
    </row>
    <row r="108" spans="1:38" s="4" customFormat="1" ht="12.75" customHeight="1" x14ac:dyDescent="0.2">
      <c r="A108" s="8"/>
      <c r="B108" s="1102"/>
      <c r="C108" s="1103"/>
      <c r="D108" s="1103"/>
      <c r="E108" s="1103"/>
      <c r="F108" s="1103"/>
      <c r="G108" s="1103"/>
      <c r="H108" s="1103"/>
      <c r="I108" s="1103"/>
      <c r="J108" s="1103"/>
      <c r="K108" s="1103"/>
      <c r="L108" s="1103"/>
      <c r="M108" s="1103"/>
      <c r="N108" s="1104"/>
      <c r="O108" s="8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8"/>
      <c r="AD108" s="678"/>
      <c r="AE108" s="678"/>
      <c r="AF108" s="678"/>
      <c r="AG108" s="678"/>
      <c r="AH108" s="678"/>
      <c r="AI108" s="31"/>
      <c r="AJ108" s="31"/>
      <c r="AK108" s="31"/>
      <c r="AL108" s="31"/>
    </row>
    <row r="109" spans="1:38" s="4" customFormat="1" ht="12.75" customHeight="1" x14ac:dyDescent="0.2">
      <c r="A109" s="8"/>
      <c r="B109" s="1102"/>
      <c r="C109" s="1103"/>
      <c r="D109" s="1103"/>
      <c r="E109" s="1103"/>
      <c r="F109" s="1103"/>
      <c r="G109" s="1103"/>
      <c r="H109" s="1103"/>
      <c r="I109" s="1103"/>
      <c r="J109" s="1103"/>
      <c r="K109" s="1103"/>
      <c r="L109" s="1103"/>
      <c r="M109" s="1103"/>
      <c r="N109" s="1104"/>
      <c r="O109" s="8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8"/>
      <c r="AD109" s="678"/>
      <c r="AE109" s="678"/>
      <c r="AF109" s="678"/>
      <c r="AG109" s="678"/>
      <c r="AH109" s="678"/>
      <c r="AI109" s="31"/>
      <c r="AJ109" s="31"/>
      <c r="AK109" s="31"/>
      <c r="AL109" s="31"/>
    </row>
    <row r="110" spans="1:38" s="4" customFormat="1" ht="12.75" customHeight="1" x14ac:dyDescent="0.2">
      <c r="A110" s="8"/>
      <c r="B110" s="1102"/>
      <c r="C110" s="1103"/>
      <c r="D110" s="1103"/>
      <c r="E110" s="1103"/>
      <c r="F110" s="1103"/>
      <c r="G110" s="1103"/>
      <c r="H110" s="1103"/>
      <c r="I110" s="1103"/>
      <c r="J110" s="1103"/>
      <c r="K110" s="1103"/>
      <c r="L110" s="1103"/>
      <c r="M110" s="1103"/>
      <c r="N110" s="1104"/>
      <c r="O110" s="8"/>
      <c r="P110" s="700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8"/>
      <c r="AD110" s="678"/>
      <c r="AE110" s="678"/>
      <c r="AF110" s="678"/>
      <c r="AG110" s="678"/>
      <c r="AH110" s="678"/>
      <c r="AI110" s="31"/>
      <c r="AJ110" s="31"/>
      <c r="AK110" s="31"/>
      <c r="AL110" s="31"/>
    </row>
    <row r="111" spans="1:38" s="4" customFormat="1" ht="12.75" customHeight="1" x14ac:dyDescent="0.2">
      <c r="A111" s="8"/>
      <c r="B111" s="1102"/>
      <c r="C111" s="1103"/>
      <c r="D111" s="1103"/>
      <c r="E111" s="1103"/>
      <c r="F111" s="1103"/>
      <c r="G111" s="1103"/>
      <c r="H111" s="1103"/>
      <c r="I111" s="1103"/>
      <c r="J111" s="1103"/>
      <c r="K111" s="1103"/>
      <c r="L111" s="1103"/>
      <c r="M111" s="1103"/>
      <c r="N111" s="1104"/>
      <c r="O111" s="8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8"/>
      <c r="AD111" s="678"/>
      <c r="AE111" s="678"/>
      <c r="AF111" s="678"/>
      <c r="AG111" s="678"/>
      <c r="AH111" s="678"/>
      <c r="AI111" s="31"/>
      <c r="AJ111" s="31"/>
      <c r="AK111" s="31"/>
      <c r="AL111" s="31"/>
    </row>
    <row r="112" spans="1:38" s="4" customFormat="1" ht="12.75" customHeight="1" x14ac:dyDescent="0.2">
      <c r="A112" s="8"/>
      <c r="B112" s="1102"/>
      <c r="C112" s="1103"/>
      <c r="D112" s="1103"/>
      <c r="E112" s="1103"/>
      <c r="F112" s="1103"/>
      <c r="G112" s="1103"/>
      <c r="H112" s="1103"/>
      <c r="I112" s="1103"/>
      <c r="J112" s="1103"/>
      <c r="K112" s="1103"/>
      <c r="L112" s="1103"/>
      <c r="M112" s="1103"/>
      <c r="N112" s="1104"/>
      <c r="O112" s="8"/>
      <c r="P112" s="699"/>
      <c r="Q112" s="699"/>
      <c r="R112" s="699"/>
      <c r="S112" s="699"/>
      <c r="T112" s="699"/>
      <c r="U112" s="699"/>
      <c r="V112" s="699"/>
      <c r="W112" s="699"/>
      <c r="X112" s="699"/>
      <c r="Y112" s="699"/>
      <c r="Z112" s="699"/>
      <c r="AA112" s="699"/>
      <c r="AB112" s="699"/>
      <c r="AC112" s="8"/>
      <c r="AD112" s="678"/>
      <c r="AE112" s="678"/>
      <c r="AF112" s="678"/>
      <c r="AG112" s="678"/>
      <c r="AH112" s="678"/>
      <c r="AI112" s="31"/>
      <c r="AJ112" s="31"/>
      <c r="AK112" s="31"/>
      <c r="AL112" s="31"/>
    </row>
    <row r="113" spans="1:38" s="4" customFormat="1" ht="12.75" customHeight="1" x14ac:dyDescent="0.2">
      <c r="A113" s="8"/>
      <c r="B113" s="1102"/>
      <c r="C113" s="1103"/>
      <c r="D113" s="1103"/>
      <c r="E113" s="1103"/>
      <c r="F113" s="1103"/>
      <c r="G113" s="1103"/>
      <c r="H113" s="1103"/>
      <c r="I113" s="1103"/>
      <c r="J113" s="1103"/>
      <c r="K113" s="1103"/>
      <c r="L113" s="1103"/>
      <c r="M113" s="1103"/>
      <c r="N113" s="1104"/>
      <c r="O113" s="8"/>
      <c r="P113" s="699"/>
      <c r="Q113" s="699"/>
      <c r="R113" s="699"/>
      <c r="S113" s="699"/>
      <c r="T113" s="699"/>
      <c r="U113" s="699"/>
      <c r="V113" s="699"/>
      <c r="W113" s="699"/>
      <c r="X113" s="699"/>
      <c r="Y113" s="699"/>
      <c r="Z113" s="699"/>
      <c r="AA113" s="699"/>
      <c r="AB113" s="699"/>
      <c r="AC113" s="8"/>
      <c r="AD113" s="678"/>
      <c r="AE113" s="678"/>
      <c r="AF113" s="678"/>
      <c r="AG113" s="678"/>
      <c r="AH113" s="678"/>
      <c r="AI113" s="31"/>
      <c r="AJ113" s="31"/>
      <c r="AK113" s="31"/>
      <c r="AL113" s="31"/>
    </row>
    <row r="114" spans="1:38" s="4" customFormat="1" ht="18.75" customHeight="1" x14ac:dyDescent="0.2">
      <c r="A114" s="8"/>
      <c r="B114" s="1102"/>
      <c r="C114" s="1103"/>
      <c r="D114" s="1103"/>
      <c r="E114" s="1103"/>
      <c r="F114" s="1103"/>
      <c r="G114" s="1103"/>
      <c r="H114" s="1103"/>
      <c r="I114" s="1103"/>
      <c r="J114" s="1103"/>
      <c r="K114" s="1103"/>
      <c r="L114" s="1103"/>
      <c r="M114" s="1103"/>
      <c r="N114" s="1104"/>
      <c r="O114" s="8"/>
      <c r="P114" s="699"/>
      <c r="Q114" s="699"/>
      <c r="R114" s="699"/>
      <c r="S114" s="699"/>
      <c r="T114" s="699"/>
      <c r="U114" s="699"/>
      <c r="V114" s="699"/>
      <c r="W114" s="699"/>
      <c r="X114" s="699"/>
      <c r="Y114" s="699"/>
      <c r="Z114" s="699"/>
      <c r="AA114" s="699"/>
      <c r="AB114" s="699"/>
      <c r="AC114" s="8"/>
      <c r="AD114" s="678"/>
      <c r="AE114" s="678"/>
      <c r="AF114" s="678"/>
      <c r="AG114" s="678"/>
      <c r="AH114" s="678"/>
      <c r="AI114" s="31"/>
      <c r="AJ114" s="31"/>
      <c r="AK114" s="31"/>
      <c r="AL114" s="31"/>
    </row>
    <row r="115" spans="1:38" s="4" customFormat="1" ht="12.75" customHeight="1" x14ac:dyDescent="0.2">
      <c r="A115" s="8"/>
      <c r="B115" s="1102"/>
      <c r="C115" s="1103"/>
      <c r="D115" s="1103"/>
      <c r="E115" s="1103"/>
      <c r="F115" s="1103"/>
      <c r="G115" s="1103"/>
      <c r="H115" s="1103"/>
      <c r="I115" s="1103"/>
      <c r="J115" s="1103"/>
      <c r="K115" s="1103"/>
      <c r="L115" s="1103"/>
      <c r="M115" s="1103"/>
      <c r="N115" s="1104"/>
      <c r="O115" s="8"/>
      <c r="P115" s="699"/>
      <c r="Q115" s="699"/>
      <c r="R115" s="699"/>
      <c r="S115" s="699"/>
      <c r="T115" s="699"/>
      <c r="U115" s="699"/>
      <c r="V115" s="699"/>
      <c r="W115" s="699"/>
      <c r="X115" s="699"/>
      <c r="Y115" s="699"/>
      <c r="Z115" s="699"/>
      <c r="AA115" s="699"/>
      <c r="AB115" s="699"/>
      <c r="AC115" s="8"/>
      <c r="AD115" s="678"/>
      <c r="AE115" s="26"/>
      <c r="AF115" s="26"/>
      <c r="AG115" s="26"/>
      <c r="AH115" s="26"/>
      <c r="AI115" s="22"/>
      <c r="AJ115" s="22"/>
      <c r="AK115" s="22"/>
      <c r="AL115" s="22"/>
    </row>
    <row r="116" spans="1:38" s="4" customFormat="1" ht="12.75" customHeight="1" x14ac:dyDescent="0.2">
      <c r="A116" s="8"/>
      <c r="B116" s="1102"/>
      <c r="C116" s="1103"/>
      <c r="D116" s="1103"/>
      <c r="E116" s="1103"/>
      <c r="F116" s="1103"/>
      <c r="G116" s="1103"/>
      <c r="H116" s="1103"/>
      <c r="I116" s="1103"/>
      <c r="J116" s="1103"/>
      <c r="K116" s="1103"/>
      <c r="L116" s="1103"/>
      <c r="M116" s="1103"/>
      <c r="N116" s="1104"/>
      <c r="O116" s="8"/>
      <c r="P116" s="697"/>
      <c r="Q116" s="697"/>
      <c r="R116" s="697"/>
      <c r="S116" s="697"/>
      <c r="T116" s="697"/>
      <c r="U116" s="697"/>
      <c r="V116" s="697"/>
      <c r="W116" s="697"/>
      <c r="X116" s="697"/>
      <c r="Y116" s="697"/>
      <c r="Z116" s="697"/>
      <c r="AA116" s="697"/>
      <c r="AB116" s="697"/>
      <c r="AC116" s="8"/>
      <c r="AD116" s="678"/>
      <c r="AE116" s="8"/>
      <c r="AF116" s="8"/>
      <c r="AG116" s="8"/>
      <c r="AH116" s="8"/>
    </row>
    <row r="117" spans="1:38" s="4" customFormat="1" ht="12.75" customHeight="1" x14ac:dyDescent="0.2">
      <c r="A117" s="8"/>
      <c r="B117" s="1102"/>
      <c r="C117" s="1103"/>
      <c r="D117" s="1103"/>
      <c r="E117" s="1103"/>
      <c r="F117" s="1103"/>
      <c r="G117" s="1103"/>
      <c r="H117" s="1103"/>
      <c r="I117" s="1103"/>
      <c r="J117" s="1103"/>
      <c r="K117" s="1103"/>
      <c r="L117" s="1103"/>
      <c r="M117" s="1103"/>
      <c r="N117" s="1104"/>
      <c r="O117" s="8"/>
      <c r="P117" s="697"/>
      <c r="Q117" s="697"/>
      <c r="R117" s="697"/>
      <c r="S117" s="697"/>
      <c r="T117" s="697"/>
      <c r="U117" s="697"/>
      <c r="V117" s="697"/>
      <c r="W117" s="697"/>
      <c r="X117" s="697"/>
      <c r="Y117" s="697"/>
      <c r="Z117" s="697"/>
      <c r="AA117" s="697"/>
      <c r="AB117" s="697"/>
      <c r="AC117" s="8"/>
      <c r="AD117" s="678"/>
      <c r="AE117" s="681"/>
      <c r="AF117" s="681"/>
      <c r="AG117" s="681"/>
      <c r="AH117" s="681"/>
      <c r="AI117" s="676"/>
      <c r="AJ117" s="676"/>
      <c r="AK117" s="676"/>
      <c r="AL117" s="676"/>
    </row>
    <row r="118" spans="1:38" s="4" customFormat="1" ht="12.75" customHeight="1" x14ac:dyDescent="0.2">
      <c r="A118" s="8"/>
      <c r="B118" s="1102"/>
      <c r="C118" s="1103"/>
      <c r="D118" s="1103"/>
      <c r="E118" s="1103"/>
      <c r="F118" s="1103"/>
      <c r="G118" s="1103"/>
      <c r="H118" s="1103"/>
      <c r="I118" s="1103"/>
      <c r="J118" s="1103"/>
      <c r="K118" s="1103"/>
      <c r="L118" s="1103"/>
      <c r="M118" s="1103"/>
      <c r="N118" s="1104"/>
      <c r="O118" s="8"/>
      <c r="P118" s="697"/>
      <c r="Q118" s="697"/>
      <c r="R118" s="697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681"/>
      <c r="AG118" s="681"/>
      <c r="AH118" s="681"/>
      <c r="AI118" s="676"/>
      <c r="AJ118" s="676"/>
      <c r="AK118" s="676"/>
      <c r="AL118" s="676"/>
    </row>
    <row r="119" spans="1:38" s="4" customFormat="1" ht="13.5" customHeight="1" x14ac:dyDescent="0.2">
      <c r="A119" s="8"/>
      <c r="B119" s="1102"/>
      <c r="C119" s="1103"/>
      <c r="D119" s="1103"/>
      <c r="E119" s="1103"/>
      <c r="F119" s="1103"/>
      <c r="G119" s="1103"/>
      <c r="H119" s="1103"/>
      <c r="I119" s="1103"/>
      <c r="J119" s="1103"/>
      <c r="K119" s="1103"/>
      <c r="L119" s="1103"/>
      <c r="M119" s="1103"/>
      <c r="N119" s="1104"/>
      <c r="O119" s="8"/>
      <c r="P119" s="73"/>
      <c r="Q119" s="73"/>
      <c r="R119" s="73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681"/>
      <c r="AG119" s="681"/>
      <c r="AH119" s="681"/>
      <c r="AI119" s="676"/>
      <c r="AJ119" s="676"/>
      <c r="AK119" s="676"/>
      <c r="AL119" s="676"/>
    </row>
    <row r="120" spans="1:38" s="4" customFormat="1" ht="12.75" customHeight="1" x14ac:dyDescent="0.2">
      <c r="A120" s="8"/>
      <c r="B120" s="1102"/>
      <c r="C120" s="1103"/>
      <c r="D120" s="1103"/>
      <c r="E120" s="1103"/>
      <c r="F120" s="1103"/>
      <c r="G120" s="1103"/>
      <c r="H120" s="1103"/>
      <c r="I120" s="1103"/>
      <c r="J120" s="1103"/>
      <c r="K120" s="1103"/>
      <c r="L120" s="1103"/>
      <c r="M120" s="1103"/>
      <c r="N120" s="1104"/>
      <c r="O120" s="8"/>
      <c r="P120" s="698"/>
      <c r="Q120" s="699"/>
      <c r="R120" s="699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  <c r="AD120" s="33"/>
      <c r="AE120" s="33"/>
      <c r="AF120" s="681"/>
      <c r="AG120" s="681"/>
      <c r="AH120" s="681"/>
      <c r="AI120" s="676"/>
      <c r="AJ120" s="676"/>
      <c r="AK120" s="676"/>
      <c r="AL120" s="676"/>
    </row>
    <row r="121" spans="1:38" s="4" customFormat="1" ht="13.5" customHeight="1" x14ac:dyDescent="0.2">
      <c r="A121" s="8"/>
      <c r="B121" s="1102"/>
      <c r="C121" s="1103"/>
      <c r="D121" s="1103"/>
      <c r="E121" s="1103"/>
      <c r="F121" s="1103"/>
      <c r="G121" s="1103"/>
      <c r="H121" s="1103"/>
      <c r="I121" s="1103"/>
      <c r="J121" s="1103"/>
      <c r="K121" s="1103"/>
      <c r="L121" s="1103"/>
      <c r="M121" s="1103"/>
      <c r="N121" s="1104"/>
      <c r="O121" s="8"/>
      <c r="P121" s="699"/>
      <c r="Q121" s="699"/>
      <c r="R121" s="699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D121" s="33"/>
      <c r="AE121" s="33"/>
      <c r="AF121" s="681"/>
      <c r="AG121" s="681"/>
      <c r="AH121" s="681"/>
      <c r="AI121" s="676"/>
      <c r="AJ121" s="676"/>
      <c r="AK121" s="676"/>
      <c r="AL121" s="676"/>
    </row>
    <row r="122" spans="1:38" s="4" customFormat="1" ht="12.75" customHeight="1" x14ac:dyDescent="0.2">
      <c r="A122" s="8"/>
      <c r="B122" s="1102"/>
      <c r="C122" s="1103"/>
      <c r="D122" s="1103"/>
      <c r="E122" s="1103"/>
      <c r="F122" s="1103"/>
      <c r="G122" s="1103"/>
      <c r="H122" s="1103"/>
      <c r="I122" s="1103"/>
      <c r="J122" s="1103"/>
      <c r="K122" s="1103"/>
      <c r="L122" s="1103"/>
      <c r="M122" s="1103"/>
      <c r="N122" s="1104"/>
      <c r="O122" s="8"/>
      <c r="P122" s="699"/>
      <c r="Q122" s="699"/>
      <c r="R122" s="699"/>
      <c r="S122" s="35"/>
      <c r="T122" s="33"/>
      <c r="U122" s="33"/>
      <c r="V122" s="35"/>
      <c r="W122" s="35"/>
      <c r="X122" s="35"/>
      <c r="Y122" s="35"/>
      <c r="Z122" s="33"/>
      <c r="AA122" s="33"/>
      <c r="AB122" s="33"/>
      <c r="AC122" s="33"/>
      <c r="AD122" s="33"/>
      <c r="AE122" s="33"/>
      <c r="AF122" s="681"/>
      <c r="AG122" s="681"/>
      <c r="AH122" s="681"/>
      <c r="AI122" s="676"/>
      <c r="AJ122" s="676"/>
      <c r="AK122" s="676"/>
      <c r="AL122" s="676"/>
    </row>
    <row r="123" spans="1:38" s="4" customFormat="1" ht="12.75" customHeight="1" x14ac:dyDescent="0.2">
      <c r="A123" s="8"/>
      <c r="B123" s="1058" t="s">
        <v>1468</v>
      </c>
      <c r="C123" s="1059"/>
      <c r="D123" s="1059"/>
      <c r="E123" s="1059"/>
      <c r="F123" s="1059"/>
      <c r="G123" s="1059"/>
      <c r="H123" s="1059"/>
      <c r="I123" s="1059"/>
      <c r="J123" s="1059"/>
      <c r="K123" s="1059"/>
      <c r="L123" s="1059"/>
      <c r="M123" s="1059"/>
      <c r="N123" s="1060"/>
      <c r="O123" s="8"/>
      <c r="P123" s="699"/>
      <c r="Q123" s="699"/>
      <c r="R123" s="699"/>
      <c r="S123" s="33"/>
      <c r="T123" s="33"/>
      <c r="U123" s="33"/>
      <c r="V123" s="35"/>
      <c r="W123" s="35"/>
      <c r="X123" s="35"/>
      <c r="Y123" s="33"/>
      <c r="Z123" s="33"/>
      <c r="AA123" s="33"/>
      <c r="AB123" s="33"/>
      <c r="AC123" s="33"/>
      <c r="AD123" s="33"/>
      <c r="AE123" s="33"/>
      <c r="AF123" s="681"/>
      <c r="AG123" s="681"/>
      <c r="AH123" s="681"/>
      <c r="AI123" s="676"/>
      <c r="AJ123" s="676"/>
      <c r="AK123" s="676"/>
      <c r="AL123" s="676"/>
    </row>
    <row r="124" spans="1:38" s="4" customFormat="1" ht="13.5" customHeight="1" x14ac:dyDescent="0.2">
      <c r="A124" s="8"/>
      <c r="B124" s="1098" t="s">
        <v>1469</v>
      </c>
      <c r="C124" s="1099"/>
      <c r="D124" s="1099"/>
      <c r="E124" s="1099"/>
      <c r="F124" s="1099"/>
      <c r="G124" s="1099"/>
      <c r="H124" s="1099"/>
      <c r="I124" s="1099"/>
      <c r="J124" s="1099"/>
      <c r="K124" s="1099"/>
      <c r="L124" s="1099"/>
      <c r="M124" s="1099"/>
      <c r="N124" s="1100"/>
      <c r="O124" s="8"/>
      <c r="P124" s="699"/>
      <c r="Q124" s="699"/>
      <c r="R124" s="699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681"/>
      <c r="AG124" s="681"/>
      <c r="AH124" s="681"/>
      <c r="AI124" s="676"/>
      <c r="AJ124" s="676"/>
      <c r="AK124" s="676"/>
      <c r="AL124" s="676"/>
    </row>
    <row r="125" spans="1:38" s="4" customFormat="1" ht="12.75" customHeight="1" x14ac:dyDescent="0.2">
      <c r="A125" s="8"/>
      <c r="B125" s="1073" t="s">
        <v>1470</v>
      </c>
      <c r="C125" s="1074"/>
      <c r="D125" s="1074"/>
      <c r="E125" s="1074"/>
      <c r="F125" s="1074" t="s">
        <v>1444</v>
      </c>
      <c r="G125" s="1074"/>
      <c r="H125" s="1074"/>
      <c r="I125" s="1074"/>
      <c r="J125" s="1074"/>
      <c r="K125" s="1074" t="s">
        <v>1389</v>
      </c>
      <c r="L125" s="1074"/>
      <c r="M125" s="1074"/>
      <c r="N125" s="1101"/>
      <c r="O125" s="8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  <c r="AD125" s="33"/>
      <c r="AE125" s="33"/>
      <c r="AF125" s="681"/>
      <c r="AG125" s="681"/>
      <c r="AH125" s="681"/>
      <c r="AI125" s="676"/>
      <c r="AJ125" s="676"/>
      <c r="AK125" s="676"/>
      <c r="AL125" s="676"/>
    </row>
    <row r="126" spans="1:38" s="4" customFormat="1" x14ac:dyDescent="0.2">
      <c r="A126" s="8"/>
      <c r="B126" s="1073"/>
      <c r="C126" s="1074"/>
      <c r="D126" s="1074"/>
      <c r="E126" s="1074"/>
      <c r="F126" s="1074"/>
      <c r="G126" s="1074"/>
      <c r="H126" s="1074"/>
      <c r="I126" s="1074"/>
      <c r="J126" s="1074"/>
      <c r="K126" s="1074"/>
      <c r="L126" s="1074"/>
      <c r="M126" s="1074"/>
      <c r="N126" s="1101"/>
      <c r="O126" s="8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  <c r="AD126" s="33"/>
      <c r="AE126" s="33"/>
      <c r="AF126" s="681"/>
      <c r="AG126" s="681"/>
      <c r="AH126" s="681"/>
      <c r="AI126" s="676"/>
      <c r="AJ126" s="676"/>
      <c r="AK126" s="676"/>
      <c r="AL126" s="676"/>
    </row>
    <row r="127" spans="1:38" s="4" customFormat="1" ht="12.75" customHeight="1" x14ac:dyDescent="0.2">
      <c r="A127" s="8"/>
      <c r="B127" s="1090">
        <f>case3i_din_heave_up</f>
        <v>0</v>
      </c>
      <c r="C127" s="1091"/>
      <c r="D127" s="1091"/>
      <c r="E127" s="1092"/>
      <c r="F127" s="1093">
        <f>case3i_din_mbr_linha</f>
        <v>0</v>
      </c>
      <c r="G127" s="1091"/>
      <c r="H127" s="1091"/>
      <c r="I127" s="1091"/>
      <c r="J127" s="1092"/>
      <c r="K127" s="1094">
        <f>case3i_din_mbr_vert</f>
        <v>0</v>
      </c>
      <c r="L127" s="1094"/>
      <c r="M127" s="1094"/>
      <c r="N127" s="1095"/>
      <c r="O127" s="8"/>
      <c r="P127" s="33"/>
      <c r="Q127" s="33"/>
      <c r="R127" s="33"/>
      <c r="S127" s="33"/>
      <c r="T127" s="33"/>
      <c r="U127" s="33"/>
      <c r="V127" s="35"/>
      <c r="W127" s="35"/>
      <c r="X127" s="35"/>
      <c r="Y127" s="35"/>
      <c r="Z127" s="35"/>
      <c r="AA127" s="35"/>
      <c r="AB127" s="35"/>
      <c r="AC127" s="33"/>
      <c r="AD127" s="33"/>
      <c r="AE127" s="33"/>
      <c r="AF127" s="681"/>
      <c r="AG127" s="681"/>
      <c r="AH127" s="681"/>
      <c r="AI127" s="676"/>
      <c r="AJ127" s="676"/>
      <c r="AK127" s="676"/>
      <c r="AL127" s="676"/>
    </row>
    <row r="128" spans="1:38" s="4" customFormat="1" ht="12.75" customHeight="1" x14ac:dyDescent="0.2">
      <c r="A128" s="8"/>
      <c r="B128" s="1090"/>
      <c r="C128" s="1091"/>
      <c r="D128" s="1091"/>
      <c r="E128" s="1092"/>
      <c r="F128" s="1093"/>
      <c r="G128" s="1091"/>
      <c r="H128" s="1091"/>
      <c r="I128" s="1091"/>
      <c r="J128" s="1092"/>
      <c r="K128" s="1096"/>
      <c r="L128" s="1096"/>
      <c r="M128" s="1096"/>
      <c r="N128" s="1097"/>
      <c r="O128" s="8"/>
      <c r="P128" s="33"/>
      <c r="Q128" s="33"/>
      <c r="R128" s="33"/>
      <c r="S128" s="33"/>
      <c r="T128" s="33"/>
      <c r="U128" s="33"/>
      <c r="V128" s="35"/>
      <c r="W128" s="35"/>
      <c r="X128" s="35"/>
      <c r="Y128" s="35"/>
      <c r="Z128" s="35"/>
      <c r="AA128" s="35"/>
      <c r="AB128" s="33"/>
      <c r="AC128" s="33"/>
      <c r="AD128" s="33"/>
      <c r="AE128" s="33"/>
      <c r="AF128" s="681"/>
      <c r="AG128" s="681"/>
      <c r="AH128" s="681"/>
      <c r="AI128" s="676"/>
      <c r="AJ128" s="676"/>
      <c r="AK128" s="676"/>
      <c r="AL128" s="676"/>
    </row>
    <row r="129" spans="1:38" s="4" customFormat="1" ht="12.75" customHeight="1" x14ac:dyDescent="0.2">
      <c r="A129" s="8"/>
      <c r="B129" s="1098" t="s">
        <v>1472</v>
      </c>
      <c r="C129" s="1099"/>
      <c r="D129" s="1099"/>
      <c r="E129" s="1099"/>
      <c r="F129" s="1099"/>
      <c r="G129" s="1099"/>
      <c r="H129" s="1099"/>
      <c r="I129" s="1099"/>
      <c r="J129" s="1099"/>
      <c r="K129" s="1099"/>
      <c r="L129" s="1099"/>
      <c r="M129" s="1099"/>
      <c r="N129" s="1100"/>
      <c r="O129" s="8"/>
      <c r="P129" s="33"/>
      <c r="Q129" s="33"/>
      <c r="R129" s="33"/>
      <c r="S129" s="33"/>
      <c r="T129" s="33"/>
      <c r="U129" s="33"/>
      <c r="V129" s="35"/>
      <c r="W129" s="35"/>
      <c r="X129" s="35"/>
      <c r="Y129" s="35"/>
      <c r="Z129" s="35"/>
      <c r="AA129" s="35"/>
      <c r="AB129" s="35"/>
      <c r="AC129" s="33"/>
      <c r="AD129" s="33"/>
      <c r="AE129" s="33"/>
      <c r="AF129" s="681"/>
      <c r="AG129" s="681"/>
      <c r="AH129" s="681"/>
      <c r="AI129" s="676"/>
      <c r="AJ129" s="676"/>
      <c r="AK129" s="676"/>
      <c r="AL129" s="676"/>
    </row>
    <row r="130" spans="1:38" s="4" customFormat="1" ht="12.75" customHeight="1" x14ac:dyDescent="0.2">
      <c r="A130" s="8"/>
      <c r="B130" s="1073" t="s">
        <v>1473</v>
      </c>
      <c r="C130" s="1074"/>
      <c r="D130" s="1074"/>
      <c r="E130" s="1074" t="s">
        <v>1474</v>
      </c>
      <c r="F130" s="1074"/>
      <c r="G130" s="1074"/>
      <c r="H130" s="1074" t="s">
        <v>1475</v>
      </c>
      <c r="I130" s="1074"/>
      <c r="J130" s="1074"/>
      <c r="K130" s="1074" t="s">
        <v>1462</v>
      </c>
      <c r="L130" s="1074"/>
      <c r="M130" s="1074"/>
      <c r="N130" s="1101"/>
      <c r="O130" s="8"/>
      <c r="P130" s="33"/>
      <c r="Q130" s="33"/>
      <c r="R130" s="33"/>
      <c r="S130" s="33"/>
      <c r="T130" s="33"/>
      <c r="U130" s="33"/>
      <c r="V130" s="35"/>
      <c r="W130" s="35"/>
      <c r="X130" s="35"/>
      <c r="Y130" s="35"/>
      <c r="Z130" s="35"/>
      <c r="AA130" s="35"/>
      <c r="AB130" s="33"/>
      <c r="AC130" s="33"/>
      <c r="AD130" s="33"/>
      <c r="AE130" s="33"/>
      <c r="AF130" s="681"/>
      <c r="AG130" s="681"/>
      <c r="AH130" s="681"/>
      <c r="AI130" s="676"/>
      <c r="AJ130" s="676"/>
      <c r="AK130" s="676"/>
      <c r="AL130" s="676"/>
    </row>
    <row r="131" spans="1:38" s="4" customFormat="1" ht="12.75" customHeight="1" x14ac:dyDescent="0.2">
      <c r="A131" s="8"/>
      <c r="B131" s="1073"/>
      <c r="C131" s="1074"/>
      <c r="D131" s="1074"/>
      <c r="E131" s="1074"/>
      <c r="F131" s="1074"/>
      <c r="G131" s="1074"/>
      <c r="H131" s="1074"/>
      <c r="I131" s="1074"/>
      <c r="J131" s="1074"/>
      <c r="K131" s="1074"/>
      <c r="L131" s="1074"/>
      <c r="M131" s="1074"/>
      <c r="N131" s="1101"/>
      <c r="O131" s="8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  <c r="AD131" s="33"/>
      <c r="AE131" s="33"/>
      <c r="AF131" s="681"/>
      <c r="AG131" s="681"/>
      <c r="AH131" s="681"/>
      <c r="AI131" s="676"/>
      <c r="AJ131" s="676"/>
      <c r="AK131" s="676"/>
      <c r="AL131" s="676"/>
    </row>
    <row r="132" spans="1:38" s="4" customFormat="1" ht="12.75" customHeight="1" x14ac:dyDescent="0.2">
      <c r="A132" s="8"/>
      <c r="B132" s="1073" t="s">
        <v>1476</v>
      </c>
      <c r="C132" s="1074"/>
      <c r="D132" s="1074"/>
      <c r="E132" s="1075">
        <f>case3i_din_ey_moment_max</f>
        <v>0</v>
      </c>
      <c r="F132" s="1076"/>
      <c r="G132" s="1077"/>
      <c r="H132" s="1075">
        <f>case3i_din_ez_axial_max</f>
        <v>0</v>
      </c>
      <c r="I132" s="1076"/>
      <c r="J132" s="1077"/>
      <c r="K132" s="1076">
        <f>case3i_din_ex_shear_force_max</f>
        <v>0</v>
      </c>
      <c r="L132" s="1081"/>
      <c r="M132" s="1081"/>
      <c r="N132" s="1082"/>
      <c r="O132" s="8"/>
      <c r="P132" s="192"/>
      <c r="Q132" s="192"/>
      <c r="R132" s="192"/>
      <c r="S132" s="192"/>
      <c r="T132" s="192"/>
      <c r="U132" s="192"/>
      <c r="V132" s="192"/>
      <c r="W132" s="192"/>
      <c r="X132" s="192"/>
      <c r="Y132" s="192"/>
      <c r="Z132" s="192"/>
      <c r="AA132" s="192"/>
      <c r="AB132" s="192"/>
      <c r="AC132" s="8"/>
      <c r="AD132" s="20"/>
      <c r="AE132" s="20"/>
      <c r="AF132" s="20"/>
      <c r="AG132" s="20"/>
      <c r="AH132" s="20"/>
      <c r="AI132" s="23"/>
      <c r="AJ132" s="23"/>
      <c r="AK132" s="23"/>
      <c r="AL132" s="23"/>
    </row>
    <row r="133" spans="1:38" s="4" customFormat="1" ht="12.75" customHeight="1" x14ac:dyDescent="0.2">
      <c r="A133" s="8"/>
      <c r="B133" s="1073"/>
      <c r="C133" s="1074"/>
      <c r="D133" s="1074"/>
      <c r="E133" s="1078"/>
      <c r="F133" s="1079"/>
      <c r="G133" s="1080"/>
      <c r="H133" s="1078"/>
      <c r="I133" s="1079"/>
      <c r="J133" s="1080"/>
      <c r="K133" s="1083"/>
      <c r="L133" s="1083"/>
      <c r="M133" s="1083"/>
      <c r="N133" s="1084"/>
      <c r="O133" s="8"/>
      <c r="P133" s="192"/>
      <c r="Q133" s="192"/>
      <c r="R133" s="192"/>
      <c r="S133" s="192"/>
      <c r="T133" s="192"/>
      <c r="U133" s="192"/>
      <c r="V133" s="192"/>
      <c r="W133" s="192"/>
      <c r="X133" s="192"/>
      <c r="Y133" s="192"/>
      <c r="Z133" s="192"/>
      <c r="AA133" s="192"/>
      <c r="AB133" s="192"/>
      <c r="AC133" s="8"/>
      <c r="AD133" s="20"/>
      <c r="AE133" s="20"/>
      <c r="AF133" s="20"/>
      <c r="AG133" s="20"/>
      <c r="AH133" s="20"/>
      <c r="AI133" s="23"/>
      <c r="AJ133" s="23"/>
      <c r="AK133" s="23"/>
      <c r="AL133" s="23"/>
    </row>
    <row r="134" spans="1:38" s="4" customFormat="1" ht="12.75" customHeight="1" x14ac:dyDescent="0.2">
      <c r="A134" s="8"/>
      <c r="B134" s="1073" t="s">
        <v>1477</v>
      </c>
      <c r="C134" s="1074"/>
      <c r="D134" s="1074"/>
      <c r="E134" s="1078">
        <f>case3i_din_ey_moment_min</f>
        <v>0</v>
      </c>
      <c r="F134" s="1079"/>
      <c r="G134" s="1080"/>
      <c r="H134" s="1078">
        <f>case3i_din_ez_axial_min</f>
        <v>0</v>
      </c>
      <c r="I134" s="1079"/>
      <c r="J134" s="1080"/>
      <c r="K134" s="1079">
        <f>case3i_din_ex_shear_force_min</f>
        <v>0</v>
      </c>
      <c r="L134" s="1083"/>
      <c r="M134" s="1083"/>
      <c r="N134" s="1084"/>
      <c r="O134" s="8"/>
      <c r="P134" s="193"/>
      <c r="Q134" s="192"/>
      <c r="R134" s="192"/>
      <c r="S134" s="192"/>
      <c r="T134" s="192"/>
      <c r="U134" s="192"/>
      <c r="V134" s="192"/>
      <c r="W134" s="192"/>
      <c r="X134" s="192"/>
      <c r="Y134" s="192"/>
      <c r="Z134" s="192"/>
      <c r="AA134" s="192"/>
      <c r="AB134" s="192"/>
      <c r="AC134" s="8"/>
      <c r="AD134" s="20"/>
      <c r="AE134" s="20"/>
      <c r="AF134" s="20"/>
      <c r="AG134" s="20"/>
      <c r="AH134" s="20"/>
      <c r="AI134" s="23"/>
      <c r="AJ134" s="23"/>
      <c r="AK134" s="23"/>
      <c r="AL134" s="23"/>
    </row>
    <row r="135" spans="1:38" s="4" customFormat="1" ht="12.75" customHeight="1" x14ac:dyDescent="0.2">
      <c r="A135" s="8"/>
      <c r="B135" s="1073"/>
      <c r="C135" s="1074"/>
      <c r="D135" s="1074"/>
      <c r="E135" s="1085"/>
      <c r="F135" s="1086"/>
      <c r="G135" s="1087"/>
      <c r="H135" s="1085"/>
      <c r="I135" s="1086"/>
      <c r="J135" s="1087"/>
      <c r="K135" s="1088"/>
      <c r="L135" s="1088"/>
      <c r="M135" s="1088"/>
      <c r="N135" s="1089"/>
      <c r="O135" s="8"/>
      <c r="P135" s="192"/>
      <c r="Q135" s="192"/>
      <c r="R135" s="192"/>
      <c r="S135" s="192"/>
      <c r="T135" s="192"/>
      <c r="U135" s="192"/>
      <c r="V135" s="192"/>
      <c r="W135" s="192"/>
      <c r="X135" s="192"/>
      <c r="Y135" s="192"/>
      <c r="Z135" s="192"/>
      <c r="AA135" s="192"/>
      <c r="AB135" s="192"/>
      <c r="AC135" s="8"/>
      <c r="AD135" s="20"/>
      <c r="AE135" s="20"/>
      <c r="AF135" s="20"/>
      <c r="AG135" s="20"/>
      <c r="AH135" s="20"/>
      <c r="AI135" s="23"/>
      <c r="AJ135" s="23"/>
      <c r="AK135" s="23"/>
      <c r="AL135" s="23"/>
    </row>
    <row r="136" spans="1:38" s="4" customFormat="1" ht="12.75" customHeight="1" x14ac:dyDescent="0.2">
      <c r="A136" s="8"/>
      <c r="B136" s="1058" t="s">
        <v>1362</v>
      </c>
      <c r="C136" s="1059"/>
      <c r="D136" s="1059"/>
      <c r="E136" s="1059"/>
      <c r="F136" s="1059"/>
      <c r="G136" s="1059"/>
      <c r="H136" s="1059"/>
      <c r="I136" s="1059"/>
      <c r="J136" s="1059"/>
      <c r="K136" s="1059"/>
      <c r="L136" s="1059"/>
      <c r="M136" s="1059"/>
      <c r="N136" s="1060"/>
      <c r="O136" s="8"/>
      <c r="P136" s="192"/>
      <c r="Q136" s="192"/>
      <c r="R136" s="192"/>
      <c r="S136" s="192"/>
      <c r="T136" s="192"/>
      <c r="U136" s="192"/>
      <c r="V136" s="192"/>
      <c r="W136" s="192"/>
      <c r="X136" s="192"/>
      <c r="Y136" s="192"/>
      <c r="Z136" s="192"/>
      <c r="AA136" s="192"/>
      <c r="AB136" s="192"/>
      <c r="AC136" s="8"/>
      <c r="AD136" s="20"/>
      <c r="AE136" s="20"/>
      <c r="AF136" s="20"/>
      <c r="AG136" s="20"/>
      <c r="AH136" s="20"/>
      <c r="AI136" s="23"/>
      <c r="AJ136" s="23"/>
      <c r="AK136" s="23"/>
      <c r="AL136" s="23"/>
    </row>
    <row r="137" spans="1:38" s="4" customFormat="1" ht="12.75" customHeight="1" x14ac:dyDescent="0.2">
      <c r="A137" s="8"/>
      <c r="B137" s="1061" t="s">
        <v>1363</v>
      </c>
      <c r="C137" s="1062"/>
      <c r="D137" s="1062"/>
      <c r="E137" s="1062"/>
      <c r="F137" s="1062"/>
      <c r="G137" s="1062"/>
      <c r="H137" s="1062"/>
      <c r="I137" s="1062"/>
      <c r="J137" s="1062"/>
      <c r="K137" s="1062"/>
      <c r="L137" s="1062"/>
      <c r="M137" s="1062"/>
      <c r="N137" s="1063"/>
      <c r="O137" s="8"/>
      <c r="P137" s="192"/>
      <c r="Q137" s="192"/>
      <c r="R137" s="192"/>
      <c r="S137" s="192"/>
      <c r="T137" s="192"/>
      <c r="U137" s="192"/>
      <c r="V137" s="192"/>
      <c r="W137" s="192"/>
      <c r="X137" s="192"/>
      <c r="Y137" s="192"/>
      <c r="Z137" s="192"/>
      <c r="AA137" s="192"/>
      <c r="AB137" s="192"/>
      <c r="AC137" s="8"/>
      <c r="AD137" s="20"/>
      <c r="AE137" s="20"/>
      <c r="AF137" s="20"/>
      <c r="AG137" s="20"/>
      <c r="AH137" s="20"/>
      <c r="AI137" s="23"/>
      <c r="AJ137" s="23"/>
      <c r="AK137" s="23"/>
      <c r="AL137" s="23"/>
    </row>
    <row r="138" spans="1:38" s="4" customFormat="1" ht="12.75" customHeight="1" x14ac:dyDescent="0.2">
      <c r="A138" s="8"/>
      <c r="B138" s="1064" t="s">
        <v>1369</v>
      </c>
      <c r="C138" s="1065"/>
      <c r="D138" s="1065"/>
      <c r="E138" s="1065"/>
      <c r="F138" s="1065" t="s">
        <v>1370</v>
      </c>
      <c r="G138" s="1065"/>
      <c r="H138" s="1065"/>
      <c r="I138" s="1065"/>
      <c r="J138" s="1065" t="s">
        <v>1371</v>
      </c>
      <c r="K138" s="1065"/>
      <c r="L138" s="1065"/>
      <c r="M138" s="1065"/>
      <c r="N138" s="1066"/>
      <c r="O138" s="8"/>
      <c r="P138" s="192"/>
      <c r="Q138" s="192"/>
      <c r="R138" s="192"/>
      <c r="S138" s="192"/>
      <c r="T138" s="192"/>
      <c r="U138" s="192"/>
      <c r="V138" s="192"/>
      <c r="W138" s="192"/>
      <c r="X138" s="192"/>
      <c r="Y138" s="192"/>
      <c r="Z138" s="192"/>
      <c r="AA138" s="192"/>
      <c r="AB138" s="192"/>
      <c r="AC138" s="8"/>
      <c r="AD138" s="20"/>
      <c r="AE138" s="20"/>
      <c r="AF138" s="20"/>
      <c r="AG138" s="20"/>
      <c r="AH138" s="20"/>
      <c r="AI138" s="23"/>
      <c r="AJ138" s="23"/>
      <c r="AK138" s="23"/>
      <c r="AL138" s="23"/>
    </row>
    <row r="139" spans="1:38" s="4" customFormat="1" ht="12.75" customHeight="1" x14ac:dyDescent="0.2">
      <c r="A139" s="8"/>
      <c r="B139" s="1064"/>
      <c r="C139" s="1065"/>
      <c r="D139" s="1065"/>
      <c r="E139" s="1065"/>
      <c r="F139" s="1065"/>
      <c r="G139" s="1065"/>
      <c r="H139" s="1065"/>
      <c r="I139" s="1065"/>
      <c r="J139" s="1065"/>
      <c r="K139" s="1065"/>
      <c r="L139" s="1065"/>
      <c r="M139" s="1065"/>
      <c r="N139" s="1066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20"/>
      <c r="AE139" s="20"/>
      <c r="AF139" s="20"/>
      <c r="AG139" s="20"/>
      <c r="AH139" s="20"/>
      <c r="AI139" s="23"/>
      <c r="AJ139" s="23"/>
      <c r="AK139" s="23"/>
      <c r="AL139" s="23"/>
    </row>
    <row r="140" spans="1:38" s="4" customFormat="1" ht="12.75" customHeight="1" x14ac:dyDescent="0.2">
      <c r="A140" s="8"/>
      <c r="B140" s="1067">
        <f>case3ii_toque_ey_moment_max</f>
        <v>0</v>
      </c>
      <c r="C140" s="1068"/>
      <c r="D140" s="1068"/>
      <c r="E140" s="1068"/>
      <c r="F140" s="1068">
        <f>case3ii_toque_ez_axial_max</f>
        <v>0</v>
      </c>
      <c r="G140" s="1068"/>
      <c r="H140" s="1068"/>
      <c r="I140" s="1068"/>
      <c r="J140" s="1068">
        <f>case3ii_toque_ex_shear_force_max</f>
        <v>0</v>
      </c>
      <c r="K140" s="1068"/>
      <c r="L140" s="1068"/>
      <c r="M140" s="1068"/>
      <c r="N140" s="1071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20"/>
      <c r="AE140" s="20"/>
      <c r="AF140" s="20"/>
      <c r="AG140" s="20"/>
      <c r="AH140" s="20"/>
      <c r="AI140" s="23"/>
      <c r="AJ140" s="23"/>
      <c r="AK140" s="23"/>
      <c r="AL140" s="23"/>
    </row>
    <row r="141" spans="1:38" s="4" customFormat="1" ht="12.75" customHeight="1" thickBot="1" x14ac:dyDescent="0.25">
      <c r="A141" s="8"/>
      <c r="B141" s="1069"/>
      <c r="C141" s="1070"/>
      <c r="D141" s="1070"/>
      <c r="E141" s="1070"/>
      <c r="F141" s="1070"/>
      <c r="G141" s="1070"/>
      <c r="H141" s="1070"/>
      <c r="I141" s="1070"/>
      <c r="J141" s="1070"/>
      <c r="K141" s="1070"/>
      <c r="L141" s="1070"/>
      <c r="M141" s="1070"/>
      <c r="N141" s="1072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20"/>
      <c r="AE141" s="20"/>
      <c r="AF141" s="20"/>
      <c r="AG141" s="20"/>
      <c r="AH141" s="20"/>
      <c r="AI141" s="23"/>
      <c r="AJ141" s="23"/>
      <c r="AK141" s="23"/>
      <c r="AL141" s="23"/>
    </row>
    <row r="142" spans="1:38" s="4" customFormat="1" ht="12.75" customHeight="1" thickBot="1" x14ac:dyDescent="0.25">
      <c r="B142" s="711"/>
      <c r="C142" s="712"/>
      <c r="D142" s="712"/>
      <c r="E142" s="712"/>
      <c r="F142" s="713"/>
      <c r="G142" s="713"/>
      <c r="H142" s="713"/>
      <c r="I142" s="713"/>
      <c r="J142" s="713"/>
      <c r="K142" s="712"/>
      <c r="L142" s="712"/>
      <c r="M142" s="712"/>
      <c r="N142" s="714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20"/>
      <c r="AE142" s="20"/>
      <c r="AF142" s="20"/>
      <c r="AG142" s="20"/>
      <c r="AH142" s="20"/>
      <c r="AI142" s="23"/>
      <c r="AJ142" s="23"/>
      <c r="AK142" s="23"/>
      <c r="AL142" s="23"/>
    </row>
    <row r="143" spans="1:38" s="4" customFormat="1" ht="12.75" hidden="1" customHeight="1" x14ac:dyDescent="0.2">
      <c r="B143" s="23"/>
      <c r="C143" s="23"/>
      <c r="D143" s="23"/>
      <c r="E143" s="23"/>
      <c r="F143" s="701"/>
      <c r="G143" s="701"/>
      <c r="H143" s="701"/>
      <c r="I143" s="701"/>
      <c r="J143" s="23"/>
      <c r="K143" s="23"/>
      <c r="L143" s="23"/>
      <c r="M143" s="23"/>
      <c r="N143" s="23"/>
      <c r="AC143" s="8"/>
      <c r="AD143" s="20"/>
      <c r="AE143" s="20"/>
      <c r="AF143" s="20"/>
      <c r="AG143" s="20"/>
      <c r="AH143" s="20"/>
      <c r="AI143" s="23"/>
      <c r="AJ143" s="23"/>
      <c r="AK143" s="23"/>
      <c r="AL143" s="23"/>
    </row>
    <row r="144" spans="1:38" s="4" customFormat="1" ht="12.75" hidden="1" customHeight="1" x14ac:dyDescent="0.2">
      <c r="P144" s="702"/>
      <c r="Q144" s="702"/>
      <c r="R144" s="702"/>
      <c r="S144" s="702"/>
      <c r="T144" s="702"/>
      <c r="U144" s="702"/>
      <c r="V144" s="702"/>
      <c r="W144" s="702"/>
      <c r="X144" s="702"/>
      <c r="Y144" s="702"/>
      <c r="Z144" s="702"/>
      <c r="AA144" s="702"/>
      <c r="AB144" s="702"/>
      <c r="AC144" s="8"/>
      <c r="AD144" s="20"/>
      <c r="AE144" s="20"/>
      <c r="AF144" s="20"/>
      <c r="AG144" s="20"/>
      <c r="AH144" s="20"/>
      <c r="AI144" s="23"/>
      <c r="AJ144" s="23"/>
      <c r="AK144" s="23"/>
      <c r="AL144" s="23"/>
    </row>
    <row r="145" spans="8:38" s="4" customFormat="1" ht="12.75" hidden="1" customHeight="1" x14ac:dyDescent="0.2">
      <c r="P145" s="702"/>
      <c r="Q145" s="702"/>
      <c r="R145" s="702"/>
      <c r="S145" s="702"/>
      <c r="T145" s="702"/>
      <c r="U145" s="702"/>
      <c r="V145" s="702"/>
      <c r="W145" s="702"/>
      <c r="X145" s="702"/>
      <c r="Y145" s="702"/>
      <c r="Z145" s="702"/>
      <c r="AA145" s="702"/>
      <c r="AB145" s="702"/>
      <c r="AC145" s="8"/>
      <c r="AD145" s="8"/>
      <c r="AE145" s="20"/>
      <c r="AF145" s="20"/>
      <c r="AG145" s="20"/>
      <c r="AH145" s="20"/>
      <c r="AI145" s="23"/>
      <c r="AJ145" s="23"/>
      <c r="AK145" s="23"/>
      <c r="AL145" s="23"/>
    </row>
    <row r="146" spans="8:38" s="4" customFormat="1" hidden="1" x14ac:dyDescent="0.2">
      <c r="AC146" s="8"/>
      <c r="AD146" s="8"/>
      <c r="AE146" s="20"/>
      <c r="AF146" s="20"/>
      <c r="AG146" s="20"/>
      <c r="AH146" s="20"/>
      <c r="AI146" s="23"/>
      <c r="AJ146" s="23"/>
      <c r="AK146" s="23"/>
      <c r="AL146" s="23"/>
    </row>
    <row r="147" spans="8:38" s="4" customFormat="1" hidden="1" x14ac:dyDescent="0.2">
      <c r="AC147" s="8"/>
      <c r="AD147" s="8"/>
      <c r="AE147" s="20"/>
      <c r="AF147" s="20"/>
      <c r="AG147" s="20"/>
      <c r="AH147" s="20"/>
      <c r="AI147" s="23"/>
      <c r="AJ147" s="23"/>
      <c r="AK147" s="23"/>
      <c r="AL147" s="23"/>
    </row>
    <row r="148" spans="8:38" s="4" customFormat="1" hidden="1" x14ac:dyDescent="0.2">
      <c r="AC148" s="8"/>
      <c r="AD148" s="8"/>
      <c r="AE148" s="20"/>
      <c r="AF148" s="20"/>
      <c r="AG148" s="20"/>
      <c r="AH148" s="20"/>
      <c r="AI148" s="23"/>
      <c r="AJ148" s="23"/>
      <c r="AK148" s="23"/>
      <c r="AL148" s="23"/>
    </row>
    <row r="149" spans="8:38" s="4" customFormat="1" hidden="1" x14ac:dyDescent="0.2">
      <c r="AC149" s="8"/>
      <c r="AD149" s="8"/>
      <c r="AE149" s="20"/>
      <c r="AF149" s="20"/>
      <c r="AG149" s="20"/>
      <c r="AH149" s="20"/>
      <c r="AI149" s="23"/>
      <c r="AJ149" s="23"/>
      <c r="AK149" s="23"/>
      <c r="AL149" s="23"/>
    </row>
    <row r="150" spans="8:38" s="4" customFormat="1" hidden="1" x14ac:dyDescent="0.2">
      <c r="H150" s="703"/>
      <c r="AC150" s="8"/>
      <c r="AD150" s="8"/>
      <c r="AE150" s="20"/>
      <c r="AF150" s="20"/>
      <c r="AG150" s="20"/>
      <c r="AH150" s="20"/>
      <c r="AI150" s="23"/>
      <c r="AJ150" s="23"/>
      <c r="AK150" s="23"/>
      <c r="AL150" s="23"/>
    </row>
    <row r="151" spans="8:38" s="4" customFormat="1" hidden="1" x14ac:dyDescent="0.2">
      <c r="AC151" s="8"/>
      <c r="AD151" s="8"/>
      <c r="AE151" s="26"/>
      <c r="AF151" s="26"/>
      <c r="AG151" s="26"/>
      <c r="AH151" s="26"/>
      <c r="AI151" s="22"/>
      <c r="AJ151" s="22"/>
      <c r="AK151" s="22"/>
      <c r="AL151" s="22"/>
    </row>
    <row r="152" spans="8:38" s="4" customFormat="1" hidden="1" x14ac:dyDescent="0.2">
      <c r="AC152" s="8"/>
      <c r="AD152" s="8"/>
      <c r="AE152" s="700"/>
      <c r="AF152" s="700"/>
      <c r="AG152" s="700"/>
      <c r="AH152" s="700"/>
      <c r="AI152" s="704"/>
      <c r="AJ152" s="704"/>
      <c r="AK152" s="704"/>
      <c r="AL152" s="704"/>
    </row>
    <row r="153" spans="8:38" s="4" customFormat="1" hidden="1" x14ac:dyDescent="0.2">
      <c r="AC153" s="8"/>
      <c r="AD153" s="8"/>
      <c r="AE153" s="700"/>
      <c r="AF153" s="700"/>
      <c r="AG153" s="700"/>
      <c r="AH153" s="700"/>
      <c r="AI153" s="704"/>
      <c r="AJ153" s="704"/>
      <c r="AK153" s="704"/>
      <c r="AL153" s="704"/>
    </row>
    <row r="154" spans="8:38" s="4" customFormat="1" hidden="1" x14ac:dyDescent="0.2">
      <c r="AC154" s="8"/>
      <c r="AD154" s="8"/>
      <c r="AE154" s="700"/>
      <c r="AF154" s="700"/>
      <c r="AG154" s="700"/>
      <c r="AH154" s="700"/>
      <c r="AI154" s="704"/>
      <c r="AJ154" s="704"/>
      <c r="AK154" s="704"/>
      <c r="AL154" s="704"/>
    </row>
    <row r="155" spans="8:38" s="4" customFormat="1" hidden="1" x14ac:dyDescent="0.2">
      <c r="AC155" s="8"/>
      <c r="AD155" s="8"/>
      <c r="AE155" s="700"/>
      <c r="AF155" s="700"/>
      <c r="AG155" s="700"/>
      <c r="AH155" s="700"/>
      <c r="AI155" s="704"/>
      <c r="AJ155" s="704"/>
      <c r="AK155" s="704"/>
      <c r="AL155" s="704"/>
    </row>
    <row r="156" spans="8:38" s="4" customFormat="1" hidden="1" x14ac:dyDescent="0.2">
      <c r="AC156" s="8"/>
      <c r="AD156" s="8"/>
      <c r="AE156" s="700"/>
      <c r="AF156" s="700"/>
      <c r="AG156" s="700"/>
      <c r="AH156" s="700"/>
      <c r="AI156" s="704"/>
      <c r="AJ156" s="704"/>
      <c r="AK156" s="704"/>
      <c r="AL156" s="704"/>
    </row>
    <row r="157" spans="8:38" s="4" customFormat="1" hidden="1" x14ac:dyDescent="0.2">
      <c r="AC157" s="8"/>
      <c r="AD157" s="8"/>
      <c r="AE157" s="700"/>
      <c r="AF157" s="700"/>
      <c r="AG157" s="700"/>
      <c r="AH157" s="700"/>
      <c r="AI157" s="704"/>
      <c r="AJ157" s="704"/>
      <c r="AK157" s="704"/>
      <c r="AL157" s="704"/>
    </row>
    <row r="158" spans="8:38" s="4" customFormat="1" hidden="1" x14ac:dyDescent="0.2">
      <c r="AC158" s="8"/>
      <c r="AD158" s="8"/>
      <c r="AE158" s="700"/>
      <c r="AF158" s="700"/>
      <c r="AG158" s="700"/>
      <c r="AH158" s="700"/>
      <c r="AI158" s="704"/>
      <c r="AJ158" s="704"/>
      <c r="AK158" s="704"/>
      <c r="AL158" s="704"/>
    </row>
    <row r="159" spans="8:38" s="4" customFormat="1" hidden="1" x14ac:dyDescent="0.2">
      <c r="AC159" s="8"/>
      <c r="AD159" s="8"/>
      <c r="AE159" s="700"/>
      <c r="AF159" s="700"/>
      <c r="AG159" s="700"/>
      <c r="AH159" s="700"/>
      <c r="AI159" s="704"/>
      <c r="AJ159" s="704"/>
      <c r="AK159" s="704"/>
      <c r="AL159" s="704"/>
    </row>
    <row r="160" spans="8:38" s="4" customFormat="1" hidden="1" x14ac:dyDescent="0.2">
      <c r="AC160" s="8"/>
      <c r="AD160" s="8"/>
      <c r="AE160" s="700"/>
      <c r="AF160" s="700"/>
      <c r="AG160" s="700"/>
      <c r="AH160" s="700"/>
      <c r="AI160" s="704"/>
      <c r="AJ160" s="704"/>
      <c r="AK160" s="704"/>
      <c r="AL160" s="704"/>
    </row>
    <row r="161" spans="29:38" s="4" customFormat="1" hidden="1" x14ac:dyDescent="0.2">
      <c r="AC161" s="8"/>
      <c r="AD161" s="8"/>
      <c r="AE161" s="700"/>
      <c r="AF161" s="700"/>
      <c r="AG161" s="700"/>
      <c r="AH161" s="700"/>
      <c r="AI161" s="704"/>
      <c r="AJ161" s="704"/>
      <c r="AK161" s="704"/>
      <c r="AL161" s="704"/>
    </row>
    <row r="162" spans="29:38" s="4" customFormat="1" hidden="1" x14ac:dyDescent="0.2">
      <c r="AC162" s="8"/>
      <c r="AD162" s="8"/>
      <c r="AE162" s="700"/>
      <c r="AF162" s="700"/>
      <c r="AG162" s="700"/>
      <c r="AH162" s="700"/>
      <c r="AI162" s="704"/>
      <c r="AJ162" s="704"/>
      <c r="AK162" s="704"/>
      <c r="AL162" s="704"/>
    </row>
    <row r="163" spans="29:38" s="4" customFormat="1" hidden="1" x14ac:dyDescent="0.2">
      <c r="AC163" s="8"/>
      <c r="AD163" s="8"/>
      <c r="AE163" s="700"/>
      <c r="AF163" s="700"/>
      <c r="AG163" s="700"/>
      <c r="AH163" s="700"/>
      <c r="AI163" s="704"/>
      <c r="AJ163" s="704"/>
      <c r="AK163" s="704"/>
      <c r="AL163" s="704"/>
    </row>
    <row r="164" spans="29:38" s="4" customFormat="1" hidden="1" x14ac:dyDescent="0.2">
      <c r="AC164" s="8"/>
      <c r="AD164" s="8"/>
      <c r="AE164" s="700"/>
      <c r="AF164" s="700"/>
      <c r="AG164" s="700"/>
      <c r="AH164" s="700"/>
      <c r="AI164" s="704"/>
      <c r="AJ164" s="704"/>
      <c r="AK164" s="704"/>
      <c r="AL164" s="704"/>
    </row>
    <row r="165" spans="29:38" s="4" customFormat="1" hidden="1" x14ac:dyDescent="0.2">
      <c r="AC165" s="8"/>
      <c r="AD165" s="8"/>
      <c r="AE165" s="700"/>
      <c r="AF165" s="700"/>
      <c r="AG165" s="700"/>
      <c r="AH165" s="700"/>
      <c r="AI165" s="704"/>
      <c r="AJ165" s="704"/>
      <c r="AK165" s="704"/>
      <c r="AL165" s="704"/>
    </row>
    <row r="166" spans="29:38" s="4" customFormat="1" hidden="1" x14ac:dyDescent="0.2">
      <c r="AC166" s="8"/>
      <c r="AD166" s="8"/>
      <c r="AE166" s="700"/>
      <c r="AF166" s="700"/>
      <c r="AG166" s="700"/>
      <c r="AH166" s="700"/>
      <c r="AI166" s="704"/>
      <c r="AJ166" s="704"/>
      <c r="AK166" s="704"/>
      <c r="AL166" s="704"/>
    </row>
    <row r="167" spans="29:38" s="4" customFormat="1" hidden="1" x14ac:dyDescent="0.2">
      <c r="AC167" s="8"/>
      <c r="AD167" s="8"/>
      <c r="AE167" s="700"/>
      <c r="AF167" s="700"/>
      <c r="AG167" s="700"/>
      <c r="AH167" s="700"/>
      <c r="AI167" s="704"/>
      <c r="AJ167" s="704"/>
      <c r="AK167" s="704"/>
      <c r="AL167" s="704"/>
    </row>
    <row r="168" spans="29:38" s="4" customFormat="1" hidden="1" x14ac:dyDescent="0.2">
      <c r="AC168" s="8"/>
      <c r="AD168" s="8"/>
      <c r="AE168" s="700"/>
      <c r="AF168" s="700"/>
      <c r="AG168" s="700"/>
      <c r="AH168" s="700"/>
      <c r="AI168" s="704"/>
      <c r="AJ168" s="704"/>
      <c r="AK168" s="704"/>
      <c r="AL168" s="704"/>
    </row>
    <row r="169" spans="29:38" s="4" customFormat="1" hidden="1" x14ac:dyDescent="0.2">
      <c r="AC169" s="8"/>
      <c r="AD169" s="8"/>
      <c r="AE169" s="700"/>
      <c r="AF169" s="700"/>
      <c r="AG169" s="700"/>
      <c r="AH169" s="700"/>
      <c r="AI169" s="704"/>
      <c r="AJ169" s="704"/>
      <c r="AK169" s="704"/>
      <c r="AL169" s="704"/>
    </row>
    <row r="170" spans="29:38" s="4" customFormat="1" hidden="1" x14ac:dyDescent="0.2">
      <c r="AC170" s="8"/>
      <c r="AD170" s="8"/>
      <c r="AE170" s="700"/>
      <c r="AF170" s="700"/>
      <c r="AG170" s="700"/>
      <c r="AH170" s="700"/>
      <c r="AI170" s="704"/>
      <c r="AJ170" s="704"/>
      <c r="AK170" s="704"/>
      <c r="AL170" s="704"/>
    </row>
    <row r="171" spans="29:38" s="4" customFormat="1" hidden="1" x14ac:dyDescent="0.2">
      <c r="AC171" s="8"/>
      <c r="AD171" s="8"/>
      <c r="AE171" s="700"/>
      <c r="AF171" s="700"/>
      <c r="AG171" s="700"/>
      <c r="AH171" s="700"/>
      <c r="AI171" s="704"/>
      <c r="AJ171" s="704"/>
      <c r="AK171" s="704"/>
      <c r="AL171" s="704"/>
    </row>
    <row r="172" spans="29:38" s="4" customFormat="1" hidden="1" x14ac:dyDescent="0.2">
      <c r="AC172" s="8"/>
      <c r="AD172" s="8"/>
      <c r="AE172" s="700"/>
      <c r="AF172" s="700"/>
      <c r="AG172" s="700"/>
      <c r="AH172" s="700"/>
      <c r="AI172" s="704"/>
      <c r="AJ172" s="704"/>
      <c r="AK172" s="704"/>
      <c r="AL172" s="704"/>
    </row>
    <row r="173" spans="29:38" s="4" customFormat="1" hidden="1" x14ac:dyDescent="0.2">
      <c r="AC173" s="8"/>
      <c r="AD173" s="8"/>
      <c r="AE173" s="700"/>
      <c r="AF173" s="700"/>
      <c r="AG173" s="700"/>
      <c r="AH173" s="700"/>
      <c r="AI173" s="704"/>
      <c r="AJ173" s="704"/>
      <c r="AK173" s="704"/>
      <c r="AL173" s="704"/>
    </row>
    <row r="174" spans="29:38" s="4" customFormat="1" hidden="1" x14ac:dyDescent="0.2">
      <c r="AC174" s="8"/>
      <c r="AD174" s="8"/>
      <c r="AE174" s="20"/>
      <c r="AF174" s="20"/>
      <c r="AG174" s="20"/>
      <c r="AH174" s="20"/>
      <c r="AI174" s="23"/>
      <c r="AJ174" s="23"/>
      <c r="AK174" s="23"/>
      <c r="AL174" s="23"/>
    </row>
    <row r="175" spans="29:38" s="4" customFormat="1" hidden="1" x14ac:dyDescent="0.2">
      <c r="AC175" s="8"/>
      <c r="AD175" s="8"/>
      <c r="AE175" s="20"/>
      <c r="AF175" s="20"/>
      <c r="AG175" s="20"/>
      <c r="AH175" s="20"/>
      <c r="AI175" s="23"/>
      <c r="AJ175" s="23"/>
      <c r="AK175" s="23"/>
      <c r="AL175" s="23"/>
    </row>
    <row r="176" spans="29:38" s="4" customFormat="1" hidden="1" x14ac:dyDescent="0.2">
      <c r="AC176" s="8"/>
      <c r="AD176" s="8"/>
      <c r="AE176" s="20"/>
      <c r="AF176" s="20"/>
      <c r="AG176" s="20"/>
      <c r="AH176" s="20"/>
      <c r="AI176" s="23"/>
      <c r="AJ176" s="23"/>
      <c r="AK176" s="23"/>
      <c r="AL176" s="23"/>
    </row>
    <row r="177" spans="29:38" s="4" customFormat="1" hidden="1" x14ac:dyDescent="0.2">
      <c r="AC177" s="8"/>
      <c r="AD177" s="8"/>
      <c r="AE177" s="20"/>
      <c r="AF177" s="20"/>
      <c r="AG177" s="20"/>
      <c r="AH177" s="20"/>
      <c r="AI177" s="23"/>
      <c r="AJ177" s="23"/>
      <c r="AK177" s="23"/>
      <c r="AL177" s="23"/>
    </row>
    <row r="178" spans="29:38" s="4" customFormat="1" hidden="1" x14ac:dyDescent="0.2">
      <c r="AC178" s="8"/>
      <c r="AD178" s="8"/>
      <c r="AE178" s="33"/>
      <c r="AF178" s="33"/>
      <c r="AG178" s="33"/>
      <c r="AH178" s="33"/>
      <c r="AI178" s="21"/>
      <c r="AJ178" s="21"/>
      <c r="AK178" s="21"/>
      <c r="AL178" s="21"/>
    </row>
    <row r="179" spans="29:38" s="4" customFormat="1" hidden="1" x14ac:dyDescent="0.2">
      <c r="AC179" s="8"/>
      <c r="AD179" s="8"/>
      <c r="AE179" s="34"/>
      <c r="AF179" s="34"/>
      <c r="AG179" s="34"/>
      <c r="AH179" s="34"/>
      <c r="AI179" s="28"/>
      <c r="AJ179" s="28"/>
      <c r="AK179" s="28"/>
      <c r="AL179" s="28"/>
    </row>
    <row r="180" spans="29:38" s="4" customFormat="1" hidden="1" x14ac:dyDescent="0.2">
      <c r="AC180" s="8"/>
      <c r="AD180" s="8"/>
      <c r="AE180" s="700"/>
      <c r="AF180" s="26"/>
      <c r="AG180" s="26"/>
      <c r="AH180" s="26"/>
      <c r="AI180" s="22"/>
      <c r="AJ180" s="22"/>
      <c r="AK180" s="22"/>
      <c r="AL180" s="22"/>
    </row>
    <row r="181" spans="29:38" s="4" customFormat="1" hidden="1" x14ac:dyDescent="0.2">
      <c r="AC181" s="8"/>
      <c r="AD181" s="8"/>
      <c r="AE181" s="26"/>
      <c r="AF181" s="26"/>
      <c r="AG181" s="26"/>
      <c r="AH181" s="26"/>
      <c r="AI181" s="22"/>
      <c r="AJ181" s="22"/>
      <c r="AK181" s="22"/>
      <c r="AL181" s="22"/>
    </row>
    <row r="182" spans="29:38" s="4" customFormat="1" ht="12.75" hidden="1" customHeight="1" x14ac:dyDescent="0.2">
      <c r="AC182" s="8"/>
      <c r="AD182" s="8"/>
      <c r="AE182" s="699"/>
      <c r="AF182" s="699"/>
      <c r="AG182" s="699"/>
      <c r="AH182" s="699"/>
      <c r="AI182" s="705"/>
      <c r="AJ182" s="705"/>
      <c r="AK182" s="705"/>
      <c r="AL182" s="705"/>
    </row>
    <row r="183" spans="29:38" s="4" customFormat="1" ht="12.75" hidden="1" customHeight="1" x14ac:dyDescent="0.2">
      <c r="AC183" s="8"/>
      <c r="AD183" s="8"/>
      <c r="AE183" s="699"/>
      <c r="AF183" s="699"/>
      <c r="AG183" s="699"/>
      <c r="AH183" s="699"/>
      <c r="AI183" s="705"/>
      <c r="AJ183" s="705"/>
      <c r="AK183" s="705"/>
      <c r="AL183" s="705"/>
    </row>
    <row r="184" spans="29:38" s="4" customFormat="1" ht="12.75" hidden="1" customHeight="1" x14ac:dyDescent="0.2">
      <c r="AC184" s="8"/>
      <c r="AD184" s="8"/>
      <c r="AE184" s="699"/>
      <c r="AF184" s="699"/>
      <c r="AG184" s="699"/>
      <c r="AH184" s="699"/>
      <c r="AI184" s="705"/>
      <c r="AJ184" s="705"/>
      <c r="AK184" s="705"/>
      <c r="AL184" s="705"/>
    </row>
    <row r="185" spans="29:38" s="4" customFormat="1" ht="12.75" hidden="1" customHeight="1" x14ac:dyDescent="0.2">
      <c r="AC185" s="8"/>
      <c r="AD185" s="8"/>
      <c r="AE185" s="699"/>
      <c r="AF185" s="699"/>
      <c r="AG185" s="699"/>
      <c r="AH185" s="699"/>
      <c r="AI185" s="705"/>
      <c r="AJ185" s="705"/>
      <c r="AK185" s="705"/>
      <c r="AL185" s="705"/>
    </row>
    <row r="186" spans="29:38" s="4" customFormat="1" ht="12.75" hidden="1" customHeight="1" x14ac:dyDescent="0.2">
      <c r="AC186" s="8"/>
      <c r="AD186" s="8"/>
      <c r="AE186" s="697"/>
      <c r="AF186" s="697"/>
      <c r="AG186" s="697"/>
      <c r="AH186" s="697"/>
      <c r="AI186" s="706"/>
      <c r="AJ186" s="706"/>
      <c r="AK186" s="706"/>
      <c r="AL186" s="706"/>
    </row>
    <row r="187" spans="29:38" s="4" customFormat="1" ht="12.75" hidden="1" customHeight="1" x14ac:dyDescent="0.2">
      <c r="AC187" s="8"/>
      <c r="AD187" s="8"/>
      <c r="AE187" s="697"/>
      <c r="AF187" s="697"/>
      <c r="AG187" s="697"/>
      <c r="AH187" s="697"/>
      <c r="AI187" s="706"/>
      <c r="AJ187" s="706"/>
      <c r="AK187" s="706"/>
      <c r="AL187" s="706"/>
    </row>
    <row r="188" spans="29:38" s="4" customFormat="1" ht="14.25" hidden="1" x14ac:dyDescent="0.2">
      <c r="AC188" s="8"/>
      <c r="AD188" s="8"/>
      <c r="AE188" s="697"/>
      <c r="AF188" s="697"/>
      <c r="AG188" s="697"/>
      <c r="AH188" s="697"/>
      <c r="AI188" s="706"/>
      <c r="AJ188" s="706"/>
      <c r="AK188" s="706"/>
      <c r="AL188" s="706"/>
    </row>
    <row r="189" spans="29:38" s="4" customFormat="1" ht="15" hidden="1" x14ac:dyDescent="0.2">
      <c r="AC189" s="8"/>
      <c r="AD189" s="8"/>
      <c r="AE189" s="73"/>
      <c r="AF189" s="73"/>
      <c r="AG189" s="73"/>
      <c r="AH189" s="73"/>
      <c r="AI189" s="707"/>
      <c r="AJ189" s="707"/>
      <c r="AK189" s="707"/>
      <c r="AL189" s="707"/>
    </row>
    <row r="190" spans="29:38" s="4" customFormat="1" ht="12.75" hidden="1" customHeight="1" x14ac:dyDescent="0.2">
      <c r="AC190" s="8"/>
      <c r="AD190" s="8"/>
      <c r="AE190" s="698"/>
      <c r="AF190" s="699"/>
      <c r="AG190" s="699"/>
      <c r="AH190" s="699"/>
      <c r="AI190" s="705"/>
      <c r="AJ190" s="705"/>
      <c r="AK190" s="705"/>
      <c r="AL190" s="705"/>
    </row>
    <row r="191" spans="29:38" s="4" customFormat="1" ht="12.75" hidden="1" customHeight="1" x14ac:dyDescent="0.2">
      <c r="AC191" s="8"/>
      <c r="AD191" s="8"/>
      <c r="AE191" s="699"/>
      <c r="AF191" s="699"/>
      <c r="AG191" s="699"/>
      <c r="AH191" s="699"/>
      <c r="AI191" s="705"/>
      <c r="AJ191" s="705"/>
      <c r="AK191" s="705"/>
      <c r="AL191" s="705"/>
    </row>
    <row r="192" spans="29:38" s="4" customFormat="1" ht="12.75" hidden="1" customHeight="1" x14ac:dyDescent="0.2">
      <c r="AC192" s="8"/>
      <c r="AD192" s="8"/>
      <c r="AE192" s="699"/>
      <c r="AF192" s="699"/>
      <c r="AG192" s="699"/>
      <c r="AH192" s="699"/>
      <c r="AI192" s="705"/>
      <c r="AJ192" s="705"/>
      <c r="AK192" s="705"/>
      <c r="AL192" s="705"/>
    </row>
    <row r="193" spans="29:38" s="4" customFormat="1" ht="12.75" hidden="1" customHeight="1" x14ac:dyDescent="0.2">
      <c r="AC193" s="8"/>
      <c r="AD193" s="8"/>
      <c r="AE193" s="699"/>
      <c r="AF193" s="699"/>
      <c r="AG193" s="699"/>
      <c r="AH193" s="699"/>
      <c r="AI193" s="705"/>
      <c r="AJ193" s="705"/>
      <c r="AK193" s="705"/>
      <c r="AL193" s="705"/>
    </row>
    <row r="194" spans="29:38" s="4" customFormat="1" ht="12.75" hidden="1" customHeight="1" x14ac:dyDescent="0.2">
      <c r="AC194" s="8"/>
      <c r="AD194" s="8"/>
      <c r="AE194" s="699"/>
      <c r="AF194" s="699"/>
      <c r="AG194" s="699"/>
      <c r="AH194" s="699"/>
      <c r="AI194" s="705"/>
      <c r="AJ194" s="705"/>
      <c r="AK194" s="705"/>
      <c r="AL194" s="705"/>
    </row>
    <row r="195" spans="29:38" s="4" customFormat="1" hidden="1" x14ac:dyDescent="0.2">
      <c r="AC195" s="8"/>
      <c r="AD195" s="8"/>
      <c r="AE195" s="8"/>
      <c r="AF195" s="8"/>
      <c r="AG195" s="8"/>
      <c r="AH195" s="8"/>
    </row>
    <row r="196" spans="29:38" s="4" customFormat="1" hidden="1" x14ac:dyDescent="0.2">
      <c r="AC196" s="8"/>
      <c r="AD196" s="8"/>
      <c r="AE196" s="8"/>
      <c r="AF196" s="8"/>
      <c r="AG196" s="8"/>
      <c r="AH196" s="8"/>
    </row>
    <row r="197" spans="29:38" s="4" customFormat="1" hidden="1" x14ac:dyDescent="0.2">
      <c r="AC197" s="8"/>
      <c r="AD197" s="8"/>
      <c r="AE197" s="8"/>
      <c r="AF197" s="8"/>
      <c r="AG197" s="8"/>
      <c r="AH197" s="8"/>
    </row>
    <row r="198" spans="29:38" s="4" customFormat="1" hidden="1" x14ac:dyDescent="0.2">
      <c r="AC198" s="8"/>
      <c r="AD198" s="8"/>
      <c r="AE198" s="8"/>
      <c r="AF198" s="8"/>
      <c r="AG198" s="8"/>
      <c r="AH198" s="8"/>
    </row>
    <row r="199" spans="29:38" s="4" customFormat="1" hidden="1" x14ac:dyDescent="0.2">
      <c r="AC199" s="8"/>
      <c r="AD199" s="8"/>
      <c r="AE199" s="8"/>
      <c r="AF199" s="8"/>
      <c r="AG199" s="8"/>
      <c r="AH199" s="8"/>
    </row>
    <row r="200" spans="29:38" s="4" customFormat="1" hidden="1" x14ac:dyDescent="0.2">
      <c r="AC200" s="8"/>
      <c r="AD200" s="8"/>
      <c r="AE200" s="8"/>
      <c r="AF200" s="8"/>
      <c r="AG200" s="8"/>
      <c r="AH200" s="8"/>
    </row>
    <row r="201" spans="29:38" s="4" customFormat="1" hidden="1" x14ac:dyDescent="0.2">
      <c r="AC201" s="8"/>
      <c r="AD201" s="8"/>
      <c r="AE201" s="8"/>
      <c r="AF201" s="8"/>
      <c r="AG201" s="8"/>
      <c r="AH201" s="8"/>
    </row>
    <row r="202" spans="29:38" s="4" customFormat="1" hidden="1" x14ac:dyDescent="0.2">
      <c r="AC202" s="8"/>
      <c r="AD202" s="8"/>
      <c r="AE202" s="8"/>
      <c r="AF202" s="8"/>
      <c r="AG202" s="8"/>
      <c r="AH202" s="8"/>
    </row>
    <row r="203" spans="29:38" s="4" customFormat="1" hidden="1" x14ac:dyDescent="0.2">
      <c r="AC203" s="8"/>
      <c r="AD203" s="8"/>
      <c r="AE203" s="8"/>
      <c r="AF203" s="8"/>
      <c r="AG203" s="8"/>
      <c r="AH203" s="8"/>
    </row>
    <row r="204" spans="29:38" s="4" customFormat="1" hidden="1" x14ac:dyDescent="0.2">
      <c r="AC204" s="8"/>
      <c r="AD204" s="8"/>
      <c r="AE204" s="8"/>
      <c r="AF204" s="8"/>
      <c r="AG204" s="8"/>
      <c r="AH204" s="8"/>
    </row>
    <row r="205" spans="29:38" s="4" customFormat="1" hidden="1" x14ac:dyDescent="0.2">
      <c r="AC205" s="8"/>
      <c r="AD205" s="8"/>
      <c r="AE205" s="8"/>
      <c r="AF205" s="8"/>
      <c r="AG205" s="8"/>
      <c r="AH205" s="8"/>
    </row>
    <row r="206" spans="29:38" s="4" customFormat="1" hidden="1" x14ac:dyDescent="0.2">
      <c r="AC206" s="8"/>
      <c r="AD206" s="8"/>
      <c r="AE206" s="8"/>
      <c r="AF206" s="8"/>
      <c r="AG206" s="8"/>
      <c r="AH206" s="8"/>
    </row>
    <row r="207" spans="29:38" s="4" customFormat="1" hidden="1" x14ac:dyDescent="0.2">
      <c r="AC207" s="8"/>
      <c r="AD207" s="8"/>
      <c r="AE207" s="8"/>
      <c r="AF207" s="8"/>
      <c r="AG207" s="8"/>
      <c r="AH207" s="8"/>
    </row>
    <row r="208" spans="29:38" s="4" customFormat="1" hidden="1" x14ac:dyDescent="0.2">
      <c r="AC208" s="8"/>
      <c r="AD208" s="8"/>
      <c r="AE208" s="8"/>
      <c r="AF208" s="8"/>
      <c r="AG208" s="8"/>
      <c r="AH208" s="8"/>
    </row>
    <row r="209" spans="29:34" s="4" customFormat="1" hidden="1" x14ac:dyDescent="0.2">
      <c r="AC209" s="8"/>
      <c r="AD209" s="8"/>
      <c r="AE209" s="8"/>
      <c r="AF209" s="8"/>
      <c r="AG209" s="8"/>
      <c r="AH209" s="8"/>
    </row>
    <row r="210" spans="29:34" s="4" customFormat="1" hidden="1" x14ac:dyDescent="0.2">
      <c r="AC210" s="8"/>
      <c r="AD210" s="8"/>
      <c r="AE210" s="8"/>
      <c r="AF210" s="8"/>
      <c r="AG210" s="8"/>
      <c r="AH210" s="8"/>
    </row>
    <row r="211" spans="29:34" s="4" customFormat="1" hidden="1" x14ac:dyDescent="0.2">
      <c r="AC211" s="8"/>
      <c r="AD211" s="8"/>
      <c r="AE211" s="8"/>
      <c r="AF211" s="8"/>
      <c r="AG211" s="8"/>
      <c r="AH211" s="8"/>
    </row>
    <row r="212" spans="29:34" s="4" customFormat="1" hidden="1" x14ac:dyDescent="0.2">
      <c r="AC212" s="8"/>
      <c r="AD212" s="8"/>
      <c r="AE212" s="8"/>
      <c r="AF212" s="8"/>
      <c r="AG212" s="8"/>
      <c r="AH212" s="8"/>
    </row>
    <row r="213" spans="29:34" s="4" customFormat="1" hidden="1" x14ac:dyDescent="0.2">
      <c r="AC213" s="8"/>
      <c r="AD213" s="8"/>
      <c r="AE213" s="8"/>
      <c r="AF213" s="8"/>
      <c r="AG213" s="8"/>
      <c r="AH213" s="8"/>
    </row>
    <row r="214" spans="29:34" s="4" customFormat="1" hidden="1" x14ac:dyDescent="0.2">
      <c r="AC214" s="8"/>
      <c r="AD214" s="8"/>
      <c r="AE214" s="8"/>
      <c r="AF214" s="8"/>
      <c r="AG214" s="8"/>
      <c r="AH214" s="8"/>
    </row>
    <row r="215" spans="29:34" s="4" customFormat="1" hidden="1" x14ac:dyDescent="0.2">
      <c r="AC215" s="8"/>
      <c r="AD215" s="8"/>
      <c r="AE215" s="8"/>
      <c r="AF215" s="8"/>
      <c r="AG215" s="8"/>
      <c r="AH215" s="8"/>
    </row>
    <row r="216" spans="29:34" s="4" customFormat="1" hidden="1" x14ac:dyDescent="0.2">
      <c r="AC216" s="8"/>
      <c r="AD216" s="8"/>
      <c r="AE216" s="8"/>
      <c r="AF216" s="8"/>
      <c r="AG216" s="8"/>
      <c r="AH216" s="8"/>
    </row>
    <row r="217" spans="29:34" s="4" customFormat="1" hidden="1" x14ac:dyDescent="0.2">
      <c r="AC217" s="8"/>
      <c r="AD217" s="8"/>
      <c r="AE217" s="8"/>
      <c r="AF217" s="8"/>
      <c r="AG217" s="8"/>
      <c r="AH217" s="8"/>
    </row>
    <row r="218" spans="29:34" s="4" customFormat="1" hidden="1" x14ac:dyDescent="0.2">
      <c r="AC218" s="8"/>
      <c r="AD218" s="8"/>
      <c r="AE218" s="8"/>
      <c r="AF218" s="8"/>
      <c r="AG218" s="8"/>
      <c r="AH218" s="8"/>
    </row>
    <row r="219" spans="29:34" s="4" customFormat="1" hidden="1" x14ac:dyDescent="0.2">
      <c r="AC219" s="8"/>
      <c r="AD219" s="8"/>
      <c r="AE219" s="8"/>
      <c r="AF219" s="8"/>
      <c r="AG219" s="8"/>
      <c r="AH219" s="8"/>
    </row>
    <row r="220" spans="29:34" s="4" customFormat="1" hidden="1" x14ac:dyDescent="0.2">
      <c r="AC220" s="8"/>
      <c r="AD220" s="8"/>
      <c r="AE220" s="8"/>
      <c r="AF220" s="8"/>
      <c r="AG220" s="8"/>
      <c r="AH220" s="8"/>
    </row>
    <row r="221" spans="29:34" s="4" customFormat="1" hidden="1" x14ac:dyDescent="0.2">
      <c r="AC221" s="8"/>
      <c r="AD221" s="8"/>
      <c r="AE221" s="8"/>
      <c r="AF221" s="8"/>
      <c r="AG221" s="8"/>
      <c r="AH221" s="8"/>
    </row>
    <row r="222" spans="29:34" s="4" customFormat="1" hidden="1" x14ac:dyDescent="0.2">
      <c r="AC222" s="8"/>
      <c r="AD222" s="8"/>
      <c r="AE222" s="8"/>
      <c r="AF222" s="8"/>
      <c r="AG222" s="8"/>
      <c r="AH222" s="8"/>
    </row>
    <row r="223" spans="29:34" s="4" customFormat="1" hidden="1" x14ac:dyDescent="0.2">
      <c r="AC223" s="8"/>
      <c r="AD223" s="8"/>
      <c r="AE223" s="8"/>
      <c r="AF223" s="8"/>
      <c r="AG223" s="8"/>
      <c r="AH223" s="8"/>
    </row>
    <row r="224" spans="29:34" s="4" customFormat="1" hidden="1" x14ac:dyDescent="0.2">
      <c r="AC224" s="8"/>
      <c r="AD224" s="8"/>
      <c r="AE224" s="8"/>
      <c r="AF224" s="8"/>
      <c r="AG224" s="8"/>
      <c r="AH224" s="8"/>
    </row>
    <row r="225" spans="29:34" s="4" customFormat="1" hidden="1" x14ac:dyDescent="0.2">
      <c r="AC225" s="8"/>
      <c r="AD225" s="8"/>
      <c r="AE225" s="8"/>
      <c r="AF225" s="8"/>
      <c r="AG225" s="8"/>
      <c r="AH225" s="8"/>
    </row>
    <row r="226" spans="29:34" s="4" customFormat="1" hidden="1" x14ac:dyDescent="0.2">
      <c r="AC226" s="8"/>
      <c r="AD226" s="8"/>
      <c r="AE226" s="8"/>
      <c r="AF226" s="8"/>
      <c r="AG226" s="8"/>
      <c r="AH226" s="8"/>
    </row>
    <row r="227" spans="29:34" s="4" customFormat="1" hidden="1" x14ac:dyDescent="0.2">
      <c r="AC227" s="8"/>
      <c r="AD227" s="8"/>
      <c r="AE227" s="8"/>
      <c r="AF227" s="8"/>
      <c r="AG227" s="8"/>
      <c r="AH227" s="8"/>
    </row>
    <row r="228" spans="29:34" s="4" customFormat="1" hidden="1" x14ac:dyDescent="0.2">
      <c r="AC228" s="8"/>
      <c r="AD228" s="8"/>
      <c r="AE228" s="8"/>
      <c r="AF228" s="8"/>
      <c r="AG228" s="8"/>
      <c r="AH228" s="8"/>
    </row>
    <row r="229" spans="29:34" s="4" customFormat="1" hidden="1" x14ac:dyDescent="0.2">
      <c r="AC229" s="8"/>
      <c r="AD229" s="8"/>
      <c r="AE229" s="8"/>
      <c r="AF229" s="8"/>
      <c r="AG229" s="8"/>
      <c r="AH229" s="8"/>
    </row>
    <row r="230" spans="29:34" s="4" customFormat="1" hidden="1" x14ac:dyDescent="0.2">
      <c r="AC230" s="8"/>
      <c r="AD230" s="8"/>
      <c r="AE230" s="8"/>
      <c r="AF230" s="8"/>
      <c r="AG230" s="8"/>
      <c r="AH230" s="8"/>
    </row>
    <row r="231" spans="29:34" s="4" customFormat="1" hidden="1" x14ac:dyDescent="0.2">
      <c r="AC231" s="8"/>
      <c r="AD231" s="8"/>
      <c r="AE231" s="8"/>
      <c r="AF231" s="8"/>
      <c r="AG231" s="8"/>
      <c r="AH231" s="8"/>
    </row>
    <row r="232" spans="29:34" s="4" customFormat="1" hidden="1" x14ac:dyDescent="0.2">
      <c r="AC232" s="8"/>
      <c r="AD232" s="8"/>
      <c r="AE232" s="8"/>
      <c r="AF232" s="8"/>
      <c r="AG232" s="8"/>
      <c r="AH232" s="8"/>
    </row>
    <row r="233" spans="29:34" s="4" customFormat="1" hidden="1" x14ac:dyDescent="0.2">
      <c r="AC233" s="8"/>
      <c r="AD233" s="8"/>
      <c r="AE233" s="8"/>
      <c r="AF233" s="8"/>
      <c r="AG233" s="8"/>
      <c r="AH233" s="8"/>
    </row>
    <row r="234" spans="29:34" s="4" customFormat="1" hidden="1" x14ac:dyDescent="0.2">
      <c r="AC234" s="8"/>
      <c r="AD234" s="8"/>
      <c r="AE234" s="8"/>
      <c r="AF234" s="8"/>
      <c r="AG234" s="8"/>
      <c r="AH234" s="8"/>
    </row>
    <row r="235" spans="29:34" s="4" customFormat="1" hidden="1" x14ac:dyDescent="0.2">
      <c r="AC235" s="8"/>
      <c r="AD235" s="8"/>
      <c r="AE235" s="8"/>
      <c r="AF235" s="8"/>
      <c r="AG235" s="8"/>
      <c r="AH235" s="8"/>
    </row>
    <row r="236" spans="29:34" s="4" customFormat="1" hidden="1" x14ac:dyDescent="0.2">
      <c r="AC236" s="8"/>
      <c r="AD236" s="8"/>
      <c r="AE236" s="8"/>
      <c r="AF236" s="8"/>
      <c r="AG236" s="8"/>
      <c r="AH236" s="8"/>
    </row>
    <row r="237" spans="29:34" s="4" customFormat="1" hidden="1" x14ac:dyDescent="0.2">
      <c r="AC237" s="8"/>
      <c r="AD237" s="8"/>
      <c r="AE237" s="8"/>
      <c r="AF237" s="8"/>
      <c r="AG237" s="8"/>
      <c r="AH237" s="8"/>
    </row>
    <row r="238" spans="29:34" s="4" customFormat="1" hidden="1" x14ac:dyDescent="0.2">
      <c r="AC238" s="8"/>
      <c r="AD238" s="8"/>
      <c r="AE238" s="8"/>
      <c r="AF238" s="8"/>
      <c r="AG238" s="8"/>
      <c r="AH238" s="8"/>
    </row>
    <row r="239" spans="29:34" s="4" customFormat="1" hidden="1" x14ac:dyDescent="0.2">
      <c r="AC239" s="8"/>
      <c r="AD239" s="8"/>
      <c r="AE239" s="8"/>
      <c r="AF239" s="8"/>
      <c r="AG239" s="8"/>
      <c r="AH239" s="8"/>
    </row>
    <row r="240" spans="29:34" s="4" customFormat="1" hidden="1" x14ac:dyDescent="0.2">
      <c r="AC240" s="8"/>
      <c r="AD240" s="8"/>
      <c r="AE240" s="8"/>
      <c r="AF240" s="8"/>
      <c r="AG240" s="8"/>
      <c r="AH240" s="8"/>
    </row>
    <row r="241" spans="29:34" s="4" customFormat="1" hidden="1" x14ac:dyDescent="0.2">
      <c r="AC241" s="8"/>
      <c r="AD241" s="8"/>
      <c r="AE241" s="8"/>
      <c r="AF241" s="8"/>
      <c r="AG241" s="8"/>
      <c r="AH241" s="8"/>
    </row>
    <row r="242" spans="29:34" s="4" customFormat="1" hidden="1" x14ac:dyDescent="0.2">
      <c r="AC242" s="8"/>
      <c r="AD242" s="8"/>
      <c r="AE242" s="8"/>
      <c r="AF242" s="8"/>
      <c r="AG242" s="8"/>
      <c r="AH242" s="8"/>
    </row>
    <row r="243" spans="29:34" s="4" customFormat="1" hidden="1" x14ac:dyDescent="0.2">
      <c r="AC243" s="8"/>
      <c r="AD243" s="8"/>
      <c r="AE243" s="8"/>
      <c r="AF243" s="8"/>
      <c r="AG243" s="8"/>
      <c r="AH243" s="8"/>
    </row>
    <row r="244" spans="29:34" s="4" customFormat="1" hidden="1" x14ac:dyDescent="0.2">
      <c r="AC244" s="8"/>
      <c r="AD244" s="8"/>
      <c r="AE244" s="8"/>
      <c r="AF244" s="8"/>
      <c r="AG244" s="8"/>
      <c r="AH244" s="8"/>
    </row>
    <row r="245" spans="29:34" s="4" customFormat="1" hidden="1" x14ac:dyDescent="0.2">
      <c r="AC245" s="8"/>
      <c r="AD245" s="8"/>
      <c r="AE245" s="8"/>
      <c r="AF245" s="8"/>
      <c r="AG245" s="8"/>
      <c r="AH245" s="8"/>
    </row>
    <row r="246" spans="29:34" s="4" customFormat="1" hidden="1" x14ac:dyDescent="0.2">
      <c r="AC246" s="8"/>
      <c r="AD246" s="8"/>
      <c r="AE246" s="8"/>
      <c r="AF246" s="8"/>
      <c r="AG246" s="8"/>
      <c r="AH246" s="8"/>
    </row>
    <row r="247" spans="29:34" s="4" customFormat="1" hidden="1" x14ac:dyDescent="0.2">
      <c r="AC247" s="8"/>
      <c r="AD247" s="8"/>
      <c r="AE247" s="8"/>
      <c r="AF247" s="8"/>
      <c r="AG247" s="8"/>
      <c r="AH247" s="8"/>
    </row>
    <row r="248" spans="29:34" s="4" customFormat="1" hidden="1" x14ac:dyDescent="0.2">
      <c r="AC248" s="8"/>
      <c r="AD248" s="8"/>
      <c r="AE248" s="8"/>
      <c r="AF248" s="8"/>
      <c r="AG248" s="8"/>
      <c r="AH248" s="8"/>
    </row>
    <row r="249" spans="29:34" s="4" customFormat="1" hidden="1" x14ac:dyDescent="0.2">
      <c r="AC249" s="8"/>
      <c r="AD249" s="8"/>
      <c r="AE249" s="8"/>
      <c r="AF249" s="8"/>
      <c r="AG249" s="8"/>
      <c r="AH249" s="8"/>
    </row>
    <row r="250" spans="29:34" s="4" customFormat="1" hidden="1" x14ac:dyDescent="0.2">
      <c r="AC250" s="8"/>
      <c r="AD250" s="8"/>
      <c r="AE250" s="8"/>
      <c r="AF250" s="8"/>
      <c r="AG250" s="8"/>
      <c r="AH250" s="8"/>
    </row>
    <row r="251" spans="29:34" s="4" customFormat="1" hidden="1" x14ac:dyDescent="0.2">
      <c r="AC251" s="8"/>
      <c r="AD251" s="8"/>
      <c r="AE251" s="8"/>
      <c r="AF251" s="8"/>
      <c r="AG251" s="8"/>
      <c r="AH251" s="8"/>
    </row>
    <row r="252" spans="29:34" s="4" customFormat="1" hidden="1" x14ac:dyDescent="0.2">
      <c r="AC252" s="8"/>
      <c r="AD252" s="8"/>
      <c r="AE252" s="8"/>
      <c r="AF252" s="8"/>
      <c r="AG252" s="8"/>
      <c r="AH252" s="8"/>
    </row>
    <row r="253" spans="29:34" s="4" customFormat="1" hidden="1" x14ac:dyDescent="0.2">
      <c r="AC253" s="8"/>
      <c r="AD253" s="8"/>
      <c r="AE253" s="8"/>
      <c r="AF253" s="8"/>
      <c r="AG253" s="8"/>
      <c r="AH253" s="8"/>
    </row>
    <row r="254" spans="29:34" s="4" customFormat="1" hidden="1" x14ac:dyDescent="0.2">
      <c r="AC254" s="8"/>
      <c r="AD254" s="8"/>
      <c r="AE254" s="8"/>
      <c r="AF254" s="8"/>
      <c r="AG254" s="8"/>
      <c r="AH254" s="8"/>
    </row>
    <row r="255" spans="29:34" s="4" customFormat="1" hidden="1" x14ac:dyDescent="0.2">
      <c r="AC255" s="8"/>
      <c r="AD255" s="8"/>
      <c r="AE255" s="8"/>
      <c r="AF255" s="8"/>
      <c r="AG255" s="8"/>
      <c r="AH255" s="8"/>
    </row>
    <row r="256" spans="29:34" s="4" customFormat="1" hidden="1" x14ac:dyDescent="0.2">
      <c r="AC256" s="8"/>
      <c r="AD256" s="8"/>
      <c r="AE256" s="8"/>
      <c r="AF256" s="8"/>
      <c r="AG256" s="8"/>
      <c r="AH256" s="8"/>
    </row>
    <row r="257" spans="29:34" s="4" customFormat="1" hidden="1" x14ac:dyDescent="0.2">
      <c r="AC257" s="8"/>
      <c r="AD257" s="8"/>
      <c r="AE257" s="8"/>
      <c r="AF257" s="8"/>
      <c r="AG257" s="8"/>
      <c r="AH257" s="8"/>
    </row>
    <row r="258" spans="29:34" s="4" customFormat="1" hidden="1" x14ac:dyDescent="0.2">
      <c r="AC258" s="8"/>
      <c r="AD258" s="8"/>
      <c r="AE258" s="8"/>
      <c r="AF258" s="8"/>
      <c r="AG258" s="8"/>
      <c r="AH258" s="8"/>
    </row>
    <row r="259" spans="29:34" s="4" customFormat="1" hidden="1" x14ac:dyDescent="0.2">
      <c r="AC259" s="8"/>
      <c r="AD259" s="8"/>
      <c r="AE259" s="8"/>
      <c r="AF259" s="8"/>
      <c r="AG259" s="8"/>
      <c r="AH259" s="8"/>
    </row>
    <row r="260" spans="29:34" s="4" customFormat="1" hidden="1" x14ac:dyDescent="0.2">
      <c r="AC260" s="8"/>
      <c r="AD260" s="8"/>
      <c r="AE260" s="8"/>
      <c r="AF260" s="8"/>
      <c r="AG260" s="8"/>
      <c r="AH260" s="8"/>
    </row>
    <row r="261" spans="29:34" s="4" customFormat="1" hidden="1" x14ac:dyDescent="0.2">
      <c r="AC261" s="8"/>
      <c r="AD261" s="8"/>
      <c r="AE261" s="8"/>
      <c r="AF261" s="8"/>
      <c r="AG261" s="8"/>
      <c r="AH261" s="8"/>
    </row>
    <row r="262" spans="29:34" s="4" customFormat="1" hidden="1" x14ac:dyDescent="0.2">
      <c r="AC262" s="8"/>
      <c r="AD262" s="8"/>
      <c r="AE262" s="8"/>
      <c r="AF262" s="8"/>
      <c r="AG262" s="8"/>
      <c r="AH262" s="8"/>
    </row>
    <row r="263" spans="29:34" s="4" customFormat="1" hidden="1" x14ac:dyDescent="0.2">
      <c r="AC263" s="8"/>
      <c r="AD263" s="8"/>
      <c r="AE263" s="8"/>
      <c r="AF263" s="8"/>
      <c r="AG263" s="8"/>
      <c r="AH263" s="8"/>
    </row>
    <row r="264" spans="29:34" s="4" customFormat="1" hidden="1" x14ac:dyDescent="0.2">
      <c r="AC264" s="8"/>
      <c r="AD264" s="8"/>
      <c r="AE264" s="8"/>
      <c r="AF264" s="8"/>
      <c r="AG264" s="8"/>
      <c r="AH264" s="8"/>
    </row>
    <row r="265" spans="29:34" s="4" customFormat="1" hidden="1" x14ac:dyDescent="0.2">
      <c r="AC265" s="8"/>
      <c r="AD265" s="8"/>
      <c r="AE265" s="8"/>
      <c r="AF265" s="8"/>
      <c r="AG265" s="8"/>
      <c r="AH265" s="8"/>
    </row>
    <row r="266" spans="29:34" s="4" customFormat="1" hidden="1" x14ac:dyDescent="0.2">
      <c r="AC266" s="8"/>
      <c r="AD266" s="8"/>
      <c r="AE266" s="8"/>
      <c r="AF266" s="8"/>
      <c r="AG266" s="8"/>
      <c r="AH266" s="8"/>
    </row>
    <row r="267" spans="29:34" s="4" customFormat="1" hidden="1" x14ac:dyDescent="0.2">
      <c r="AC267" s="8"/>
      <c r="AD267" s="8"/>
      <c r="AE267" s="8"/>
      <c r="AF267" s="8"/>
      <c r="AG267" s="8"/>
      <c r="AH267" s="8"/>
    </row>
    <row r="268" spans="29:34" s="4" customFormat="1" hidden="1" x14ac:dyDescent="0.2">
      <c r="AC268" s="8"/>
      <c r="AD268" s="8"/>
      <c r="AE268" s="8"/>
      <c r="AF268" s="8"/>
      <c r="AG268" s="8"/>
      <c r="AH268" s="8"/>
    </row>
    <row r="269" spans="29:34" s="4" customFormat="1" hidden="1" x14ac:dyDescent="0.2">
      <c r="AC269" s="8"/>
      <c r="AD269" s="8"/>
      <c r="AE269" s="8"/>
      <c r="AF269" s="8"/>
      <c r="AG269" s="8"/>
      <c r="AH269" s="8"/>
    </row>
    <row r="270" spans="29:34" s="4" customFormat="1" hidden="1" x14ac:dyDescent="0.2">
      <c r="AC270" s="8"/>
      <c r="AD270" s="8"/>
      <c r="AE270" s="8"/>
      <c r="AF270" s="8"/>
      <c r="AG270" s="8"/>
      <c r="AH270" s="8"/>
    </row>
    <row r="271" spans="29:34" s="4" customFormat="1" hidden="1" x14ac:dyDescent="0.2">
      <c r="AC271" s="8"/>
      <c r="AD271" s="8"/>
      <c r="AE271" s="8"/>
      <c r="AF271" s="8"/>
      <c r="AG271" s="8"/>
      <c r="AH271" s="8"/>
    </row>
    <row r="272" spans="29:34" s="4" customFormat="1" hidden="1" x14ac:dyDescent="0.2">
      <c r="AC272" s="8"/>
      <c r="AD272" s="8"/>
      <c r="AE272" s="8"/>
      <c r="AF272" s="8"/>
      <c r="AG272" s="8"/>
      <c r="AH272" s="8"/>
    </row>
    <row r="273" spans="29:34" s="4" customFormat="1" hidden="1" x14ac:dyDescent="0.2">
      <c r="AC273" s="8"/>
      <c r="AD273" s="8"/>
      <c r="AE273" s="8"/>
      <c r="AF273" s="8"/>
      <c r="AG273" s="8"/>
      <c r="AH273" s="8"/>
    </row>
    <row r="274" spans="29:34" s="4" customFormat="1" hidden="1" x14ac:dyDescent="0.2">
      <c r="AC274" s="8"/>
      <c r="AD274" s="8"/>
      <c r="AE274" s="8"/>
      <c r="AF274" s="8"/>
      <c r="AG274" s="8"/>
      <c r="AH274" s="8"/>
    </row>
    <row r="275" spans="29:34" s="4" customFormat="1" hidden="1" x14ac:dyDescent="0.2">
      <c r="AC275" s="8"/>
      <c r="AD275" s="8"/>
      <c r="AE275" s="8"/>
      <c r="AF275" s="8"/>
      <c r="AG275" s="8"/>
      <c r="AH275" s="8"/>
    </row>
    <row r="276" spans="29:34" s="4" customFormat="1" hidden="1" x14ac:dyDescent="0.2">
      <c r="AC276" s="8"/>
      <c r="AD276" s="8"/>
      <c r="AE276" s="8"/>
      <c r="AF276" s="8"/>
      <c r="AG276" s="8"/>
      <c r="AH276" s="8"/>
    </row>
    <row r="277" spans="29:34" s="4" customFormat="1" hidden="1" x14ac:dyDescent="0.2">
      <c r="AC277" s="8"/>
      <c r="AD277" s="8"/>
      <c r="AE277" s="8"/>
      <c r="AF277" s="8"/>
      <c r="AG277" s="8"/>
      <c r="AH277" s="8"/>
    </row>
    <row r="278" spans="29:34" s="4" customFormat="1" hidden="1" x14ac:dyDescent="0.2">
      <c r="AC278" s="8"/>
      <c r="AD278" s="8"/>
      <c r="AE278" s="8"/>
      <c r="AF278" s="8"/>
      <c r="AG278" s="8"/>
      <c r="AH278" s="8"/>
    </row>
    <row r="279" spans="29:34" s="4" customFormat="1" hidden="1" x14ac:dyDescent="0.2">
      <c r="AC279" s="8"/>
      <c r="AD279" s="8"/>
      <c r="AE279" s="8"/>
      <c r="AF279" s="8"/>
      <c r="AG279" s="8"/>
      <c r="AH279" s="8"/>
    </row>
    <row r="280" spans="29:34" s="4" customFormat="1" hidden="1" x14ac:dyDescent="0.2">
      <c r="AC280" s="8"/>
      <c r="AD280" s="8"/>
      <c r="AE280" s="8"/>
      <c r="AF280" s="8"/>
      <c r="AG280" s="8"/>
      <c r="AH280" s="8"/>
    </row>
    <row r="281" spans="29:34" s="4" customFormat="1" hidden="1" x14ac:dyDescent="0.2">
      <c r="AC281" s="8"/>
      <c r="AD281" s="8"/>
      <c r="AE281" s="8"/>
      <c r="AF281" s="8"/>
      <c r="AG281" s="8"/>
      <c r="AH281" s="8"/>
    </row>
    <row r="282" spans="29:34" s="4" customFormat="1" hidden="1" x14ac:dyDescent="0.2">
      <c r="AC282" s="8"/>
      <c r="AD282" s="8"/>
      <c r="AE282" s="8"/>
      <c r="AF282" s="8"/>
      <c r="AG282" s="8"/>
      <c r="AH282" s="8"/>
    </row>
    <row r="283" spans="29:34" s="4" customFormat="1" hidden="1" x14ac:dyDescent="0.2">
      <c r="AC283" s="8"/>
      <c r="AD283" s="8"/>
      <c r="AE283" s="8"/>
      <c r="AF283" s="8"/>
      <c r="AG283" s="8"/>
      <c r="AH283" s="8"/>
    </row>
    <row r="284" spans="29:34" s="4" customFormat="1" hidden="1" x14ac:dyDescent="0.2">
      <c r="AC284" s="8"/>
      <c r="AD284" s="8"/>
      <c r="AE284" s="8"/>
      <c r="AF284" s="8"/>
      <c r="AG284" s="8"/>
      <c r="AH284" s="8"/>
    </row>
    <row r="285" spans="29:34" s="4" customFormat="1" hidden="1" x14ac:dyDescent="0.2">
      <c r="AC285" s="8"/>
      <c r="AD285" s="8"/>
      <c r="AE285" s="8"/>
      <c r="AF285" s="8"/>
      <c r="AG285" s="8"/>
      <c r="AH285" s="8"/>
    </row>
    <row r="286" spans="29:34" s="4" customFormat="1" hidden="1" x14ac:dyDescent="0.2">
      <c r="AC286" s="8"/>
      <c r="AD286" s="8"/>
      <c r="AE286" s="8"/>
      <c r="AF286" s="8"/>
      <c r="AG286" s="8"/>
      <c r="AH286" s="8"/>
    </row>
    <row r="287" spans="29:34" s="4" customFormat="1" hidden="1" x14ac:dyDescent="0.2">
      <c r="AC287" s="8"/>
      <c r="AD287" s="8"/>
      <c r="AE287" s="8"/>
      <c r="AF287" s="8"/>
      <c r="AG287" s="8"/>
      <c r="AH287" s="8"/>
    </row>
    <row r="288" spans="29:34" s="4" customFormat="1" hidden="1" x14ac:dyDescent="0.2">
      <c r="AC288" s="8"/>
      <c r="AD288" s="8"/>
      <c r="AE288" s="8"/>
      <c r="AF288" s="8"/>
      <c r="AG288" s="8"/>
      <c r="AH288" s="8"/>
    </row>
    <row r="289" spans="29:34" s="4" customFormat="1" hidden="1" x14ac:dyDescent="0.2">
      <c r="AC289" s="8"/>
      <c r="AD289" s="8"/>
      <c r="AE289" s="8"/>
      <c r="AF289" s="8"/>
      <c r="AG289" s="8"/>
      <c r="AH289" s="8"/>
    </row>
    <row r="290" spans="29:34" s="4" customFormat="1" hidden="1" x14ac:dyDescent="0.2">
      <c r="AC290" s="8"/>
      <c r="AD290" s="8"/>
      <c r="AE290" s="8"/>
      <c r="AF290" s="8"/>
      <c r="AG290" s="8"/>
      <c r="AH290" s="8"/>
    </row>
    <row r="291" spans="29:34" s="4" customFormat="1" hidden="1" x14ac:dyDescent="0.2">
      <c r="AC291" s="8"/>
      <c r="AD291" s="8"/>
      <c r="AE291" s="8"/>
      <c r="AF291" s="8"/>
      <c r="AG291" s="8"/>
      <c r="AH291" s="8"/>
    </row>
    <row r="292" spans="29:34" s="4" customFormat="1" hidden="1" x14ac:dyDescent="0.2">
      <c r="AC292" s="8"/>
      <c r="AD292" s="8"/>
      <c r="AE292" s="8"/>
      <c r="AF292" s="8"/>
      <c r="AG292" s="8"/>
      <c r="AH292" s="8"/>
    </row>
    <row r="293" spans="29:34" s="4" customFormat="1" hidden="1" x14ac:dyDescent="0.2">
      <c r="AC293" s="8"/>
      <c r="AD293" s="8"/>
      <c r="AE293" s="8"/>
      <c r="AF293" s="8"/>
      <c r="AG293" s="8"/>
      <c r="AH293" s="8"/>
    </row>
    <row r="294" spans="29:34" s="4" customFormat="1" hidden="1" x14ac:dyDescent="0.2">
      <c r="AC294" s="8"/>
      <c r="AD294" s="8"/>
      <c r="AE294" s="8"/>
      <c r="AF294" s="8"/>
      <c r="AG294" s="8"/>
      <c r="AH294" s="8"/>
    </row>
    <row r="295" spans="29:34" s="4" customFormat="1" hidden="1" x14ac:dyDescent="0.2">
      <c r="AC295" s="8"/>
      <c r="AD295" s="8"/>
      <c r="AE295" s="8"/>
      <c r="AF295" s="8"/>
      <c r="AG295" s="8"/>
      <c r="AH295" s="8"/>
    </row>
    <row r="296" spans="29:34" s="4" customFormat="1" hidden="1" x14ac:dyDescent="0.2">
      <c r="AC296" s="8"/>
      <c r="AD296" s="8"/>
      <c r="AE296" s="8"/>
      <c r="AF296" s="8"/>
      <c r="AG296" s="8"/>
      <c r="AH296" s="8"/>
    </row>
    <row r="297" spans="29:34" s="4" customFormat="1" hidden="1" x14ac:dyDescent="0.2">
      <c r="AC297" s="8"/>
      <c r="AD297" s="8"/>
      <c r="AE297" s="8"/>
      <c r="AF297" s="8"/>
      <c r="AG297" s="8"/>
      <c r="AH297" s="8"/>
    </row>
    <row r="298" spans="29:34" s="4" customFormat="1" hidden="1" x14ac:dyDescent="0.2">
      <c r="AC298" s="8"/>
      <c r="AD298" s="8"/>
      <c r="AE298" s="8"/>
      <c r="AF298" s="8"/>
      <c r="AG298" s="8"/>
      <c r="AH298" s="8"/>
    </row>
    <row r="299" spans="29:34" s="4" customFormat="1" hidden="1" x14ac:dyDescent="0.2">
      <c r="AC299" s="8"/>
      <c r="AD299" s="8"/>
      <c r="AE299" s="8"/>
      <c r="AF299" s="8"/>
      <c r="AG299" s="8"/>
      <c r="AH299" s="8"/>
    </row>
    <row r="300" spans="29:34" s="4" customFormat="1" hidden="1" x14ac:dyDescent="0.2">
      <c r="AC300" s="8"/>
      <c r="AD300" s="8"/>
      <c r="AE300" s="8"/>
      <c r="AF300" s="8"/>
      <c r="AG300" s="8"/>
      <c r="AH300" s="8"/>
    </row>
    <row r="301" spans="29:34" s="4" customFormat="1" hidden="1" x14ac:dyDescent="0.2">
      <c r="AC301" s="8"/>
      <c r="AD301" s="8"/>
      <c r="AE301" s="8"/>
      <c r="AF301" s="8"/>
      <c r="AG301" s="8"/>
      <c r="AH301" s="8"/>
    </row>
    <row r="302" spans="29:34" s="4" customFormat="1" hidden="1" x14ac:dyDescent="0.2">
      <c r="AC302" s="8"/>
      <c r="AD302" s="8"/>
      <c r="AE302" s="8"/>
      <c r="AF302" s="8"/>
      <c r="AG302" s="8"/>
      <c r="AH302" s="8"/>
    </row>
    <row r="303" spans="29:34" s="4" customFormat="1" hidden="1" x14ac:dyDescent="0.2">
      <c r="AC303" s="8"/>
      <c r="AD303" s="8"/>
      <c r="AE303" s="8"/>
      <c r="AF303" s="8"/>
      <c r="AG303" s="8"/>
      <c r="AH303" s="8"/>
    </row>
    <row r="304" spans="29:34" s="4" customFormat="1" hidden="1" x14ac:dyDescent="0.2">
      <c r="AC304" s="8"/>
      <c r="AD304" s="8"/>
      <c r="AE304" s="8"/>
      <c r="AF304" s="8"/>
      <c r="AG304" s="8"/>
      <c r="AH304" s="8"/>
    </row>
    <row r="305" spans="29:34" s="4" customFormat="1" hidden="1" x14ac:dyDescent="0.2">
      <c r="AC305" s="8"/>
      <c r="AD305" s="8"/>
      <c r="AE305" s="8"/>
      <c r="AF305" s="8"/>
      <c r="AG305" s="8"/>
      <c r="AH305" s="8"/>
    </row>
    <row r="306" spans="29:34" s="4" customFormat="1" hidden="1" x14ac:dyDescent="0.2">
      <c r="AC306" s="8"/>
      <c r="AD306" s="8"/>
      <c r="AE306" s="8"/>
      <c r="AF306" s="8"/>
      <c r="AG306" s="8"/>
      <c r="AH306" s="8"/>
    </row>
    <row r="307" spans="29:34" s="4" customFormat="1" hidden="1" x14ac:dyDescent="0.2">
      <c r="AC307" s="8"/>
      <c r="AD307" s="8"/>
      <c r="AE307" s="8"/>
      <c r="AF307" s="8"/>
      <c r="AG307" s="8"/>
      <c r="AH307" s="8"/>
    </row>
    <row r="308" spans="29:34" s="4" customFormat="1" hidden="1" x14ac:dyDescent="0.2">
      <c r="AC308" s="8"/>
      <c r="AD308" s="8"/>
      <c r="AE308" s="8"/>
      <c r="AF308" s="8"/>
      <c r="AG308" s="8"/>
      <c r="AH308" s="8"/>
    </row>
    <row r="309" spans="29:34" s="4" customFormat="1" hidden="1" x14ac:dyDescent="0.2">
      <c r="AC309" s="8"/>
      <c r="AD309" s="8"/>
      <c r="AE309" s="8"/>
      <c r="AF309" s="8"/>
      <c r="AG309" s="8"/>
      <c r="AH309" s="8"/>
    </row>
    <row r="310" spans="29:34" s="4" customFormat="1" hidden="1" x14ac:dyDescent="0.2">
      <c r="AC310" s="8"/>
      <c r="AD310" s="8"/>
      <c r="AE310" s="8"/>
      <c r="AF310" s="8"/>
      <c r="AG310" s="8"/>
      <c r="AH310" s="8"/>
    </row>
    <row r="311" spans="29:34" s="4" customFormat="1" hidden="1" x14ac:dyDescent="0.2">
      <c r="AC311" s="8"/>
      <c r="AD311" s="8"/>
      <c r="AE311" s="8"/>
      <c r="AF311" s="8"/>
      <c r="AG311" s="8"/>
      <c r="AH311" s="8"/>
    </row>
    <row r="312" spans="29:34" s="4" customFormat="1" hidden="1" x14ac:dyDescent="0.2">
      <c r="AC312" s="8"/>
      <c r="AD312" s="8"/>
      <c r="AE312" s="8"/>
      <c r="AF312" s="8"/>
      <c r="AG312" s="8"/>
      <c r="AH312" s="8"/>
    </row>
    <row r="313" spans="29:34" s="4" customFormat="1" hidden="1" x14ac:dyDescent="0.2">
      <c r="AC313" s="8"/>
      <c r="AD313" s="8"/>
      <c r="AE313" s="8"/>
      <c r="AF313" s="8"/>
      <c r="AG313" s="8"/>
      <c r="AH313" s="8"/>
    </row>
    <row r="314" spans="29:34" s="4" customFormat="1" hidden="1" x14ac:dyDescent="0.2">
      <c r="AC314" s="8"/>
      <c r="AD314" s="8"/>
      <c r="AE314" s="8"/>
      <c r="AF314" s="8"/>
      <c r="AG314" s="8"/>
      <c r="AH314" s="8"/>
    </row>
    <row r="315" spans="29:34" s="4" customFormat="1" hidden="1" x14ac:dyDescent="0.2">
      <c r="AC315" s="8"/>
      <c r="AD315" s="8"/>
      <c r="AE315" s="8"/>
      <c r="AF315" s="8"/>
      <c r="AG315" s="8"/>
      <c r="AH315" s="8"/>
    </row>
    <row r="316" spans="29:34" s="4" customFormat="1" hidden="1" x14ac:dyDescent="0.2">
      <c r="AC316" s="8"/>
      <c r="AD316" s="8"/>
      <c r="AE316" s="8"/>
      <c r="AF316" s="8"/>
      <c r="AG316" s="8"/>
      <c r="AH316" s="8"/>
    </row>
    <row r="317" spans="29:34" s="4" customFormat="1" hidden="1" x14ac:dyDescent="0.2">
      <c r="AC317" s="8"/>
      <c r="AD317" s="8"/>
      <c r="AE317" s="8"/>
      <c r="AF317" s="8"/>
      <c r="AG317" s="8"/>
      <c r="AH317" s="8"/>
    </row>
    <row r="318" spans="29:34" s="4" customFormat="1" hidden="1" x14ac:dyDescent="0.2">
      <c r="AC318" s="8"/>
      <c r="AD318" s="8"/>
      <c r="AE318" s="8"/>
      <c r="AF318" s="8"/>
      <c r="AG318" s="8"/>
      <c r="AH318" s="8"/>
    </row>
    <row r="319" spans="29:34" s="4" customFormat="1" hidden="1" x14ac:dyDescent="0.2">
      <c r="AC319" s="8"/>
      <c r="AD319" s="8"/>
      <c r="AE319" s="8"/>
      <c r="AF319" s="8"/>
      <c r="AG319" s="8"/>
      <c r="AH319" s="8"/>
    </row>
    <row r="320" spans="29:34" s="4" customFormat="1" hidden="1" x14ac:dyDescent="0.2">
      <c r="AC320" s="8"/>
      <c r="AD320" s="8"/>
      <c r="AE320" s="8"/>
      <c r="AF320" s="8"/>
      <c r="AG320" s="8"/>
      <c r="AH320" s="8"/>
    </row>
    <row r="321" spans="29:34" s="4" customFormat="1" hidden="1" x14ac:dyDescent="0.2">
      <c r="AC321" s="8"/>
      <c r="AD321" s="8"/>
      <c r="AE321" s="8"/>
      <c r="AF321" s="8"/>
      <c r="AG321" s="8"/>
      <c r="AH321" s="8"/>
    </row>
    <row r="322" spans="29:34" s="4" customFormat="1" hidden="1" x14ac:dyDescent="0.2">
      <c r="AC322" s="8"/>
      <c r="AD322" s="8"/>
      <c r="AE322" s="8"/>
      <c r="AF322" s="8"/>
      <c r="AG322" s="8"/>
      <c r="AH322" s="8"/>
    </row>
    <row r="323" spans="29:34" s="4" customFormat="1" hidden="1" x14ac:dyDescent="0.2">
      <c r="AC323" s="8"/>
      <c r="AD323" s="8"/>
      <c r="AE323" s="8"/>
      <c r="AF323" s="8"/>
      <c r="AG323" s="8"/>
      <c r="AH323" s="8"/>
    </row>
    <row r="324" spans="29:34" s="4" customFormat="1" hidden="1" x14ac:dyDescent="0.2">
      <c r="AC324" s="8"/>
      <c r="AD324" s="8"/>
      <c r="AE324" s="8"/>
      <c r="AF324" s="8"/>
      <c r="AG324" s="8"/>
      <c r="AH324" s="8"/>
    </row>
    <row r="325" spans="29:34" s="4" customFormat="1" hidden="1" x14ac:dyDescent="0.2">
      <c r="AC325" s="8"/>
      <c r="AD325" s="8"/>
      <c r="AE325" s="8"/>
      <c r="AF325" s="8"/>
      <c r="AG325" s="8"/>
      <c r="AH325" s="8"/>
    </row>
    <row r="326" spans="29:34" s="4" customFormat="1" hidden="1" x14ac:dyDescent="0.2">
      <c r="AC326" s="8"/>
      <c r="AD326" s="8"/>
      <c r="AE326" s="8"/>
      <c r="AF326" s="8"/>
      <c r="AG326" s="8"/>
      <c r="AH326" s="8"/>
    </row>
    <row r="327" spans="29:34" s="4" customFormat="1" hidden="1" x14ac:dyDescent="0.2">
      <c r="AC327" s="8"/>
      <c r="AD327" s="8"/>
      <c r="AE327" s="8"/>
      <c r="AF327" s="8"/>
      <c r="AG327" s="8"/>
      <c r="AH327" s="8"/>
    </row>
    <row r="328" spans="29:34" s="4" customFormat="1" hidden="1" x14ac:dyDescent="0.2">
      <c r="AC328" s="8"/>
      <c r="AD328" s="8"/>
      <c r="AE328" s="8"/>
      <c r="AF328" s="8"/>
      <c r="AG328" s="8"/>
      <c r="AH328" s="8"/>
    </row>
    <row r="329" spans="29:34" s="4" customFormat="1" hidden="1" x14ac:dyDescent="0.2">
      <c r="AC329" s="8"/>
      <c r="AD329" s="8"/>
      <c r="AE329" s="8"/>
      <c r="AF329" s="8"/>
      <c r="AG329" s="8"/>
      <c r="AH329" s="8"/>
    </row>
    <row r="330" spans="29:34" s="4" customFormat="1" hidden="1" x14ac:dyDescent="0.2">
      <c r="AC330" s="8"/>
      <c r="AD330" s="8"/>
      <c r="AE330" s="8"/>
      <c r="AF330" s="8"/>
      <c r="AG330" s="8"/>
      <c r="AH330" s="8"/>
    </row>
    <row r="331" spans="29:34" s="4" customFormat="1" hidden="1" x14ac:dyDescent="0.2">
      <c r="AC331" s="8"/>
      <c r="AD331" s="8"/>
      <c r="AE331" s="8"/>
      <c r="AF331" s="8"/>
      <c r="AG331" s="8"/>
      <c r="AH331" s="8"/>
    </row>
    <row r="332" spans="29:34" s="4" customFormat="1" hidden="1" x14ac:dyDescent="0.2">
      <c r="AC332" s="8"/>
      <c r="AD332" s="8"/>
      <c r="AE332" s="8"/>
      <c r="AF332" s="8"/>
      <c r="AG332" s="8"/>
      <c r="AH332" s="8"/>
    </row>
    <row r="333" spans="29:34" s="4" customFormat="1" hidden="1" x14ac:dyDescent="0.2">
      <c r="AC333" s="8"/>
      <c r="AD333" s="8"/>
      <c r="AE333" s="8"/>
      <c r="AF333" s="8"/>
      <c r="AG333" s="8"/>
      <c r="AH333" s="8"/>
    </row>
    <row r="334" spans="29:34" s="4" customFormat="1" hidden="1" x14ac:dyDescent="0.2">
      <c r="AC334" s="8"/>
      <c r="AD334" s="8"/>
      <c r="AE334" s="8"/>
      <c r="AF334" s="8"/>
      <c r="AG334" s="8"/>
      <c r="AH334" s="8"/>
    </row>
    <row r="335" spans="29:34" s="4" customFormat="1" hidden="1" x14ac:dyDescent="0.2">
      <c r="AC335" s="8"/>
      <c r="AD335" s="8"/>
      <c r="AE335" s="8"/>
      <c r="AF335" s="8"/>
      <c r="AG335" s="8"/>
      <c r="AH335" s="8"/>
    </row>
    <row r="336" spans="29:34" s="4" customFormat="1" hidden="1" x14ac:dyDescent="0.2">
      <c r="AC336" s="8"/>
      <c r="AD336" s="8"/>
      <c r="AE336" s="8"/>
      <c r="AF336" s="8"/>
      <c r="AG336" s="8"/>
      <c r="AH336" s="8"/>
    </row>
    <row r="337" spans="29:34" s="4" customFormat="1" hidden="1" x14ac:dyDescent="0.2">
      <c r="AC337" s="8"/>
      <c r="AD337" s="8"/>
      <c r="AE337" s="8"/>
      <c r="AF337" s="8"/>
      <c r="AG337" s="8"/>
      <c r="AH337" s="8"/>
    </row>
    <row r="338" spans="29:34" s="4" customFormat="1" hidden="1" x14ac:dyDescent="0.2">
      <c r="AC338" s="8"/>
      <c r="AD338" s="8"/>
      <c r="AE338" s="8"/>
      <c r="AF338" s="8"/>
      <c r="AG338" s="8"/>
      <c r="AH338" s="8"/>
    </row>
    <row r="339" spans="29:34" s="4" customFormat="1" hidden="1" x14ac:dyDescent="0.2">
      <c r="AC339" s="8"/>
      <c r="AD339" s="8"/>
      <c r="AE339" s="8"/>
      <c r="AF339" s="8"/>
      <c r="AG339" s="8"/>
      <c r="AH339" s="8"/>
    </row>
    <row r="340" spans="29:34" s="4" customFormat="1" hidden="1" x14ac:dyDescent="0.2">
      <c r="AC340" s="8"/>
      <c r="AD340" s="8"/>
      <c r="AE340" s="8"/>
      <c r="AF340" s="8"/>
      <c r="AG340" s="8"/>
      <c r="AH340" s="8"/>
    </row>
    <row r="341" spans="29:34" s="4" customFormat="1" hidden="1" x14ac:dyDescent="0.2">
      <c r="AC341" s="8"/>
      <c r="AD341" s="8"/>
      <c r="AE341" s="8"/>
      <c r="AF341" s="8"/>
      <c r="AG341" s="8"/>
      <c r="AH341" s="8"/>
    </row>
    <row r="342" spans="29:34" s="4" customFormat="1" hidden="1" x14ac:dyDescent="0.2">
      <c r="AC342" s="8"/>
      <c r="AD342" s="8"/>
      <c r="AE342" s="8"/>
      <c r="AF342" s="8"/>
      <c r="AG342" s="8"/>
      <c r="AH342" s="8"/>
    </row>
    <row r="343" spans="29:34" s="4" customFormat="1" hidden="1" x14ac:dyDescent="0.2">
      <c r="AC343" s="8"/>
      <c r="AD343" s="8"/>
      <c r="AE343" s="8"/>
      <c r="AF343" s="8"/>
      <c r="AG343" s="8"/>
      <c r="AH343" s="8"/>
    </row>
    <row r="344" spans="29:34" s="4" customFormat="1" hidden="1" x14ac:dyDescent="0.2">
      <c r="AC344" s="8"/>
      <c r="AD344" s="8"/>
      <c r="AE344" s="8"/>
      <c r="AF344" s="8"/>
      <c r="AG344" s="8"/>
      <c r="AH344" s="8"/>
    </row>
    <row r="345" spans="29:34" s="4" customFormat="1" hidden="1" x14ac:dyDescent="0.2">
      <c r="AC345" s="8"/>
      <c r="AD345" s="8"/>
      <c r="AE345" s="8"/>
      <c r="AF345" s="8"/>
      <c r="AG345" s="8"/>
      <c r="AH345" s="8"/>
    </row>
    <row r="346" spans="29:34" s="4" customFormat="1" hidden="1" x14ac:dyDescent="0.2">
      <c r="AC346" s="8"/>
      <c r="AD346" s="8"/>
      <c r="AE346" s="8"/>
      <c r="AF346" s="8"/>
      <c r="AG346" s="8"/>
      <c r="AH346" s="8"/>
    </row>
    <row r="347" spans="29:34" s="4" customFormat="1" hidden="1" x14ac:dyDescent="0.2">
      <c r="AC347" s="8"/>
      <c r="AD347" s="8"/>
      <c r="AE347" s="8"/>
      <c r="AF347" s="8"/>
      <c r="AG347" s="8"/>
      <c r="AH347" s="8"/>
    </row>
    <row r="348" spans="29:34" s="4" customFormat="1" hidden="1" x14ac:dyDescent="0.2">
      <c r="AC348" s="8"/>
      <c r="AD348" s="8"/>
      <c r="AE348" s="8"/>
      <c r="AF348" s="8"/>
      <c r="AG348" s="8"/>
      <c r="AH348" s="8"/>
    </row>
    <row r="349" spans="29:34" s="4" customFormat="1" hidden="1" x14ac:dyDescent="0.2">
      <c r="AC349" s="8"/>
      <c r="AD349" s="8"/>
      <c r="AE349" s="8"/>
      <c r="AF349" s="8"/>
      <c r="AG349" s="8"/>
      <c r="AH349" s="8"/>
    </row>
    <row r="350" spans="29:34" s="4" customFormat="1" hidden="1" x14ac:dyDescent="0.2">
      <c r="AC350" s="8"/>
      <c r="AD350" s="8"/>
      <c r="AE350" s="8"/>
      <c r="AF350" s="8"/>
      <c r="AG350" s="8"/>
      <c r="AH350" s="8"/>
    </row>
    <row r="351" spans="29:34" s="4" customFormat="1" hidden="1" x14ac:dyDescent="0.2">
      <c r="AC351" s="8"/>
      <c r="AD351" s="8"/>
      <c r="AE351" s="8"/>
      <c r="AF351" s="8"/>
      <c r="AG351" s="8"/>
      <c r="AH351" s="8"/>
    </row>
    <row r="352" spans="29:34" s="4" customFormat="1" hidden="1" x14ac:dyDescent="0.2">
      <c r="AC352" s="8"/>
      <c r="AD352" s="8"/>
      <c r="AE352" s="8"/>
      <c r="AF352" s="8"/>
      <c r="AG352" s="8"/>
      <c r="AH352" s="8"/>
    </row>
    <row r="353" spans="29:34" s="4" customFormat="1" hidden="1" x14ac:dyDescent="0.2">
      <c r="AC353" s="8"/>
      <c r="AD353" s="8"/>
      <c r="AE353" s="8"/>
      <c r="AF353" s="8"/>
      <c r="AG353" s="8"/>
      <c r="AH353" s="8"/>
    </row>
    <row r="354" spans="29:34" s="4" customFormat="1" hidden="1" x14ac:dyDescent="0.2">
      <c r="AC354" s="8"/>
      <c r="AD354" s="8"/>
      <c r="AE354" s="8"/>
      <c r="AF354" s="8"/>
      <c r="AG354" s="8"/>
      <c r="AH354" s="8"/>
    </row>
    <row r="355" spans="29:34" s="4" customFormat="1" hidden="1" x14ac:dyDescent="0.2">
      <c r="AC355" s="8"/>
      <c r="AD355" s="8"/>
      <c r="AE355" s="8"/>
      <c r="AF355" s="8"/>
      <c r="AG355" s="8"/>
      <c r="AH355" s="8"/>
    </row>
    <row r="356" spans="29:34" s="4" customFormat="1" hidden="1" x14ac:dyDescent="0.2">
      <c r="AC356" s="8"/>
      <c r="AD356" s="8"/>
      <c r="AE356" s="8"/>
      <c r="AF356" s="8"/>
      <c r="AG356" s="8"/>
      <c r="AH356" s="8"/>
    </row>
    <row r="357" spans="29:34" s="4" customFormat="1" hidden="1" x14ac:dyDescent="0.2">
      <c r="AC357" s="8"/>
      <c r="AD357" s="8"/>
      <c r="AE357" s="8"/>
      <c r="AF357" s="8"/>
      <c r="AG357" s="8"/>
      <c r="AH357" s="8"/>
    </row>
    <row r="358" spans="29:34" s="4" customFormat="1" hidden="1" x14ac:dyDescent="0.2">
      <c r="AC358" s="8"/>
      <c r="AD358" s="8"/>
      <c r="AE358" s="8"/>
      <c r="AF358" s="8"/>
      <c r="AG358" s="8"/>
      <c r="AH358" s="8"/>
    </row>
    <row r="359" spans="29:34" s="4" customFormat="1" hidden="1" x14ac:dyDescent="0.2">
      <c r="AC359" s="8"/>
      <c r="AD359" s="8"/>
      <c r="AE359" s="8"/>
      <c r="AF359" s="8"/>
      <c r="AG359" s="8"/>
      <c r="AH359" s="8"/>
    </row>
    <row r="360" spans="29:34" s="4" customFormat="1" hidden="1" x14ac:dyDescent="0.2">
      <c r="AC360" s="8"/>
      <c r="AD360" s="8"/>
      <c r="AE360" s="8"/>
      <c r="AF360" s="8"/>
      <c r="AG360" s="8"/>
      <c r="AH360" s="8"/>
    </row>
    <row r="361" spans="29:34" s="4" customFormat="1" hidden="1" x14ac:dyDescent="0.2">
      <c r="AC361" s="8"/>
      <c r="AD361" s="8"/>
      <c r="AE361" s="8"/>
      <c r="AF361" s="8"/>
      <c r="AG361" s="8"/>
      <c r="AH361" s="8"/>
    </row>
    <row r="362" spans="29:34" s="4" customFormat="1" hidden="1" x14ac:dyDescent="0.2">
      <c r="AC362" s="8"/>
      <c r="AD362" s="8"/>
      <c r="AE362" s="8"/>
      <c r="AF362" s="8"/>
      <c r="AG362" s="8"/>
      <c r="AH362" s="8"/>
    </row>
    <row r="363" spans="29:34" s="4" customFormat="1" hidden="1" x14ac:dyDescent="0.2">
      <c r="AC363" s="8"/>
      <c r="AD363" s="8"/>
      <c r="AE363" s="8"/>
      <c r="AF363" s="8"/>
      <c r="AG363" s="8"/>
      <c r="AH363" s="8"/>
    </row>
    <row r="364" spans="29:34" s="4" customFormat="1" hidden="1" x14ac:dyDescent="0.2">
      <c r="AC364" s="8"/>
      <c r="AD364" s="8"/>
      <c r="AE364" s="8"/>
      <c r="AF364" s="8"/>
      <c r="AG364" s="8"/>
      <c r="AH364" s="8"/>
    </row>
    <row r="365" spans="29:34" s="4" customFormat="1" hidden="1" x14ac:dyDescent="0.2">
      <c r="AC365" s="8"/>
      <c r="AD365" s="8"/>
      <c r="AE365" s="8"/>
      <c r="AF365" s="8"/>
      <c r="AG365" s="8"/>
      <c r="AH365" s="8"/>
    </row>
    <row r="366" spans="29:34" s="4" customFormat="1" hidden="1" x14ac:dyDescent="0.2">
      <c r="AC366" s="8"/>
      <c r="AD366" s="8"/>
      <c r="AE366" s="8"/>
      <c r="AF366" s="8"/>
      <c r="AG366" s="8"/>
      <c r="AH366" s="8"/>
    </row>
    <row r="367" spans="29:34" s="4" customFormat="1" hidden="1" x14ac:dyDescent="0.2">
      <c r="AC367" s="8"/>
      <c r="AD367" s="8"/>
      <c r="AE367" s="8"/>
      <c r="AF367" s="8"/>
      <c r="AG367" s="8"/>
      <c r="AH367" s="8"/>
    </row>
    <row r="368" spans="29:34" s="4" customFormat="1" hidden="1" x14ac:dyDescent="0.2">
      <c r="AC368" s="8"/>
      <c r="AD368" s="8"/>
      <c r="AE368" s="8"/>
      <c r="AF368" s="8"/>
      <c r="AG368" s="8"/>
      <c r="AH368" s="8"/>
    </row>
    <row r="369" spans="29:34" s="4" customFormat="1" hidden="1" x14ac:dyDescent="0.2">
      <c r="AC369" s="8"/>
      <c r="AD369" s="8"/>
      <c r="AE369" s="8"/>
      <c r="AF369" s="8"/>
      <c r="AG369" s="8"/>
      <c r="AH369" s="8"/>
    </row>
    <row r="370" spans="29:34" s="4" customFormat="1" hidden="1" x14ac:dyDescent="0.2">
      <c r="AC370" s="8"/>
      <c r="AD370" s="8"/>
      <c r="AE370" s="8"/>
      <c r="AF370" s="8"/>
      <c r="AG370" s="8"/>
      <c r="AH370" s="8"/>
    </row>
    <row r="371" spans="29:34" s="4" customFormat="1" hidden="1" x14ac:dyDescent="0.2">
      <c r="AC371" s="8"/>
      <c r="AD371" s="8"/>
      <c r="AE371" s="8"/>
      <c r="AF371" s="8"/>
      <c r="AG371" s="8"/>
      <c r="AH371" s="8"/>
    </row>
    <row r="372" spans="29:34" s="4" customFormat="1" hidden="1" x14ac:dyDescent="0.2">
      <c r="AC372" s="8"/>
      <c r="AD372" s="8"/>
      <c r="AE372" s="8"/>
      <c r="AF372" s="8"/>
      <c r="AG372" s="8"/>
      <c r="AH372" s="8"/>
    </row>
    <row r="373" spans="29:34" s="4" customFormat="1" hidden="1" x14ac:dyDescent="0.2">
      <c r="AC373" s="8"/>
      <c r="AD373" s="8"/>
      <c r="AE373" s="8"/>
      <c r="AF373" s="8"/>
      <c r="AG373" s="8"/>
      <c r="AH373" s="8"/>
    </row>
    <row r="374" spans="29:34" s="4" customFormat="1" hidden="1" x14ac:dyDescent="0.2">
      <c r="AC374" s="8"/>
      <c r="AD374" s="8"/>
      <c r="AE374" s="8"/>
      <c r="AF374" s="8"/>
      <c r="AG374" s="8"/>
      <c r="AH374" s="8"/>
    </row>
    <row r="375" spans="29:34" s="4" customFormat="1" hidden="1" x14ac:dyDescent="0.2">
      <c r="AC375" s="8"/>
      <c r="AD375" s="8"/>
      <c r="AE375" s="8"/>
      <c r="AF375" s="8"/>
      <c r="AG375" s="8"/>
      <c r="AH375" s="8"/>
    </row>
    <row r="376" spans="29:34" s="4" customFormat="1" hidden="1" x14ac:dyDescent="0.2">
      <c r="AC376" s="8"/>
      <c r="AD376" s="8"/>
      <c r="AE376" s="8"/>
      <c r="AF376" s="8"/>
      <c r="AG376" s="8"/>
      <c r="AH376" s="8"/>
    </row>
    <row r="377" spans="29:34" s="4" customFormat="1" hidden="1" x14ac:dyDescent="0.2">
      <c r="AC377" s="8"/>
      <c r="AD377" s="8"/>
      <c r="AE377" s="8"/>
      <c r="AF377" s="8"/>
      <c r="AG377" s="8"/>
      <c r="AH377" s="8"/>
    </row>
    <row r="378" spans="29:34" s="4" customFormat="1" hidden="1" x14ac:dyDescent="0.2">
      <c r="AC378" s="8"/>
      <c r="AD378" s="8"/>
      <c r="AE378" s="8"/>
      <c r="AF378" s="8"/>
      <c r="AG378" s="8"/>
      <c r="AH378" s="8"/>
    </row>
    <row r="379" spans="29:34" s="4" customFormat="1" hidden="1" x14ac:dyDescent="0.2">
      <c r="AC379" s="8"/>
      <c r="AD379" s="8"/>
      <c r="AE379" s="8"/>
      <c r="AF379" s="8"/>
      <c r="AG379" s="8"/>
      <c r="AH379" s="8"/>
    </row>
    <row r="380" spans="29:34" s="4" customFormat="1" hidden="1" x14ac:dyDescent="0.2">
      <c r="AC380" s="8"/>
      <c r="AD380" s="8"/>
      <c r="AE380" s="8"/>
      <c r="AF380" s="8"/>
      <c r="AG380" s="8"/>
      <c r="AH380" s="8"/>
    </row>
    <row r="381" spans="29:34" s="4" customFormat="1" hidden="1" x14ac:dyDescent="0.2">
      <c r="AC381" s="8"/>
      <c r="AD381" s="8"/>
      <c r="AE381" s="8"/>
      <c r="AF381" s="8"/>
      <c r="AG381" s="8"/>
      <c r="AH381" s="8"/>
    </row>
    <row r="382" spans="29:34" s="4" customFormat="1" hidden="1" x14ac:dyDescent="0.2">
      <c r="AC382" s="8"/>
      <c r="AD382" s="8"/>
      <c r="AE382" s="8"/>
      <c r="AF382" s="8"/>
      <c r="AG382" s="8"/>
      <c r="AH382" s="8"/>
    </row>
    <row r="383" spans="29:34" s="4" customFormat="1" hidden="1" x14ac:dyDescent="0.2">
      <c r="AC383" s="8"/>
      <c r="AD383" s="8"/>
      <c r="AE383" s="8"/>
      <c r="AF383" s="8"/>
      <c r="AG383" s="8"/>
      <c r="AH383" s="8"/>
    </row>
    <row r="384" spans="29:34" s="4" customFormat="1" hidden="1" x14ac:dyDescent="0.2">
      <c r="AC384" s="8"/>
      <c r="AD384" s="8"/>
      <c r="AE384" s="8"/>
      <c r="AF384" s="8"/>
      <c r="AG384" s="8"/>
      <c r="AH384" s="8"/>
    </row>
    <row r="385" spans="29:34" s="4" customFormat="1" hidden="1" x14ac:dyDescent="0.2">
      <c r="AC385" s="8"/>
      <c r="AD385" s="8"/>
      <c r="AE385" s="8"/>
      <c r="AF385" s="8"/>
      <c r="AG385" s="8"/>
      <c r="AH385" s="8"/>
    </row>
    <row r="386" spans="29:34" s="4" customFormat="1" hidden="1" x14ac:dyDescent="0.2">
      <c r="AC386" s="8"/>
      <c r="AD386" s="8"/>
      <c r="AE386" s="8"/>
      <c r="AF386" s="8"/>
      <c r="AG386" s="8"/>
      <c r="AH386" s="8"/>
    </row>
    <row r="387" spans="29:34" s="4" customFormat="1" hidden="1" x14ac:dyDescent="0.2">
      <c r="AC387" s="8"/>
      <c r="AD387" s="8"/>
      <c r="AE387" s="8"/>
      <c r="AF387" s="8"/>
      <c r="AG387" s="8"/>
      <c r="AH387" s="8"/>
    </row>
    <row r="388" spans="29:34" s="4" customFormat="1" hidden="1" x14ac:dyDescent="0.2">
      <c r="AC388" s="8"/>
      <c r="AD388" s="8"/>
      <c r="AE388" s="8"/>
      <c r="AF388" s="8"/>
      <c r="AG388" s="8"/>
      <c r="AH388" s="8"/>
    </row>
    <row r="389" spans="29:34" s="4" customFormat="1" hidden="1" x14ac:dyDescent="0.2">
      <c r="AC389" s="8"/>
      <c r="AD389" s="8"/>
      <c r="AE389" s="8"/>
      <c r="AF389" s="8"/>
      <c r="AG389" s="8"/>
      <c r="AH389" s="8"/>
    </row>
    <row r="390" spans="29:34" s="4" customFormat="1" hidden="1" x14ac:dyDescent="0.2">
      <c r="AC390" s="8"/>
      <c r="AD390" s="8"/>
      <c r="AE390" s="8"/>
      <c r="AF390" s="8"/>
      <c r="AG390" s="8"/>
      <c r="AH390" s="8"/>
    </row>
    <row r="391" spans="29:34" s="4" customFormat="1" hidden="1" x14ac:dyDescent="0.2">
      <c r="AC391" s="8"/>
      <c r="AD391" s="8"/>
      <c r="AE391" s="8"/>
      <c r="AF391" s="8"/>
      <c r="AG391" s="8"/>
      <c r="AH391" s="8"/>
    </row>
    <row r="392" spans="29:34" s="4" customFormat="1" hidden="1" x14ac:dyDescent="0.2">
      <c r="AC392" s="8"/>
      <c r="AD392" s="8"/>
      <c r="AE392" s="8"/>
      <c r="AF392" s="8"/>
      <c r="AG392" s="8"/>
      <c r="AH392" s="8"/>
    </row>
    <row r="393" spans="29:34" s="4" customFormat="1" hidden="1" x14ac:dyDescent="0.2">
      <c r="AC393" s="8"/>
      <c r="AD393" s="8"/>
      <c r="AE393" s="8"/>
      <c r="AF393" s="8"/>
      <c r="AG393" s="8"/>
      <c r="AH393" s="8"/>
    </row>
    <row r="394" spans="29:34" s="4" customFormat="1" hidden="1" x14ac:dyDescent="0.2">
      <c r="AC394" s="8"/>
      <c r="AD394" s="8"/>
      <c r="AE394" s="8"/>
      <c r="AF394" s="8"/>
      <c r="AG394" s="8"/>
      <c r="AH394" s="8"/>
    </row>
    <row r="395" spans="29:34" s="4" customFormat="1" hidden="1" x14ac:dyDescent="0.2">
      <c r="AC395" s="8"/>
      <c r="AD395" s="8"/>
      <c r="AE395" s="8"/>
      <c r="AF395" s="8"/>
      <c r="AG395" s="8"/>
      <c r="AH395" s="8"/>
    </row>
    <row r="396" spans="29:34" s="4" customFormat="1" hidden="1" x14ac:dyDescent="0.2">
      <c r="AC396" s="8"/>
      <c r="AD396" s="8"/>
      <c r="AE396" s="8"/>
      <c r="AF396" s="8"/>
      <c r="AG396" s="8"/>
      <c r="AH396" s="8"/>
    </row>
    <row r="397" spans="29:34" s="4" customFormat="1" hidden="1" x14ac:dyDescent="0.2">
      <c r="AC397" s="8"/>
      <c r="AD397" s="8"/>
      <c r="AE397" s="8"/>
      <c r="AF397" s="8"/>
      <c r="AG397" s="8"/>
      <c r="AH397" s="8"/>
    </row>
    <row r="398" spans="29:34" s="4" customFormat="1" hidden="1" x14ac:dyDescent="0.2">
      <c r="AC398" s="8"/>
      <c r="AD398" s="8"/>
      <c r="AE398" s="8"/>
      <c r="AF398" s="8"/>
      <c r="AG398" s="8"/>
      <c r="AH398" s="8"/>
    </row>
    <row r="399" spans="29:34" s="4" customFormat="1" hidden="1" x14ac:dyDescent="0.2">
      <c r="AC399" s="8"/>
      <c r="AD399" s="8"/>
      <c r="AE399" s="8"/>
      <c r="AF399" s="8"/>
      <c r="AG399" s="8"/>
      <c r="AH399" s="8"/>
    </row>
    <row r="400" spans="29:34" s="4" customFormat="1" hidden="1" x14ac:dyDescent="0.2">
      <c r="AC400" s="8"/>
      <c r="AD400" s="8"/>
      <c r="AE400" s="8"/>
      <c r="AF400" s="8"/>
      <c r="AG400" s="8"/>
      <c r="AH400" s="8"/>
    </row>
    <row r="401" spans="29:34" s="4" customFormat="1" hidden="1" x14ac:dyDescent="0.2">
      <c r="AC401" s="8"/>
      <c r="AD401" s="8"/>
      <c r="AE401" s="8"/>
      <c r="AF401" s="8"/>
      <c r="AG401" s="8"/>
      <c r="AH401" s="8"/>
    </row>
    <row r="402" spans="29:34" s="4" customFormat="1" hidden="1" x14ac:dyDescent="0.2">
      <c r="AC402" s="8"/>
      <c r="AD402" s="8"/>
      <c r="AE402" s="8"/>
      <c r="AF402" s="8"/>
      <c r="AG402" s="8"/>
      <c r="AH402" s="8"/>
    </row>
    <row r="403" spans="29:34" s="4" customFormat="1" hidden="1" x14ac:dyDescent="0.2">
      <c r="AC403" s="8"/>
      <c r="AD403" s="8"/>
      <c r="AE403" s="8"/>
      <c r="AF403" s="8"/>
      <c r="AG403" s="8"/>
      <c r="AH403" s="8"/>
    </row>
    <row r="404" spans="29:34" s="4" customFormat="1" hidden="1" x14ac:dyDescent="0.2">
      <c r="AC404" s="8"/>
      <c r="AD404" s="8"/>
      <c r="AE404" s="8"/>
      <c r="AF404" s="8"/>
      <c r="AG404" s="8"/>
      <c r="AH404" s="8"/>
    </row>
    <row r="405" spans="29:34" s="4" customFormat="1" hidden="1" x14ac:dyDescent="0.2">
      <c r="AC405" s="8"/>
      <c r="AD405" s="8"/>
      <c r="AE405" s="8"/>
      <c r="AF405" s="8"/>
      <c r="AG405" s="8"/>
      <c r="AH405" s="8"/>
    </row>
    <row r="406" spans="29:34" s="4" customFormat="1" hidden="1" x14ac:dyDescent="0.2">
      <c r="AC406" s="8"/>
      <c r="AD406" s="8"/>
      <c r="AE406" s="8"/>
      <c r="AF406" s="8"/>
      <c r="AG406" s="8"/>
      <c r="AH406" s="8"/>
    </row>
    <row r="407" spans="29:34" s="4" customFormat="1" hidden="1" x14ac:dyDescent="0.2">
      <c r="AC407" s="8"/>
      <c r="AD407" s="8"/>
      <c r="AE407" s="8"/>
      <c r="AF407" s="8"/>
      <c r="AG407" s="8"/>
      <c r="AH407" s="8"/>
    </row>
    <row r="408" spans="29:34" s="4" customFormat="1" hidden="1" x14ac:dyDescent="0.2">
      <c r="AC408" s="8"/>
      <c r="AD408" s="8"/>
      <c r="AE408" s="8"/>
      <c r="AF408" s="8"/>
      <c r="AG408" s="8"/>
      <c r="AH408" s="8"/>
    </row>
    <row r="409" spans="29:34" s="4" customFormat="1" hidden="1" x14ac:dyDescent="0.2">
      <c r="AC409" s="8"/>
      <c r="AD409" s="8"/>
      <c r="AE409" s="8"/>
      <c r="AF409" s="8"/>
      <c r="AG409" s="8"/>
      <c r="AH409" s="8"/>
    </row>
    <row r="410" spans="29:34" s="4" customFormat="1" hidden="1" x14ac:dyDescent="0.2">
      <c r="AC410" s="8"/>
      <c r="AD410" s="8"/>
      <c r="AE410" s="8"/>
      <c r="AF410" s="8"/>
      <c r="AG410" s="8"/>
      <c r="AH410" s="8"/>
    </row>
    <row r="411" spans="29:34" s="4" customFormat="1" hidden="1" x14ac:dyDescent="0.2">
      <c r="AC411" s="8"/>
      <c r="AD411" s="8"/>
      <c r="AE411" s="8"/>
      <c r="AF411" s="8"/>
      <c r="AG411" s="8"/>
      <c r="AH411" s="8"/>
    </row>
    <row r="412" spans="29:34" s="4" customFormat="1" hidden="1" x14ac:dyDescent="0.2">
      <c r="AC412" s="8"/>
      <c r="AD412" s="8"/>
      <c r="AE412" s="8"/>
      <c r="AF412" s="8"/>
      <c r="AG412" s="8"/>
      <c r="AH412" s="8"/>
    </row>
    <row r="413" spans="29:34" s="4" customFormat="1" hidden="1" x14ac:dyDescent="0.2">
      <c r="AC413" s="8"/>
      <c r="AD413" s="8"/>
      <c r="AE413" s="8"/>
      <c r="AF413" s="8"/>
      <c r="AG413" s="8"/>
      <c r="AH413" s="8"/>
    </row>
    <row r="414" spans="29:34" s="4" customFormat="1" hidden="1" x14ac:dyDescent="0.2">
      <c r="AC414" s="8"/>
      <c r="AD414" s="8"/>
      <c r="AE414" s="8"/>
      <c r="AF414" s="8"/>
      <c r="AG414" s="8"/>
      <c r="AH414" s="8"/>
    </row>
    <row r="415" spans="29:34" s="4" customFormat="1" hidden="1" x14ac:dyDescent="0.2">
      <c r="AC415" s="8"/>
      <c r="AD415" s="8"/>
      <c r="AE415" s="8"/>
      <c r="AF415" s="8"/>
      <c r="AG415" s="8"/>
      <c r="AH415" s="8"/>
    </row>
    <row r="416" spans="29:34" s="4" customFormat="1" hidden="1" x14ac:dyDescent="0.2">
      <c r="AC416" s="8"/>
      <c r="AD416" s="8"/>
      <c r="AE416" s="8"/>
      <c r="AF416" s="8"/>
      <c r="AG416" s="8"/>
      <c r="AH416" s="8"/>
    </row>
    <row r="417" spans="29:34" s="4" customFormat="1" hidden="1" x14ac:dyDescent="0.2">
      <c r="AC417" s="8"/>
      <c r="AD417" s="8"/>
      <c r="AE417" s="8"/>
      <c r="AF417" s="8"/>
      <c r="AG417" s="8"/>
      <c r="AH417" s="8"/>
    </row>
    <row r="418" spans="29:34" s="4" customFormat="1" hidden="1" x14ac:dyDescent="0.2">
      <c r="AC418" s="8"/>
      <c r="AD418" s="8"/>
      <c r="AE418" s="8"/>
      <c r="AF418" s="8"/>
      <c r="AG418" s="8"/>
      <c r="AH418" s="8"/>
    </row>
    <row r="419" spans="29:34" s="4" customFormat="1" hidden="1" x14ac:dyDescent="0.2">
      <c r="AC419" s="8"/>
      <c r="AD419" s="8"/>
      <c r="AE419" s="8"/>
      <c r="AF419" s="8"/>
      <c r="AG419" s="8"/>
      <c r="AH419" s="8"/>
    </row>
    <row r="420" spans="29:34" s="4" customFormat="1" hidden="1" x14ac:dyDescent="0.2">
      <c r="AC420" s="8"/>
      <c r="AD420" s="8"/>
      <c r="AE420" s="8"/>
      <c r="AF420" s="8"/>
      <c r="AG420" s="8"/>
      <c r="AH420" s="8"/>
    </row>
    <row r="421" spans="29:34" s="4" customFormat="1" hidden="1" x14ac:dyDescent="0.2">
      <c r="AC421" s="8"/>
      <c r="AD421" s="8"/>
      <c r="AE421" s="8"/>
      <c r="AF421" s="8"/>
      <c r="AG421" s="8"/>
      <c r="AH421" s="8"/>
    </row>
    <row r="422" spans="29:34" s="4" customFormat="1" hidden="1" x14ac:dyDescent="0.2">
      <c r="AC422" s="8"/>
      <c r="AD422" s="8"/>
      <c r="AE422" s="8"/>
      <c r="AF422" s="8"/>
      <c r="AG422" s="8"/>
      <c r="AH422" s="8"/>
    </row>
    <row r="423" spans="29:34" s="4" customFormat="1" hidden="1" x14ac:dyDescent="0.2">
      <c r="AC423" s="8"/>
      <c r="AD423" s="8"/>
      <c r="AE423" s="8"/>
      <c r="AF423" s="8"/>
      <c r="AG423" s="8"/>
      <c r="AH423" s="8"/>
    </row>
    <row r="424" spans="29:34" s="4" customFormat="1" hidden="1" x14ac:dyDescent="0.2">
      <c r="AC424" s="8"/>
      <c r="AD424" s="8"/>
      <c r="AE424" s="8"/>
      <c r="AF424" s="8"/>
      <c r="AG424" s="8"/>
      <c r="AH424" s="8"/>
    </row>
    <row r="425" spans="29:34" s="4" customFormat="1" hidden="1" x14ac:dyDescent="0.2">
      <c r="AC425" s="8"/>
      <c r="AD425" s="8"/>
      <c r="AE425" s="8"/>
      <c r="AF425" s="8"/>
      <c r="AG425" s="8"/>
      <c r="AH425" s="8"/>
    </row>
    <row r="426" spans="29:34" s="4" customFormat="1" hidden="1" x14ac:dyDescent="0.2">
      <c r="AC426" s="8"/>
      <c r="AD426" s="8"/>
      <c r="AE426" s="8"/>
      <c r="AF426" s="8"/>
      <c r="AG426" s="8"/>
      <c r="AH426" s="8"/>
    </row>
    <row r="427" spans="29:34" s="4" customFormat="1" hidden="1" x14ac:dyDescent="0.2">
      <c r="AC427" s="8"/>
      <c r="AD427" s="8"/>
      <c r="AE427" s="8"/>
      <c r="AF427" s="8"/>
      <c r="AG427" s="8"/>
      <c r="AH427" s="8"/>
    </row>
    <row r="428" spans="29:34" s="4" customFormat="1" hidden="1" x14ac:dyDescent="0.2">
      <c r="AC428" s="8"/>
      <c r="AD428" s="8"/>
      <c r="AE428" s="8"/>
      <c r="AF428" s="8"/>
      <c r="AG428" s="8"/>
      <c r="AH428" s="8"/>
    </row>
    <row r="429" spans="29:34" s="4" customFormat="1" hidden="1" x14ac:dyDescent="0.2">
      <c r="AC429" s="8"/>
      <c r="AD429" s="8"/>
      <c r="AE429" s="8"/>
      <c r="AF429" s="8"/>
      <c r="AG429" s="8"/>
      <c r="AH429" s="8"/>
    </row>
    <row r="430" spans="29:34" s="4" customFormat="1" hidden="1" x14ac:dyDescent="0.2">
      <c r="AC430" s="8"/>
      <c r="AD430" s="8"/>
      <c r="AE430" s="8"/>
      <c r="AF430" s="8"/>
      <c r="AG430" s="8"/>
      <c r="AH430" s="8"/>
    </row>
    <row r="431" spans="29:34" s="4" customFormat="1" hidden="1" x14ac:dyDescent="0.2">
      <c r="AC431" s="8"/>
      <c r="AD431" s="8"/>
      <c r="AE431" s="8"/>
      <c r="AF431" s="8"/>
      <c r="AG431" s="8"/>
      <c r="AH431" s="8"/>
    </row>
    <row r="432" spans="29:34" s="4" customFormat="1" hidden="1" x14ac:dyDescent="0.2">
      <c r="AC432" s="8"/>
      <c r="AD432" s="8"/>
      <c r="AE432" s="8"/>
      <c r="AF432" s="8"/>
      <c r="AG432" s="8"/>
      <c r="AH432" s="8"/>
    </row>
    <row r="433" spans="29:34" s="4" customFormat="1" hidden="1" x14ac:dyDescent="0.2">
      <c r="AC433" s="8"/>
      <c r="AD433" s="8"/>
      <c r="AE433" s="8"/>
      <c r="AF433" s="8"/>
      <c r="AG433" s="8"/>
      <c r="AH433" s="8"/>
    </row>
    <row r="434" spans="29:34" s="4" customFormat="1" hidden="1" x14ac:dyDescent="0.2">
      <c r="AC434" s="8"/>
      <c r="AD434" s="8"/>
      <c r="AE434" s="8"/>
      <c r="AF434" s="8"/>
      <c r="AG434" s="8"/>
      <c r="AH434" s="8"/>
    </row>
    <row r="435" spans="29:34" s="4" customFormat="1" hidden="1" x14ac:dyDescent="0.2">
      <c r="AC435" s="8"/>
      <c r="AD435" s="8"/>
      <c r="AE435" s="8"/>
      <c r="AF435" s="8"/>
      <c r="AG435" s="8"/>
      <c r="AH435" s="8"/>
    </row>
    <row r="436" spans="29:34" s="4" customFormat="1" hidden="1" x14ac:dyDescent="0.2">
      <c r="AC436" s="8"/>
      <c r="AD436" s="8"/>
      <c r="AE436" s="8"/>
      <c r="AF436" s="8"/>
      <c r="AG436" s="8"/>
      <c r="AH436" s="8"/>
    </row>
    <row r="437" spans="29:34" s="4" customFormat="1" hidden="1" x14ac:dyDescent="0.2">
      <c r="AC437" s="8"/>
      <c r="AD437" s="8"/>
      <c r="AE437" s="8"/>
      <c r="AF437" s="8"/>
      <c r="AG437" s="8"/>
      <c r="AH437" s="8"/>
    </row>
    <row r="438" spans="29:34" s="4" customFormat="1" hidden="1" x14ac:dyDescent="0.2">
      <c r="AC438" s="8"/>
      <c r="AD438" s="8"/>
      <c r="AE438" s="8"/>
      <c r="AF438" s="8"/>
      <c r="AG438" s="8"/>
      <c r="AH438" s="8"/>
    </row>
    <row r="439" spans="29:34" s="4" customFormat="1" hidden="1" x14ac:dyDescent="0.2">
      <c r="AC439" s="8"/>
      <c r="AD439" s="8"/>
      <c r="AE439" s="8"/>
      <c r="AF439" s="8"/>
      <c r="AG439" s="8"/>
      <c r="AH439" s="8"/>
    </row>
    <row r="440" spans="29:34" s="4" customFormat="1" hidden="1" x14ac:dyDescent="0.2">
      <c r="AC440" s="8"/>
      <c r="AD440" s="8"/>
      <c r="AE440" s="8"/>
      <c r="AF440" s="8"/>
      <c r="AG440" s="8"/>
      <c r="AH440" s="8"/>
    </row>
    <row r="441" spans="29:34" s="4" customFormat="1" hidden="1" x14ac:dyDescent="0.2">
      <c r="AC441" s="8"/>
      <c r="AD441" s="8"/>
      <c r="AE441" s="8"/>
      <c r="AF441" s="8"/>
      <c r="AG441" s="8"/>
      <c r="AH441" s="8"/>
    </row>
    <row r="442" spans="29:34" s="4" customFormat="1" hidden="1" x14ac:dyDescent="0.2">
      <c r="AC442" s="8"/>
      <c r="AD442" s="8"/>
      <c r="AE442" s="8"/>
      <c r="AF442" s="8"/>
      <c r="AG442" s="8"/>
      <c r="AH442" s="8"/>
    </row>
    <row r="443" spans="29:34" s="4" customFormat="1" hidden="1" x14ac:dyDescent="0.2">
      <c r="AC443" s="8"/>
      <c r="AD443" s="8"/>
      <c r="AE443" s="8"/>
      <c r="AF443" s="8"/>
      <c r="AG443" s="8"/>
      <c r="AH443" s="8"/>
    </row>
    <row r="444" spans="29:34" s="4" customFormat="1" hidden="1" x14ac:dyDescent="0.2">
      <c r="AC444" s="8"/>
      <c r="AD444" s="8"/>
      <c r="AE444" s="8"/>
      <c r="AF444" s="8"/>
      <c r="AG444" s="8"/>
      <c r="AH444" s="8"/>
    </row>
    <row r="445" spans="29:34" s="4" customFormat="1" hidden="1" x14ac:dyDescent="0.2">
      <c r="AC445" s="8"/>
      <c r="AD445" s="8"/>
      <c r="AE445" s="8"/>
      <c r="AF445" s="8"/>
      <c r="AG445" s="8"/>
      <c r="AH445" s="8"/>
    </row>
    <row r="446" spans="29:34" s="4" customFormat="1" hidden="1" x14ac:dyDescent="0.2">
      <c r="AC446" s="8"/>
      <c r="AD446" s="8"/>
      <c r="AE446" s="8"/>
      <c r="AF446" s="8"/>
      <c r="AG446" s="8"/>
      <c r="AH446" s="8"/>
    </row>
    <row r="447" spans="29:34" s="4" customFormat="1" hidden="1" x14ac:dyDescent="0.2">
      <c r="AC447" s="8"/>
      <c r="AD447" s="8"/>
      <c r="AE447" s="8"/>
      <c r="AF447" s="8"/>
      <c r="AG447" s="8"/>
      <c r="AH447" s="8"/>
    </row>
    <row r="448" spans="29:34" s="4" customFormat="1" hidden="1" x14ac:dyDescent="0.2">
      <c r="AC448" s="8"/>
      <c r="AD448" s="8"/>
      <c r="AE448" s="8"/>
      <c r="AF448" s="8"/>
      <c r="AG448" s="8"/>
      <c r="AH448" s="8"/>
    </row>
    <row r="449" spans="29:34" s="4" customFormat="1" hidden="1" x14ac:dyDescent="0.2">
      <c r="AC449" s="8"/>
      <c r="AD449" s="8"/>
      <c r="AE449" s="8"/>
      <c r="AF449" s="8"/>
      <c r="AG449" s="8"/>
      <c r="AH449" s="8"/>
    </row>
    <row r="450" spans="29:34" s="4" customFormat="1" hidden="1" x14ac:dyDescent="0.2">
      <c r="AC450" s="8"/>
      <c r="AD450" s="8"/>
      <c r="AE450" s="8"/>
      <c r="AF450" s="8"/>
      <c r="AG450" s="8"/>
      <c r="AH450" s="8"/>
    </row>
    <row r="451" spans="29:34" s="4" customFormat="1" hidden="1" x14ac:dyDescent="0.2">
      <c r="AC451" s="8"/>
      <c r="AD451" s="8"/>
      <c r="AE451" s="8"/>
      <c r="AF451" s="8"/>
      <c r="AG451" s="8"/>
      <c r="AH451" s="8"/>
    </row>
    <row r="452" spans="29:34" s="4" customFormat="1" hidden="1" x14ac:dyDescent="0.2">
      <c r="AC452" s="8"/>
      <c r="AD452" s="8"/>
      <c r="AE452" s="8"/>
      <c r="AF452" s="8"/>
      <c r="AG452" s="8"/>
      <c r="AH452" s="8"/>
    </row>
    <row r="453" spans="29:34" s="4" customFormat="1" hidden="1" x14ac:dyDescent="0.2">
      <c r="AC453" s="8"/>
      <c r="AD453" s="8"/>
      <c r="AE453" s="8"/>
      <c r="AF453" s="8"/>
      <c r="AG453" s="8"/>
      <c r="AH453" s="8"/>
    </row>
    <row r="454" spans="29:34" s="4" customFormat="1" hidden="1" x14ac:dyDescent="0.2">
      <c r="AC454" s="8"/>
      <c r="AD454" s="8"/>
      <c r="AE454" s="8"/>
      <c r="AF454" s="8"/>
      <c r="AG454" s="8"/>
      <c r="AH454" s="8"/>
    </row>
    <row r="455" spans="29:34" s="4" customFormat="1" hidden="1" x14ac:dyDescent="0.2">
      <c r="AC455" s="8"/>
      <c r="AD455" s="8"/>
      <c r="AE455" s="8"/>
      <c r="AF455" s="8"/>
      <c r="AG455" s="8"/>
      <c r="AH455" s="8"/>
    </row>
    <row r="456" spans="29:34" s="4" customFormat="1" hidden="1" x14ac:dyDescent="0.2">
      <c r="AC456" s="8"/>
      <c r="AD456" s="8"/>
      <c r="AE456" s="8"/>
      <c r="AF456" s="8"/>
      <c r="AG456" s="8"/>
      <c r="AH456" s="8"/>
    </row>
    <row r="457" spans="29:34" s="4" customFormat="1" hidden="1" x14ac:dyDescent="0.2">
      <c r="AC457" s="8"/>
      <c r="AD457" s="8"/>
      <c r="AE457" s="8"/>
      <c r="AF457" s="8"/>
      <c r="AG457" s="8"/>
      <c r="AH457" s="8"/>
    </row>
    <row r="458" spans="29:34" s="4" customFormat="1" hidden="1" x14ac:dyDescent="0.2">
      <c r="AC458" s="8"/>
      <c r="AD458" s="8"/>
      <c r="AE458" s="8"/>
      <c r="AF458" s="8"/>
      <c r="AG458" s="8"/>
      <c r="AH458" s="8"/>
    </row>
    <row r="459" spans="29:34" s="4" customFormat="1" hidden="1" x14ac:dyDescent="0.2">
      <c r="AC459" s="8"/>
      <c r="AD459" s="8"/>
      <c r="AE459" s="8"/>
      <c r="AF459" s="8"/>
      <c r="AG459" s="8"/>
      <c r="AH459" s="8"/>
    </row>
    <row r="460" spans="29:34" s="4" customFormat="1" hidden="1" x14ac:dyDescent="0.2">
      <c r="AC460" s="8"/>
      <c r="AD460" s="8"/>
      <c r="AE460" s="8"/>
      <c r="AF460" s="8"/>
      <c r="AG460" s="8"/>
      <c r="AH460" s="8"/>
    </row>
    <row r="461" spans="29:34" s="4" customFormat="1" hidden="1" x14ac:dyDescent="0.2">
      <c r="AC461" s="8"/>
      <c r="AD461" s="8"/>
      <c r="AE461" s="8"/>
      <c r="AF461" s="8"/>
      <c r="AG461" s="8"/>
      <c r="AH461" s="8"/>
    </row>
    <row r="462" spans="29:34" s="4" customFormat="1" hidden="1" x14ac:dyDescent="0.2">
      <c r="AC462" s="8"/>
      <c r="AD462" s="8"/>
      <c r="AE462" s="8"/>
      <c r="AF462" s="8"/>
      <c r="AG462" s="8"/>
      <c r="AH462" s="8"/>
    </row>
    <row r="463" spans="29:34" s="4" customFormat="1" hidden="1" x14ac:dyDescent="0.2">
      <c r="AC463" s="8"/>
      <c r="AD463" s="8"/>
      <c r="AE463" s="8"/>
      <c r="AF463" s="8"/>
      <c r="AG463" s="8"/>
      <c r="AH463" s="8"/>
    </row>
    <row r="464" spans="29:34" s="4" customFormat="1" hidden="1" x14ac:dyDescent="0.2">
      <c r="AC464" s="8"/>
      <c r="AD464" s="8"/>
      <c r="AE464" s="8"/>
      <c r="AF464" s="8"/>
      <c r="AG464" s="8"/>
      <c r="AH464" s="8"/>
    </row>
    <row r="465" spans="29:34" s="4" customFormat="1" hidden="1" x14ac:dyDescent="0.2">
      <c r="AC465" s="8"/>
      <c r="AD465" s="8"/>
      <c r="AE465" s="8"/>
      <c r="AF465" s="8"/>
      <c r="AG465" s="8"/>
      <c r="AH465" s="8"/>
    </row>
    <row r="466" spans="29:34" s="4" customFormat="1" hidden="1" x14ac:dyDescent="0.2">
      <c r="AC466" s="8"/>
      <c r="AD466" s="8"/>
      <c r="AE466" s="8"/>
      <c r="AF466" s="8"/>
      <c r="AG466" s="8"/>
      <c r="AH466" s="8"/>
    </row>
    <row r="467" spans="29:34" s="4" customFormat="1" hidden="1" x14ac:dyDescent="0.2">
      <c r="AC467" s="8"/>
      <c r="AD467" s="8"/>
      <c r="AE467" s="8"/>
      <c r="AF467" s="8"/>
      <c r="AG467" s="8"/>
      <c r="AH467" s="8"/>
    </row>
    <row r="468" spans="29:34" s="4" customFormat="1" hidden="1" x14ac:dyDescent="0.2">
      <c r="AC468" s="8"/>
      <c r="AD468" s="8"/>
      <c r="AE468" s="8"/>
      <c r="AF468" s="8"/>
      <c r="AG468" s="8"/>
      <c r="AH468" s="8"/>
    </row>
    <row r="469" spans="29:34" s="4" customFormat="1" hidden="1" x14ac:dyDescent="0.2">
      <c r="AC469" s="8"/>
      <c r="AD469" s="8"/>
      <c r="AE469" s="8"/>
      <c r="AF469" s="8"/>
      <c r="AG469" s="8"/>
      <c r="AH469" s="8"/>
    </row>
    <row r="470" spans="29:34" s="4" customFormat="1" hidden="1" x14ac:dyDescent="0.2">
      <c r="AC470" s="8"/>
      <c r="AD470" s="8"/>
      <c r="AE470" s="8"/>
      <c r="AF470" s="8"/>
      <c r="AG470" s="8"/>
      <c r="AH470" s="8"/>
    </row>
    <row r="471" spans="29:34" s="4" customFormat="1" hidden="1" x14ac:dyDescent="0.2">
      <c r="AC471" s="8"/>
      <c r="AD471" s="8"/>
      <c r="AE471" s="8"/>
      <c r="AF471" s="8"/>
      <c r="AG471" s="8"/>
      <c r="AH471" s="8"/>
    </row>
    <row r="472" spans="29:34" s="4" customFormat="1" hidden="1" x14ac:dyDescent="0.2">
      <c r="AC472" s="8"/>
      <c r="AD472" s="8"/>
      <c r="AE472" s="8"/>
      <c r="AF472" s="8"/>
      <c r="AG472" s="8"/>
      <c r="AH472" s="8"/>
    </row>
    <row r="473" spans="29:34" s="4" customFormat="1" hidden="1" x14ac:dyDescent="0.2">
      <c r="AC473" s="8"/>
      <c r="AD473" s="8"/>
      <c r="AE473" s="8"/>
      <c r="AF473" s="8"/>
      <c r="AG473" s="8"/>
      <c r="AH473" s="8"/>
    </row>
    <row r="474" spans="29:34" s="4" customFormat="1" hidden="1" x14ac:dyDescent="0.2">
      <c r="AC474" s="8"/>
      <c r="AD474" s="8"/>
      <c r="AE474" s="8"/>
      <c r="AF474" s="8"/>
      <c r="AG474" s="8"/>
      <c r="AH474" s="8"/>
    </row>
    <row r="475" spans="29:34" s="4" customFormat="1" hidden="1" x14ac:dyDescent="0.2">
      <c r="AC475" s="8"/>
      <c r="AD475" s="8"/>
      <c r="AE475" s="8"/>
      <c r="AF475" s="8"/>
      <c r="AG475" s="8"/>
      <c r="AH475" s="8"/>
    </row>
    <row r="476" spans="29:34" s="4" customFormat="1" hidden="1" x14ac:dyDescent="0.2">
      <c r="AC476" s="8"/>
      <c r="AD476" s="8"/>
      <c r="AE476" s="8"/>
      <c r="AF476" s="8"/>
      <c r="AG476" s="8"/>
      <c r="AH476" s="8"/>
    </row>
    <row r="477" spans="29:34" s="4" customFormat="1" hidden="1" x14ac:dyDescent="0.2">
      <c r="AC477" s="8"/>
      <c r="AD477" s="8"/>
      <c r="AE477" s="8"/>
      <c r="AF477" s="8"/>
      <c r="AG477" s="8"/>
      <c r="AH477" s="8"/>
    </row>
    <row r="478" spans="29:34" s="4" customFormat="1" hidden="1" x14ac:dyDescent="0.2">
      <c r="AC478" s="8"/>
      <c r="AD478" s="8"/>
      <c r="AE478" s="8"/>
      <c r="AF478" s="8"/>
      <c r="AG478" s="8"/>
      <c r="AH478" s="8"/>
    </row>
    <row r="479" spans="29:34" s="4" customFormat="1" hidden="1" x14ac:dyDescent="0.2">
      <c r="AC479" s="8"/>
      <c r="AD479" s="8"/>
      <c r="AE479" s="8"/>
      <c r="AF479" s="8"/>
      <c r="AG479" s="8"/>
      <c r="AH479" s="8"/>
    </row>
    <row r="480" spans="29:34" s="4" customFormat="1" hidden="1" x14ac:dyDescent="0.2">
      <c r="AC480" s="8"/>
      <c r="AD480" s="8"/>
      <c r="AE480" s="8"/>
      <c r="AF480" s="8"/>
      <c r="AG480" s="8"/>
      <c r="AH480" s="8"/>
    </row>
    <row r="481" spans="29:34" s="4" customFormat="1" hidden="1" x14ac:dyDescent="0.2">
      <c r="AC481" s="8"/>
      <c r="AD481" s="8"/>
      <c r="AE481" s="8"/>
      <c r="AF481" s="8"/>
      <c r="AG481" s="8"/>
      <c r="AH481" s="8"/>
    </row>
    <row r="482" spans="29:34" s="4" customFormat="1" hidden="1" x14ac:dyDescent="0.2">
      <c r="AC482" s="8"/>
      <c r="AD482" s="8"/>
      <c r="AE482" s="8"/>
      <c r="AF482" s="8"/>
      <c r="AG482" s="8"/>
      <c r="AH482" s="8"/>
    </row>
    <row r="483" spans="29:34" s="4" customFormat="1" hidden="1" x14ac:dyDescent="0.2">
      <c r="AC483" s="8"/>
      <c r="AD483" s="8"/>
      <c r="AE483" s="8"/>
      <c r="AF483" s="8"/>
      <c r="AG483" s="8"/>
      <c r="AH483" s="8"/>
    </row>
    <row r="484" spans="29:34" s="4" customFormat="1" hidden="1" x14ac:dyDescent="0.2">
      <c r="AC484" s="8"/>
      <c r="AD484" s="8"/>
      <c r="AE484" s="8"/>
      <c r="AF484" s="8"/>
      <c r="AG484" s="8"/>
      <c r="AH484" s="8"/>
    </row>
    <row r="485" spans="29:34" s="4" customFormat="1" hidden="1" x14ac:dyDescent="0.2">
      <c r="AC485" s="8"/>
      <c r="AD485" s="8"/>
      <c r="AE485" s="8"/>
      <c r="AF485" s="8"/>
      <c r="AG485" s="8"/>
      <c r="AH485" s="8"/>
    </row>
    <row r="486" spans="29:34" s="4" customFormat="1" hidden="1" x14ac:dyDescent="0.2">
      <c r="AC486" s="8"/>
      <c r="AD486" s="8"/>
      <c r="AE486" s="8"/>
      <c r="AF486" s="8"/>
      <c r="AG486" s="8"/>
      <c r="AH486" s="8"/>
    </row>
    <row r="487" spans="29:34" s="4" customFormat="1" hidden="1" x14ac:dyDescent="0.2">
      <c r="AC487" s="8"/>
      <c r="AD487" s="8"/>
      <c r="AE487" s="8"/>
      <c r="AF487" s="8"/>
      <c r="AG487" s="8"/>
      <c r="AH487" s="8"/>
    </row>
    <row r="488" spans="29:34" s="4" customFormat="1" hidden="1" x14ac:dyDescent="0.2">
      <c r="AC488" s="8"/>
      <c r="AD488" s="8"/>
      <c r="AE488" s="8"/>
      <c r="AF488" s="8"/>
      <c r="AG488" s="8"/>
      <c r="AH488" s="8"/>
    </row>
    <row r="489" spans="29:34" s="4" customFormat="1" hidden="1" x14ac:dyDescent="0.2">
      <c r="AC489" s="8"/>
      <c r="AD489" s="8"/>
      <c r="AE489" s="8"/>
      <c r="AF489" s="8"/>
      <c r="AG489" s="8"/>
      <c r="AH489" s="8"/>
    </row>
    <row r="490" spans="29:34" s="4" customFormat="1" hidden="1" x14ac:dyDescent="0.2">
      <c r="AC490" s="8"/>
      <c r="AD490" s="8"/>
      <c r="AE490" s="8"/>
      <c r="AF490" s="8"/>
      <c r="AG490" s="8"/>
      <c r="AH490" s="8"/>
    </row>
    <row r="491" spans="29:34" s="4" customFormat="1" hidden="1" x14ac:dyDescent="0.2">
      <c r="AC491" s="8"/>
      <c r="AD491" s="8"/>
      <c r="AE491" s="8"/>
      <c r="AF491" s="8"/>
      <c r="AG491" s="8"/>
      <c r="AH491" s="8"/>
    </row>
    <row r="492" spans="29:34" s="4" customFormat="1" hidden="1" x14ac:dyDescent="0.2">
      <c r="AC492" s="8"/>
      <c r="AD492" s="8"/>
      <c r="AE492" s="8"/>
      <c r="AF492" s="8"/>
      <c r="AG492" s="8"/>
      <c r="AH492" s="8"/>
    </row>
    <row r="493" spans="29:34" s="4" customFormat="1" hidden="1" x14ac:dyDescent="0.2">
      <c r="AC493" s="8"/>
      <c r="AD493" s="8"/>
      <c r="AE493" s="8"/>
      <c r="AF493" s="8"/>
      <c r="AG493" s="8"/>
      <c r="AH493" s="8"/>
    </row>
    <row r="494" spans="29:34" s="4" customFormat="1" hidden="1" x14ac:dyDescent="0.2">
      <c r="AC494" s="8"/>
      <c r="AD494" s="8"/>
      <c r="AE494" s="8"/>
      <c r="AF494" s="8"/>
      <c r="AG494" s="8"/>
      <c r="AH494" s="8"/>
    </row>
    <row r="495" spans="29:34" s="4" customFormat="1" hidden="1" x14ac:dyDescent="0.2">
      <c r="AC495" s="8"/>
      <c r="AD495" s="8"/>
      <c r="AE495" s="8"/>
      <c r="AF495" s="8"/>
      <c r="AG495" s="8"/>
      <c r="AH495" s="8"/>
    </row>
    <row r="496" spans="29:34" s="4" customFormat="1" hidden="1" x14ac:dyDescent="0.2">
      <c r="AC496" s="8"/>
      <c r="AD496" s="8"/>
      <c r="AE496" s="8"/>
      <c r="AF496" s="8"/>
      <c r="AG496" s="8"/>
      <c r="AH496" s="8"/>
    </row>
    <row r="497" spans="29:34" s="4" customFormat="1" hidden="1" x14ac:dyDescent="0.2">
      <c r="AC497" s="8"/>
      <c r="AD497" s="8"/>
      <c r="AE497" s="8"/>
      <c r="AF497" s="8"/>
      <c r="AG497" s="8"/>
      <c r="AH497" s="8"/>
    </row>
    <row r="498" spans="29:34" s="4" customFormat="1" hidden="1" x14ac:dyDescent="0.2">
      <c r="AC498" s="8"/>
      <c r="AD498" s="8"/>
      <c r="AE498" s="8"/>
      <c r="AF498" s="8"/>
      <c r="AG498" s="8"/>
      <c r="AH498" s="8"/>
    </row>
    <row r="499" spans="29:34" s="4" customFormat="1" hidden="1" x14ac:dyDescent="0.2">
      <c r="AC499" s="8"/>
      <c r="AD499" s="8"/>
      <c r="AE499" s="8"/>
      <c r="AF499" s="8"/>
      <c r="AG499" s="8"/>
      <c r="AH499" s="8"/>
    </row>
    <row r="500" spans="29:34" s="4" customFormat="1" hidden="1" x14ac:dyDescent="0.2">
      <c r="AC500" s="8"/>
      <c r="AD500" s="8"/>
      <c r="AE500" s="8"/>
      <c r="AF500" s="8"/>
      <c r="AG500" s="8"/>
      <c r="AH500" s="8"/>
    </row>
    <row r="501" spans="29:34" s="4" customFormat="1" hidden="1" x14ac:dyDescent="0.2">
      <c r="AC501" s="8"/>
      <c r="AD501" s="8"/>
      <c r="AE501" s="8"/>
      <c r="AF501" s="8"/>
      <c r="AG501" s="8"/>
      <c r="AH501" s="8"/>
    </row>
    <row r="502" spans="29:34" s="4" customFormat="1" hidden="1" x14ac:dyDescent="0.2">
      <c r="AC502" s="8"/>
      <c r="AD502" s="8"/>
      <c r="AE502" s="8"/>
      <c r="AF502" s="8"/>
      <c r="AG502" s="8"/>
      <c r="AH502" s="8"/>
    </row>
    <row r="503" spans="29:34" s="4" customFormat="1" hidden="1" x14ac:dyDescent="0.2">
      <c r="AC503" s="8"/>
      <c r="AD503" s="8"/>
      <c r="AE503" s="8"/>
      <c r="AF503" s="8"/>
      <c r="AG503" s="8"/>
      <c r="AH503" s="8"/>
    </row>
    <row r="504" spans="29:34" s="4" customFormat="1" hidden="1" x14ac:dyDescent="0.2">
      <c r="AC504" s="8"/>
      <c r="AD504" s="8"/>
      <c r="AE504" s="8"/>
      <c r="AF504" s="8"/>
      <c r="AG504" s="8"/>
      <c r="AH504" s="8"/>
    </row>
    <row r="505" spans="29:34" s="4" customFormat="1" hidden="1" x14ac:dyDescent="0.2">
      <c r="AC505" s="8"/>
      <c r="AD505" s="8"/>
      <c r="AE505" s="8"/>
      <c r="AF505" s="8"/>
      <c r="AG505" s="8"/>
      <c r="AH505" s="8"/>
    </row>
    <row r="506" spans="29:34" s="4" customFormat="1" hidden="1" x14ac:dyDescent="0.2">
      <c r="AC506" s="8"/>
      <c r="AD506" s="8"/>
      <c r="AE506" s="8"/>
      <c r="AF506" s="8"/>
      <c r="AG506" s="8"/>
      <c r="AH506" s="8"/>
    </row>
    <row r="507" spans="29:34" s="4" customFormat="1" hidden="1" x14ac:dyDescent="0.2">
      <c r="AC507" s="8"/>
      <c r="AD507" s="8"/>
      <c r="AE507" s="8"/>
      <c r="AF507" s="8"/>
      <c r="AG507" s="8"/>
      <c r="AH507" s="8"/>
    </row>
    <row r="508" spans="29:34" s="4" customFormat="1" hidden="1" x14ac:dyDescent="0.2">
      <c r="AC508" s="8"/>
      <c r="AD508" s="8"/>
      <c r="AE508" s="8"/>
      <c r="AF508" s="8"/>
      <c r="AG508" s="8"/>
      <c r="AH508" s="8"/>
    </row>
    <row r="509" spans="29:34" s="4" customFormat="1" hidden="1" x14ac:dyDescent="0.2">
      <c r="AC509" s="8"/>
      <c r="AD509" s="8"/>
      <c r="AE509" s="8"/>
      <c r="AF509" s="8"/>
      <c r="AG509" s="8"/>
      <c r="AH509" s="8"/>
    </row>
    <row r="510" spans="29:34" s="4" customFormat="1" hidden="1" x14ac:dyDescent="0.2">
      <c r="AC510" s="8"/>
      <c r="AD510" s="8"/>
      <c r="AE510" s="8"/>
      <c r="AF510" s="8"/>
      <c r="AG510" s="8"/>
      <c r="AH510" s="8"/>
    </row>
    <row r="511" spans="29:34" s="4" customFormat="1" hidden="1" x14ac:dyDescent="0.2">
      <c r="AC511" s="8"/>
      <c r="AD511" s="8"/>
      <c r="AE511" s="8"/>
      <c r="AF511" s="8"/>
      <c r="AG511" s="8"/>
      <c r="AH511" s="8"/>
    </row>
    <row r="512" spans="29:34" s="4" customFormat="1" hidden="1" x14ac:dyDescent="0.2">
      <c r="AC512" s="8"/>
      <c r="AD512" s="8"/>
      <c r="AE512" s="8"/>
      <c r="AF512" s="8"/>
      <c r="AG512" s="8"/>
      <c r="AH512" s="8"/>
    </row>
    <row r="513" spans="29:34" s="4" customFormat="1" hidden="1" x14ac:dyDescent="0.2">
      <c r="AC513" s="8"/>
      <c r="AD513" s="8"/>
      <c r="AE513" s="8"/>
      <c r="AF513" s="8"/>
      <c r="AG513" s="8"/>
      <c r="AH513" s="8"/>
    </row>
    <row r="514" spans="29:34" s="4" customFormat="1" hidden="1" x14ac:dyDescent="0.2">
      <c r="AC514" s="8"/>
      <c r="AD514" s="8"/>
      <c r="AE514" s="8"/>
      <c r="AF514" s="8"/>
      <c r="AG514" s="8"/>
      <c r="AH514" s="8"/>
    </row>
    <row r="515" spans="29:34" s="4" customFormat="1" hidden="1" x14ac:dyDescent="0.2">
      <c r="AC515" s="8"/>
      <c r="AD515" s="8"/>
      <c r="AE515" s="8"/>
      <c r="AF515" s="8"/>
      <c r="AG515" s="8"/>
      <c r="AH515" s="8"/>
    </row>
    <row r="516" spans="29:34" s="4" customFormat="1" hidden="1" x14ac:dyDescent="0.2">
      <c r="AC516" s="8"/>
      <c r="AD516" s="8"/>
      <c r="AE516" s="8"/>
      <c r="AF516" s="8"/>
      <c r="AG516" s="8"/>
      <c r="AH516" s="8"/>
    </row>
    <row r="517" spans="29:34" s="4" customFormat="1" hidden="1" x14ac:dyDescent="0.2">
      <c r="AC517" s="8"/>
      <c r="AD517" s="8"/>
      <c r="AE517" s="8"/>
      <c r="AF517" s="8"/>
      <c r="AG517" s="8"/>
      <c r="AH517" s="8"/>
    </row>
    <row r="518" spans="29:34" s="4" customFormat="1" hidden="1" x14ac:dyDescent="0.2">
      <c r="AC518" s="8"/>
      <c r="AD518" s="8"/>
      <c r="AE518" s="8"/>
      <c r="AF518" s="8"/>
      <c r="AG518" s="8"/>
      <c r="AH518" s="8"/>
    </row>
    <row r="519" spans="29:34" s="4" customFormat="1" hidden="1" x14ac:dyDescent="0.2">
      <c r="AC519" s="8"/>
      <c r="AD519" s="8"/>
      <c r="AE519" s="8"/>
      <c r="AF519" s="8"/>
      <c r="AG519" s="8"/>
      <c r="AH519" s="8"/>
    </row>
    <row r="520" spans="29:34" s="4" customFormat="1" hidden="1" x14ac:dyDescent="0.2">
      <c r="AC520" s="8"/>
      <c r="AD520" s="8"/>
      <c r="AE520" s="8"/>
      <c r="AF520" s="8"/>
      <c r="AG520" s="8"/>
      <c r="AH520" s="8"/>
    </row>
    <row r="521" spans="29:34" s="4" customFormat="1" hidden="1" x14ac:dyDescent="0.2">
      <c r="AC521" s="8"/>
      <c r="AD521" s="8"/>
      <c r="AE521" s="8"/>
      <c r="AF521" s="8"/>
      <c r="AG521" s="8"/>
      <c r="AH521" s="8"/>
    </row>
    <row r="522" spans="29:34" s="4" customFormat="1" hidden="1" x14ac:dyDescent="0.2">
      <c r="AC522" s="8"/>
      <c r="AD522" s="8"/>
      <c r="AE522" s="8"/>
      <c r="AF522" s="8"/>
      <c r="AG522" s="8"/>
      <c r="AH522" s="8"/>
    </row>
    <row r="523" spans="29:34" s="4" customFormat="1" hidden="1" x14ac:dyDescent="0.2">
      <c r="AC523" s="8"/>
      <c r="AD523" s="8"/>
      <c r="AE523" s="8"/>
      <c r="AF523" s="8"/>
      <c r="AG523" s="8"/>
      <c r="AH523" s="8"/>
    </row>
    <row r="524" spans="29:34" s="4" customFormat="1" hidden="1" x14ac:dyDescent="0.2">
      <c r="AC524" s="8"/>
      <c r="AD524" s="8"/>
      <c r="AE524" s="8"/>
      <c r="AF524" s="8"/>
      <c r="AG524" s="8"/>
      <c r="AH524" s="8"/>
    </row>
    <row r="525" spans="29:34" s="4" customFormat="1" hidden="1" x14ac:dyDescent="0.2">
      <c r="AC525" s="8"/>
      <c r="AD525" s="8"/>
      <c r="AE525" s="8"/>
      <c r="AF525" s="8"/>
      <c r="AG525" s="8"/>
      <c r="AH525" s="8"/>
    </row>
    <row r="526" spans="29:34" s="4" customFormat="1" hidden="1" x14ac:dyDescent="0.2">
      <c r="AC526" s="8"/>
      <c r="AD526" s="8"/>
      <c r="AE526" s="8"/>
      <c r="AF526" s="8"/>
      <c r="AG526" s="8"/>
      <c r="AH526" s="8"/>
    </row>
    <row r="527" spans="29:34" s="4" customFormat="1" hidden="1" x14ac:dyDescent="0.2">
      <c r="AC527" s="8"/>
      <c r="AD527" s="8"/>
      <c r="AE527" s="8"/>
      <c r="AF527" s="8"/>
      <c r="AG527" s="8"/>
      <c r="AH527" s="8"/>
    </row>
    <row r="528" spans="29:34" s="4" customFormat="1" hidden="1" x14ac:dyDescent="0.2">
      <c r="AC528" s="8"/>
      <c r="AD528" s="8"/>
      <c r="AE528" s="8"/>
      <c r="AF528" s="8"/>
      <c r="AG528" s="8"/>
      <c r="AH528" s="8"/>
    </row>
    <row r="529" spans="29:34" s="4" customFormat="1" hidden="1" x14ac:dyDescent="0.2">
      <c r="AC529" s="8"/>
      <c r="AD529" s="8"/>
      <c r="AE529" s="8"/>
      <c r="AF529" s="8"/>
      <c r="AG529" s="8"/>
      <c r="AH529" s="8"/>
    </row>
    <row r="530" spans="29:34" s="4" customFormat="1" hidden="1" x14ac:dyDescent="0.2">
      <c r="AC530" s="8"/>
      <c r="AD530" s="8"/>
      <c r="AE530" s="8"/>
      <c r="AF530" s="8"/>
      <c r="AG530" s="8"/>
      <c r="AH530" s="8"/>
    </row>
    <row r="531" spans="29:34" s="4" customFormat="1" hidden="1" x14ac:dyDescent="0.2">
      <c r="AC531" s="8"/>
      <c r="AD531" s="8"/>
      <c r="AE531" s="8"/>
      <c r="AF531" s="8"/>
      <c r="AG531" s="8"/>
      <c r="AH531" s="8"/>
    </row>
    <row r="532" spans="29:34" s="4" customFormat="1" hidden="1" x14ac:dyDescent="0.2">
      <c r="AC532" s="8"/>
      <c r="AD532" s="8"/>
      <c r="AE532" s="8"/>
      <c r="AF532" s="8"/>
      <c r="AG532" s="8"/>
      <c r="AH532" s="8"/>
    </row>
    <row r="533" spans="29:34" s="4" customFormat="1" hidden="1" x14ac:dyDescent="0.2">
      <c r="AC533" s="8"/>
      <c r="AD533" s="8"/>
      <c r="AE533" s="8"/>
      <c r="AF533" s="8"/>
      <c r="AG533" s="8"/>
      <c r="AH533" s="8"/>
    </row>
    <row r="534" spans="29:34" s="4" customFormat="1" hidden="1" x14ac:dyDescent="0.2">
      <c r="AC534" s="8"/>
      <c r="AD534" s="8"/>
      <c r="AE534" s="8"/>
      <c r="AF534" s="8"/>
      <c r="AG534" s="8"/>
      <c r="AH534" s="8"/>
    </row>
    <row r="535" spans="29:34" s="4" customFormat="1" hidden="1" x14ac:dyDescent="0.2">
      <c r="AC535" s="8"/>
      <c r="AD535" s="8"/>
      <c r="AE535" s="8"/>
      <c r="AF535" s="8"/>
      <c r="AG535" s="8"/>
      <c r="AH535" s="8"/>
    </row>
    <row r="536" spans="29:34" s="4" customFormat="1" hidden="1" x14ac:dyDescent="0.2">
      <c r="AC536" s="8"/>
      <c r="AD536" s="8"/>
      <c r="AE536" s="8"/>
      <c r="AF536" s="8"/>
      <c r="AG536" s="8"/>
      <c r="AH536" s="8"/>
    </row>
    <row r="537" spans="29:34" s="4" customFormat="1" hidden="1" x14ac:dyDescent="0.2">
      <c r="AC537" s="8"/>
      <c r="AD537" s="8"/>
      <c r="AE537" s="8"/>
      <c r="AF537" s="8"/>
      <c r="AG537" s="8"/>
      <c r="AH537" s="8"/>
    </row>
    <row r="538" spans="29:34" s="4" customFormat="1" hidden="1" x14ac:dyDescent="0.2">
      <c r="AC538" s="8"/>
      <c r="AD538" s="8"/>
      <c r="AE538" s="8"/>
      <c r="AF538" s="8"/>
      <c r="AG538" s="8"/>
      <c r="AH538" s="8"/>
    </row>
    <row r="539" spans="29:34" s="4" customFormat="1" hidden="1" x14ac:dyDescent="0.2">
      <c r="AC539" s="8"/>
      <c r="AD539" s="8"/>
      <c r="AE539" s="8"/>
      <c r="AF539" s="8"/>
      <c r="AG539" s="8"/>
      <c r="AH539" s="8"/>
    </row>
    <row r="540" spans="29:34" s="4" customFormat="1" hidden="1" x14ac:dyDescent="0.2">
      <c r="AC540" s="8"/>
      <c r="AD540" s="8"/>
      <c r="AE540" s="8"/>
      <c r="AF540" s="8"/>
      <c r="AG540" s="8"/>
      <c r="AH540" s="8"/>
    </row>
    <row r="541" spans="29:34" s="4" customFormat="1" hidden="1" x14ac:dyDescent="0.2">
      <c r="AC541" s="8"/>
      <c r="AD541" s="8"/>
      <c r="AE541" s="8"/>
      <c r="AF541" s="8"/>
      <c r="AG541" s="8"/>
      <c r="AH541" s="8"/>
    </row>
    <row r="542" spans="29:34" s="4" customFormat="1" hidden="1" x14ac:dyDescent="0.2">
      <c r="AC542" s="8"/>
      <c r="AD542" s="8"/>
      <c r="AE542" s="8"/>
      <c r="AF542" s="8"/>
      <c r="AG542" s="8"/>
      <c r="AH542" s="8"/>
    </row>
    <row r="543" spans="29:34" s="4" customFormat="1" hidden="1" x14ac:dyDescent="0.2">
      <c r="AC543" s="8"/>
      <c r="AD543" s="8"/>
      <c r="AE543" s="8"/>
      <c r="AF543" s="8"/>
      <c r="AG543" s="8"/>
      <c r="AH543" s="8"/>
    </row>
    <row r="544" spans="29:34" s="4" customFormat="1" hidden="1" x14ac:dyDescent="0.2">
      <c r="AC544" s="8"/>
      <c r="AD544" s="8"/>
      <c r="AE544" s="8"/>
      <c r="AF544" s="8"/>
      <c r="AG544" s="8"/>
      <c r="AH544" s="8"/>
    </row>
    <row r="545" spans="29:34" s="4" customFormat="1" hidden="1" x14ac:dyDescent="0.2">
      <c r="AC545" s="8"/>
      <c r="AD545" s="8"/>
      <c r="AE545" s="8"/>
      <c r="AF545" s="8"/>
      <c r="AG545" s="8"/>
      <c r="AH545" s="8"/>
    </row>
    <row r="546" spans="29:34" s="4" customFormat="1" hidden="1" x14ac:dyDescent="0.2">
      <c r="AC546" s="8"/>
      <c r="AD546" s="8"/>
      <c r="AE546" s="8"/>
      <c r="AF546" s="8"/>
      <c r="AG546" s="8"/>
      <c r="AH546" s="8"/>
    </row>
    <row r="547" spans="29:34" s="4" customFormat="1" hidden="1" x14ac:dyDescent="0.2">
      <c r="AC547" s="8"/>
      <c r="AD547" s="8"/>
      <c r="AE547" s="8"/>
      <c r="AF547" s="8"/>
      <c r="AG547" s="8"/>
      <c r="AH547" s="8"/>
    </row>
    <row r="548" spans="29:34" s="4" customFormat="1" hidden="1" x14ac:dyDescent="0.2">
      <c r="AC548" s="8"/>
      <c r="AD548" s="8"/>
      <c r="AE548" s="8"/>
      <c r="AF548" s="8"/>
      <c r="AG548" s="8"/>
      <c r="AH548" s="8"/>
    </row>
    <row r="549" spans="29:34" s="4" customFormat="1" hidden="1" x14ac:dyDescent="0.2">
      <c r="AC549" s="8"/>
      <c r="AD549" s="8"/>
      <c r="AE549" s="8"/>
      <c r="AF549" s="8"/>
      <c r="AG549" s="8"/>
      <c r="AH549" s="8"/>
    </row>
    <row r="550" spans="29:34" s="4" customFormat="1" hidden="1" x14ac:dyDescent="0.2">
      <c r="AC550" s="8"/>
      <c r="AD550" s="8"/>
      <c r="AE550" s="8"/>
      <c r="AF550" s="8"/>
      <c r="AG550" s="8"/>
      <c r="AH550" s="8"/>
    </row>
    <row r="551" spans="29:34" s="4" customFormat="1" hidden="1" x14ac:dyDescent="0.2">
      <c r="AC551" s="8"/>
      <c r="AD551" s="8"/>
      <c r="AE551" s="8"/>
      <c r="AF551" s="8"/>
      <c r="AG551" s="8"/>
      <c r="AH551" s="8"/>
    </row>
    <row r="552" spans="29:34" s="4" customFormat="1" hidden="1" x14ac:dyDescent="0.2">
      <c r="AC552" s="8"/>
      <c r="AD552" s="8"/>
      <c r="AE552" s="8"/>
      <c r="AF552" s="8"/>
      <c r="AG552" s="8"/>
      <c r="AH552" s="8"/>
    </row>
    <row r="553" spans="29:34" s="4" customFormat="1" hidden="1" x14ac:dyDescent="0.2">
      <c r="AC553" s="8"/>
      <c r="AD553" s="8"/>
      <c r="AE553" s="8"/>
      <c r="AF553" s="8"/>
      <c r="AG553" s="8"/>
      <c r="AH553" s="8"/>
    </row>
    <row r="554" spans="29:34" s="4" customFormat="1" hidden="1" x14ac:dyDescent="0.2">
      <c r="AC554" s="8"/>
      <c r="AD554" s="8"/>
      <c r="AE554" s="8"/>
      <c r="AF554" s="8"/>
      <c r="AG554" s="8"/>
      <c r="AH554" s="8"/>
    </row>
    <row r="555" spans="29:34" s="4" customFormat="1" hidden="1" x14ac:dyDescent="0.2">
      <c r="AC555" s="8"/>
      <c r="AD555" s="8"/>
      <c r="AE555" s="8"/>
      <c r="AF555" s="8"/>
      <c r="AG555" s="8"/>
      <c r="AH555" s="8"/>
    </row>
    <row r="556" spans="29:34" s="4" customFormat="1" hidden="1" x14ac:dyDescent="0.2">
      <c r="AC556" s="8"/>
      <c r="AD556" s="8"/>
      <c r="AE556" s="8"/>
      <c r="AF556" s="8"/>
      <c r="AG556" s="8"/>
      <c r="AH556" s="8"/>
    </row>
    <row r="557" spans="29:34" s="4" customFormat="1" hidden="1" x14ac:dyDescent="0.2">
      <c r="AC557" s="8"/>
      <c r="AD557" s="8"/>
      <c r="AE557" s="8"/>
      <c r="AF557" s="8"/>
      <c r="AG557" s="8"/>
      <c r="AH557" s="8"/>
    </row>
    <row r="558" spans="29:34" s="4" customFormat="1" hidden="1" x14ac:dyDescent="0.2">
      <c r="AC558" s="8"/>
      <c r="AD558" s="8"/>
      <c r="AE558" s="8"/>
      <c r="AF558" s="8"/>
      <c r="AG558" s="8"/>
      <c r="AH558" s="8"/>
    </row>
    <row r="559" spans="29:34" s="4" customFormat="1" hidden="1" x14ac:dyDescent="0.2">
      <c r="AC559" s="8"/>
      <c r="AD559" s="8"/>
      <c r="AE559" s="8"/>
      <c r="AF559" s="8"/>
      <c r="AG559" s="8"/>
      <c r="AH559" s="8"/>
    </row>
    <row r="560" spans="29:34" s="4" customFormat="1" hidden="1" x14ac:dyDescent="0.2">
      <c r="AC560" s="8"/>
      <c r="AD560" s="8"/>
      <c r="AE560" s="8"/>
      <c r="AF560" s="8"/>
      <c r="AG560" s="8"/>
      <c r="AH560" s="8"/>
    </row>
    <row r="561" spans="29:34" s="4" customFormat="1" hidden="1" x14ac:dyDescent="0.2">
      <c r="AC561" s="8"/>
      <c r="AD561" s="8"/>
      <c r="AE561" s="8"/>
      <c r="AF561" s="8"/>
      <c r="AG561" s="8"/>
      <c r="AH561" s="8"/>
    </row>
    <row r="562" spans="29:34" s="4" customFormat="1" hidden="1" x14ac:dyDescent="0.2">
      <c r="AC562" s="8"/>
      <c r="AD562" s="8"/>
      <c r="AE562" s="8"/>
      <c r="AF562" s="8"/>
      <c r="AG562" s="8"/>
      <c r="AH562" s="8"/>
    </row>
    <row r="563" spans="29:34" s="4" customFormat="1" hidden="1" x14ac:dyDescent="0.2">
      <c r="AC563" s="8"/>
      <c r="AD563" s="8"/>
      <c r="AE563" s="8"/>
      <c r="AF563" s="8"/>
      <c r="AG563" s="8"/>
      <c r="AH563" s="8"/>
    </row>
    <row r="564" spans="29:34" s="4" customFormat="1" hidden="1" x14ac:dyDescent="0.2">
      <c r="AC564" s="8"/>
      <c r="AD564" s="8"/>
      <c r="AE564" s="8"/>
      <c r="AF564" s="8"/>
      <c r="AG564" s="8"/>
      <c r="AH564" s="8"/>
    </row>
    <row r="565" spans="29:34" s="4" customFormat="1" hidden="1" x14ac:dyDescent="0.2">
      <c r="AC565" s="8"/>
      <c r="AD565" s="8"/>
      <c r="AE565" s="8"/>
      <c r="AF565" s="8"/>
      <c r="AG565" s="8"/>
      <c r="AH565" s="8"/>
    </row>
    <row r="566" spans="29:34" s="4" customFormat="1" hidden="1" x14ac:dyDescent="0.2">
      <c r="AC566" s="8"/>
      <c r="AD566" s="8"/>
      <c r="AE566" s="8"/>
      <c r="AF566" s="8"/>
      <c r="AG566" s="8"/>
      <c r="AH566" s="8"/>
    </row>
    <row r="567" spans="29:34" s="4" customFormat="1" hidden="1" x14ac:dyDescent="0.2">
      <c r="AC567" s="8"/>
      <c r="AD567" s="8"/>
      <c r="AE567" s="8"/>
      <c r="AF567" s="8"/>
      <c r="AG567" s="8"/>
      <c r="AH567" s="8"/>
    </row>
    <row r="568" spans="29:34" s="4" customFormat="1" hidden="1" x14ac:dyDescent="0.2">
      <c r="AC568" s="8"/>
      <c r="AD568" s="8"/>
      <c r="AE568" s="8"/>
      <c r="AF568" s="8"/>
      <c r="AG568" s="8"/>
      <c r="AH568" s="8"/>
    </row>
    <row r="569" spans="29:34" s="4" customFormat="1" hidden="1" x14ac:dyDescent="0.2">
      <c r="AC569" s="8"/>
      <c r="AD569" s="8"/>
      <c r="AE569" s="8"/>
      <c r="AF569" s="8"/>
      <c r="AG569" s="8"/>
      <c r="AH569" s="8"/>
    </row>
    <row r="570" spans="29:34" s="4" customFormat="1" hidden="1" x14ac:dyDescent="0.2">
      <c r="AC570" s="8"/>
      <c r="AD570" s="8"/>
      <c r="AE570" s="8"/>
      <c r="AF570" s="8"/>
      <c r="AG570" s="8"/>
      <c r="AH570" s="8"/>
    </row>
    <row r="571" spans="29:34" s="4" customFormat="1" hidden="1" x14ac:dyDescent="0.2">
      <c r="AC571" s="8"/>
      <c r="AD571" s="8"/>
      <c r="AE571" s="8"/>
      <c r="AF571" s="8"/>
      <c r="AG571" s="8"/>
      <c r="AH571" s="8"/>
    </row>
    <row r="572" spans="29:34" s="4" customFormat="1" hidden="1" x14ac:dyDescent="0.2">
      <c r="AC572" s="8"/>
      <c r="AD572" s="8"/>
      <c r="AE572" s="8"/>
      <c r="AF572" s="8"/>
      <c r="AG572" s="8"/>
      <c r="AH572" s="8"/>
    </row>
    <row r="573" spans="29:34" s="4" customFormat="1" hidden="1" x14ac:dyDescent="0.2">
      <c r="AC573" s="8"/>
      <c r="AD573" s="8"/>
      <c r="AE573" s="8"/>
      <c r="AF573" s="8"/>
      <c r="AG573" s="8"/>
      <c r="AH573" s="8"/>
    </row>
    <row r="574" spans="29:34" s="4" customFormat="1" hidden="1" x14ac:dyDescent="0.2">
      <c r="AC574" s="8"/>
      <c r="AD574" s="8"/>
      <c r="AE574" s="8"/>
      <c r="AF574" s="8"/>
      <c r="AG574" s="8"/>
      <c r="AH574" s="8"/>
    </row>
    <row r="575" spans="29:34" s="4" customFormat="1" hidden="1" x14ac:dyDescent="0.2">
      <c r="AC575" s="8"/>
      <c r="AD575" s="8"/>
      <c r="AE575" s="8"/>
      <c r="AF575" s="8"/>
      <c r="AG575" s="8"/>
      <c r="AH575" s="8"/>
    </row>
    <row r="576" spans="29:34" s="4" customFormat="1" hidden="1" x14ac:dyDescent="0.2">
      <c r="AC576" s="8"/>
      <c r="AD576" s="8"/>
      <c r="AE576" s="8"/>
      <c r="AF576" s="8"/>
      <c r="AG576" s="8"/>
      <c r="AH576" s="8"/>
    </row>
    <row r="577" spans="29:34" s="4" customFormat="1" hidden="1" x14ac:dyDescent="0.2">
      <c r="AC577" s="8"/>
      <c r="AD577" s="8"/>
      <c r="AE577" s="8"/>
      <c r="AF577" s="8"/>
      <c r="AG577" s="8"/>
      <c r="AH577" s="8"/>
    </row>
    <row r="578" spans="29:34" s="4" customFormat="1" hidden="1" x14ac:dyDescent="0.2">
      <c r="AC578" s="8"/>
      <c r="AD578" s="8"/>
      <c r="AE578" s="8"/>
      <c r="AF578" s="8"/>
      <c r="AG578" s="8"/>
      <c r="AH578" s="8"/>
    </row>
    <row r="579" spans="29:34" s="4" customFormat="1" hidden="1" x14ac:dyDescent="0.2">
      <c r="AC579" s="8"/>
      <c r="AD579" s="8"/>
      <c r="AE579" s="8"/>
      <c r="AF579" s="8"/>
      <c r="AG579" s="8"/>
      <c r="AH579" s="8"/>
    </row>
    <row r="580" spans="29:34" s="4" customFormat="1" hidden="1" x14ac:dyDescent="0.2">
      <c r="AC580" s="8"/>
      <c r="AD580" s="8"/>
      <c r="AE580" s="8"/>
      <c r="AF580" s="8"/>
      <c r="AG580" s="8"/>
      <c r="AH580" s="8"/>
    </row>
    <row r="581" spans="29:34" s="4" customFormat="1" hidden="1" x14ac:dyDescent="0.2">
      <c r="AC581" s="8"/>
      <c r="AD581" s="8"/>
      <c r="AE581" s="8"/>
      <c r="AF581" s="8"/>
      <c r="AG581" s="8"/>
      <c r="AH581" s="8"/>
    </row>
    <row r="582" spans="29:34" s="4" customFormat="1" hidden="1" x14ac:dyDescent="0.2">
      <c r="AC582" s="8"/>
      <c r="AD582" s="8"/>
      <c r="AE582" s="8"/>
      <c r="AF582" s="8"/>
      <c r="AG582" s="8"/>
      <c r="AH582" s="8"/>
    </row>
    <row r="583" spans="29:34" s="4" customFormat="1" hidden="1" x14ac:dyDescent="0.2">
      <c r="AC583" s="8"/>
      <c r="AD583" s="8"/>
      <c r="AE583" s="8"/>
      <c r="AF583" s="8"/>
      <c r="AG583" s="8"/>
      <c r="AH583" s="8"/>
    </row>
    <row r="584" spans="29:34" s="4" customFormat="1" hidden="1" x14ac:dyDescent="0.2">
      <c r="AC584" s="8"/>
      <c r="AD584" s="8"/>
      <c r="AE584" s="8"/>
      <c r="AF584" s="8"/>
      <c r="AG584" s="8"/>
      <c r="AH584" s="8"/>
    </row>
    <row r="585" spans="29:34" s="4" customFormat="1" hidden="1" x14ac:dyDescent="0.2">
      <c r="AC585" s="8"/>
      <c r="AD585" s="8"/>
      <c r="AE585" s="8"/>
      <c r="AF585" s="8"/>
      <c r="AG585" s="8"/>
      <c r="AH585" s="8"/>
    </row>
    <row r="586" spans="29:34" s="4" customFormat="1" hidden="1" x14ac:dyDescent="0.2">
      <c r="AC586" s="8"/>
      <c r="AD586" s="8"/>
      <c r="AE586" s="8"/>
      <c r="AF586" s="8"/>
      <c r="AG586" s="8"/>
      <c r="AH586" s="8"/>
    </row>
    <row r="587" spans="29:34" s="4" customFormat="1" hidden="1" x14ac:dyDescent="0.2">
      <c r="AC587" s="8"/>
      <c r="AD587" s="8"/>
      <c r="AE587" s="8"/>
      <c r="AF587" s="8"/>
      <c r="AG587" s="8"/>
      <c r="AH587" s="8"/>
    </row>
    <row r="588" spans="29:34" s="4" customFormat="1" hidden="1" x14ac:dyDescent="0.2">
      <c r="AC588" s="8"/>
      <c r="AD588" s="8"/>
      <c r="AE588" s="8"/>
      <c r="AF588" s="8"/>
      <c r="AG588" s="8"/>
      <c r="AH588" s="8"/>
    </row>
    <row r="589" spans="29:34" s="4" customFormat="1" hidden="1" x14ac:dyDescent="0.2">
      <c r="AC589" s="8"/>
      <c r="AD589" s="8"/>
      <c r="AE589" s="8"/>
      <c r="AF589" s="8"/>
      <c r="AG589" s="8"/>
      <c r="AH589" s="8"/>
    </row>
    <row r="590" spans="29:34" s="4" customFormat="1" hidden="1" x14ac:dyDescent="0.2">
      <c r="AC590" s="8"/>
      <c r="AD590" s="8"/>
      <c r="AE590" s="8"/>
      <c r="AF590" s="8"/>
      <c r="AG590" s="8"/>
      <c r="AH590" s="8"/>
    </row>
    <row r="591" spans="29:34" s="4" customFormat="1" hidden="1" x14ac:dyDescent="0.2">
      <c r="AC591" s="8"/>
      <c r="AD591" s="8"/>
      <c r="AE591" s="8"/>
      <c r="AF591" s="8"/>
      <c r="AG591" s="8"/>
      <c r="AH591" s="8"/>
    </row>
    <row r="592" spans="29:34" s="4" customFormat="1" hidden="1" x14ac:dyDescent="0.2">
      <c r="AC592" s="8"/>
      <c r="AD592" s="8"/>
      <c r="AE592" s="8"/>
      <c r="AF592" s="8"/>
      <c r="AG592" s="8"/>
      <c r="AH592" s="8"/>
    </row>
    <row r="593" spans="29:34" s="4" customFormat="1" hidden="1" x14ac:dyDescent="0.2">
      <c r="AC593" s="8"/>
      <c r="AD593" s="8"/>
      <c r="AE593" s="8"/>
      <c r="AF593" s="8"/>
      <c r="AG593" s="8"/>
      <c r="AH593" s="8"/>
    </row>
    <row r="594" spans="29:34" s="4" customFormat="1" hidden="1" x14ac:dyDescent="0.2">
      <c r="AC594" s="8"/>
      <c r="AD594" s="8"/>
      <c r="AE594" s="8"/>
      <c r="AF594" s="8"/>
      <c r="AG594" s="8"/>
      <c r="AH594" s="8"/>
    </row>
    <row r="595" spans="29:34" s="4" customFormat="1" hidden="1" x14ac:dyDescent="0.2">
      <c r="AC595" s="8"/>
      <c r="AD595" s="8"/>
      <c r="AE595" s="8"/>
      <c r="AF595" s="8"/>
      <c r="AG595" s="8"/>
      <c r="AH595" s="8"/>
    </row>
    <row r="596" spans="29:34" s="4" customFormat="1" hidden="1" x14ac:dyDescent="0.2">
      <c r="AC596" s="8"/>
      <c r="AD596" s="8"/>
      <c r="AE596" s="8"/>
      <c r="AF596" s="8"/>
      <c r="AG596" s="8"/>
      <c r="AH596" s="8"/>
    </row>
    <row r="597" spans="29:34" s="4" customFormat="1" hidden="1" x14ac:dyDescent="0.2">
      <c r="AC597" s="8"/>
      <c r="AD597" s="8"/>
      <c r="AE597" s="8"/>
      <c r="AF597" s="8"/>
      <c r="AG597" s="8"/>
      <c r="AH597" s="8"/>
    </row>
    <row r="598" spans="29:34" s="4" customFormat="1" hidden="1" x14ac:dyDescent="0.2">
      <c r="AC598" s="8"/>
      <c r="AD598" s="8"/>
      <c r="AE598" s="8"/>
      <c r="AF598" s="8"/>
      <c r="AG598" s="8"/>
      <c r="AH598" s="8"/>
    </row>
    <row r="599" spans="29:34" s="4" customFormat="1" hidden="1" x14ac:dyDescent="0.2">
      <c r="AC599" s="8"/>
      <c r="AD599" s="8"/>
      <c r="AE599" s="8"/>
      <c r="AF599" s="8"/>
      <c r="AG599" s="8"/>
      <c r="AH599" s="8"/>
    </row>
    <row r="600" spans="29:34" s="4" customFormat="1" hidden="1" x14ac:dyDescent="0.2">
      <c r="AC600" s="8"/>
      <c r="AD600" s="8"/>
      <c r="AE600" s="8"/>
      <c r="AF600" s="8"/>
      <c r="AG600" s="8"/>
      <c r="AH600" s="8"/>
    </row>
    <row r="601" spans="29:34" s="4" customFormat="1" hidden="1" x14ac:dyDescent="0.2">
      <c r="AC601" s="8"/>
      <c r="AD601" s="8"/>
      <c r="AE601" s="8"/>
      <c r="AF601" s="8"/>
      <c r="AG601" s="8"/>
      <c r="AH601" s="8"/>
    </row>
    <row r="602" spans="29:34" s="4" customFormat="1" hidden="1" x14ac:dyDescent="0.2">
      <c r="AC602" s="8"/>
      <c r="AD602" s="8"/>
      <c r="AE602" s="8"/>
      <c r="AF602" s="8"/>
      <c r="AG602" s="8"/>
      <c r="AH602" s="8"/>
    </row>
    <row r="603" spans="29:34" s="4" customFormat="1" hidden="1" x14ac:dyDescent="0.2">
      <c r="AC603" s="8"/>
      <c r="AD603" s="8"/>
      <c r="AE603" s="8"/>
      <c r="AF603" s="8"/>
      <c r="AG603" s="8"/>
      <c r="AH603" s="8"/>
    </row>
    <row r="604" spans="29:34" s="4" customFormat="1" hidden="1" x14ac:dyDescent="0.2">
      <c r="AC604" s="8"/>
      <c r="AD604" s="8"/>
      <c r="AE604" s="8"/>
      <c r="AF604" s="8"/>
      <c r="AG604" s="8"/>
      <c r="AH604" s="8"/>
    </row>
    <row r="605" spans="29:34" s="4" customFormat="1" hidden="1" x14ac:dyDescent="0.2">
      <c r="AC605" s="8"/>
      <c r="AD605" s="8"/>
      <c r="AE605" s="8"/>
      <c r="AF605" s="8"/>
      <c r="AG605" s="8"/>
      <c r="AH605" s="8"/>
    </row>
    <row r="606" spans="29:34" s="4" customFormat="1" hidden="1" x14ac:dyDescent="0.2">
      <c r="AC606" s="8"/>
      <c r="AD606" s="8"/>
      <c r="AE606" s="8"/>
      <c r="AF606" s="8"/>
      <c r="AG606" s="8"/>
      <c r="AH606" s="8"/>
    </row>
    <row r="607" spans="29:34" s="4" customFormat="1" hidden="1" x14ac:dyDescent="0.2">
      <c r="AC607" s="8"/>
      <c r="AD607" s="8"/>
      <c r="AE607" s="8"/>
      <c r="AF607" s="8"/>
      <c r="AG607" s="8"/>
      <c r="AH607" s="8"/>
    </row>
    <row r="608" spans="29:34" s="4" customFormat="1" hidden="1" x14ac:dyDescent="0.2">
      <c r="AC608" s="8"/>
      <c r="AD608" s="8"/>
      <c r="AE608" s="8"/>
      <c r="AF608" s="8"/>
      <c r="AG608" s="8"/>
      <c r="AH608" s="8"/>
    </row>
    <row r="609" spans="29:34" s="4" customFormat="1" hidden="1" x14ac:dyDescent="0.2">
      <c r="AC609" s="8"/>
      <c r="AD609" s="8"/>
      <c r="AE609" s="8"/>
      <c r="AF609" s="8"/>
      <c r="AG609" s="8"/>
      <c r="AH609" s="8"/>
    </row>
    <row r="610" spans="29:34" s="4" customFormat="1" hidden="1" x14ac:dyDescent="0.2">
      <c r="AC610" s="8"/>
      <c r="AD610" s="8"/>
      <c r="AE610" s="8"/>
      <c r="AF610" s="8"/>
      <c r="AG610" s="8"/>
      <c r="AH610" s="8"/>
    </row>
    <row r="611" spans="29:34" s="4" customFormat="1" hidden="1" x14ac:dyDescent="0.2">
      <c r="AC611" s="8"/>
      <c r="AD611" s="8"/>
      <c r="AE611" s="8"/>
      <c r="AF611" s="8"/>
      <c r="AG611" s="8"/>
      <c r="AH611" s="8"/>
    </row>
    <row r="612" spans="29:34" s="4" customFormat="1" hidden="1" x14ac:dyDescent="0.2">
      <c r="AC612" s="8"/>
      <c r="AD612" s="8"/>
      <c r="AE612" s="8"/>
      <c r="AF612" s="8"/>
      <c r="AG612" s="8"/>
      <c r="AH612" s="8"/>
    </row>
    <row r="613" spans="29:34" s="4" customFormat="1" hidden="1" x14ac:dyDescent="0.2">
      <c r="AC613" s="8"/>
      <c r="AD613" s="8"/>
      <c r="AE613" s="8"/>
      <c r="AF613" s="8"/>
      <c r="AG613" s="8"/>
      <c r="AH613" s="8"/>
    </row>
    <row r="614" spans="29:34" s="4" customFormat="1" hidden="1" x14ac:dyDescent="0.2">
      <c r="AC614" s="8"/>
      <c r="AD614" s="8"/>
      <c r="AE614" s="8"/>
      <c r="AF614" s="8"/>
      <c r="AG614" s="8"/>
      <c r="AH614" s="8"/>
    </row>
    <row r="615" spans="29:34" s="4" customFormat="1" hidden="1" x14ac:dyDescent="0.2">
      <c r="AC615" s="8"/>
      <c r="AD615" s="8"/>
      <c r="AE615" s="8"/>
      <c r="AF615" s="8"/>
      <c r="AG615" s="8"/>
      <c r="AH615" s="8"/>
    </row>
    <row r="616" spans="29:34" s="4" customFormat="1" hidden="1" x14ac:dyDescent="0.2">
      <c r="AC616" s="8"/>
      <c r="AD616" s="8"/>
      <c r="AE616" s="8"/>
      <c r="AF616" s="8"/>
      <c r="AG616" s="8"/>
      <c r="AH616" s="8"/>
    </row>
    <row r="617" spans="29:34" s="4" customFormat="1" hidden="1" x14ac:dyDescent="0.2">
      <c r="AC617" s="8"/>
      <c r="AD617" s="8"/>
      <c r="AE617" s="8"/>
      <c r="AF617" s="8"/>
      <c r="AG617" s="8"/>
      <c r="AH617" s="8"/>
    </row>
    <row r="618" spans="29:34" s="4" customFormat="1" hidden="1" x14ac:dyDescent="0.2">
      <c r="AC618" s="8"/>
      <c r="AD618" s="8"/>
      <c r="AE618" s="8"/>
      <c r="AF618" s="8"/>
      <c r="AG618" s="8"/>
      <c r="AH618" s="8"/>
    </row>
    <row r="619" spans="29:34" s="4" customFormat="1" hidden="1" x14ac:dyDescent="0.2">
      <c r="AC619" s="8"/>
      <c r="AD619" s="8"/>
      <c r="AE619" s="8"/>
      <c r="AF619" s="8"/>
      <c r="AG619" s="8"/>
      <c r="AH619" s="8"/>
    </row>
    <row r="620" spans="29:34" s="4" customFormat="1" hidden="1" x14ac:dyDescent="0.2">
      <c r="AC620" s="8"/>
      <c r="AD620" s="8"/>
      <c r="AE620" s="8"/>
      <c r="AF620" s="8"/>
      <c r="AG620" s="8"/>
      <c r="AH620" s="8"/>
    </row>
    <row r="621" spans="29:34" s="4" customFormat="1" hidden="1" x14ac:dyDescent="0.2">
      <c r="AC621" s="8"/>
      <c r="AD621" s="8"/>
      <c r="AE621" s="8"/>
      <c r="AF621" s="8"/>
      <c r="AG621" s="8"/>
      <c r="AH621" s="8"/>
    </row>
    <row r="622" spans="29:34" s="4" customFormat="1" hidden="1" x14ac:dyDescent="0.2">
      <c r="AC622" s="8"/>
      <c r="AD622" s="8"/>
      <c r="AE622" s="8"/>
      <c r="AF622" s="8"/>
      <c r="AG622" s="8"/>
      <c r="AH622" s="8"/>
    </row>
    <row r="623" spans="29:34" s="4" customFormat="1" hidden="1" x14ac:dyDescent="0.2">
      <c r="AC623" s="8"/>
      <c r="AD623" s="8"/>
      <c r="AE623" s="8"/>
      <c r="AF623" s="8"/>
      <c r="AG623" s="8"/>
      <c r="AH623" s="8"/>
    </row>
    <row r="624" spans="29:34" s="4" customFormat="1" hidden="1" x14ac:dyDescent="0.2">
      <c r="AC624" s="8"/>
      <c r="AD624" s="8"/>
      <c r="AE624" s="8"/>
      <c r="AF624" s="8"/>
      <c r="AG624" s="8"/>
      <c r="AH624" s="8"/>
    </row>
    <row r="625" spans="29:34" s="4" customFormat="1" hidden="1" x14ac:dyDescent="0.2">
      <c r="AC625" s="8"/>
      <c r="AD625" s="8"/>
      <c r="AE625" s="8"/>
      <c r="AF625" s="8"/>
      <c r="AG625" s="8"/>
      <c r="AH625" s="8"/>
    </row>
    <row r="626" spans="29:34" s="4" customFormat="1" hidden="1" x14ac:dyDescent="0.2">
      <c r="AC626" s="8"/>
      <c r="AD626" s="8"/>
      <c r="AE626" s="8"/>
      <c r="AF626" s="8"/>
      <c r="AG626" s="8"/>
      <c r="AH626" s="8"/>
    </row>
    <row r="627" spans="29:34" s="4" customFormat="1" hidden="1" x14ac:dyDescent="0.2">
      <c r="AC627" s="8"/>
      <c r="AD627" s="8"/>
      <c r="AE627" s="8"/>
      <c r="AF627" s="8"/>
      <c r="AG627" s="8"/>
      <c r="AH627" s="8"/>
    </row>
    <row r="628" spans="29:34" s="4" customFormat="1" hidden="1" x14ac:dyDescent="0.2">
      <c r="AC628" s="8"/>
      <c r="AD628" s="8"/>
      <c r="AE628" s="8"/>
      <c r="AF628" s="8"/>
      <c r="AG628" s="8"/>
      <c r="AH628" s="8"/>
    </row>
    <row r="629" spans="29:34" s="4" customFormat="1" hidden="1" x14ac:dyDescent="0.2">
      <c r="AC629" s="8"/>
      <c r="AD629" s="8"/>
      <c r="AE629" s="8"/>
      <c r="AF629" s="8"/>
      <c r="AG629" s="8"/>
      <c r="AH629" s="8"/>
    </row>
    <row r="630" spans="29:34" s="4" customFormat="1" hidden="1" x14ac:dyDescent="0.2">
      <c r="AC630" s="8"/>
      <c r="AD630" s="8"/>
      <c r="AE630" s="8"/>
      <c r="AF630" s="8"/>
      <c r="AG630" s="8"/>
      <c r="AH630" s="8"/>
    </row>
    <row r="631" spans="29:34" s="4" customFormat="1" hidden="1" x14ac:dyDescent="0.2">
      <c r="AC631" s="8"/>
      <c r="AD631" s="8"/>
      <c r="AE631" s="8"/>
      <c r="AF631" s="8"/>
      <c r="AG631" s="8"/>
      <c r="AH631" s="8"/>
    </row>
    <row r="632" spans="29:34" s="4" customFormat="1" hidden="1" x14ac:dyDescent="0.2">
      <c r="AC632" s="8"/>
      <c r="AD632" s="8"/>
      <c r="AE632" s="8"/>
      <c r="AF632" s="8"/>
      <c r="AG632" s="8"/>
      <c r="AH632" s="8"/>
    </row>
    <row r="633" spans="29:34" s="4" customFormat="1" hidden="1" x14ac:dyDescent="0.2">
      <c r="AC633" s="8"/>
      <c r="AD633" s="8"/>
      <c r="AE633" s="8"/>
      <c r="AF633" s="8"/>
      <c r="AG633" s="8"/>
      <c r="AH633" s="8"/>
    </row>
    <row r="634" spans="29:34" s="4" customFormat="1" hidden="1" x14ac:dyDescent="0.2">
      <c r="AC634" s="8"/>
      <c r="AD634" s="8"/>
      <c r="AE634" s="8"/>
      <c r="AF634" s="8"/>
      <c r="AG634" s="8"/>
      <c r="AH634" s="8"/>
    </row>
    <row r="635" spans="29:34" s="4" customFormat="1" hidden="1" x14ac:dyDescent="0.2">
      <c r="AC635" s="8"/>
      <c r="AD635" s="8"/>
      <c r="AE635" s="8"/>
      <c r="AF635" s="8"/>
      <c r="AG635" s="8"/>
      <c r="AH635" s="8"/>
    </row>
    <row r="636" spans="29:34" s="4" customFormat="1" hidden="1" x14ac:dyDescent="0.2">
      <c r="AC636" s="8"/>
      <c r="AD636" s="8"/>
      <c r="AE636" s="8"/>
      <c r="AF636" s="8"/>
      <c r="AG636" s="8"/>
      <c r="AH636" s="8"/>
    </row>
    <row r="637" spans="29:34" s="4" customFormat="1" hidden="1" x14ac:dyDescent="0.2">
      <c r="AC637" s="8"/>
      <c r="AD637" s="8"/>
      <c r="AE637" s="8"/>
      <c r="AF637" s="8"/>
      <c r="AG637" s="8"/>
      <c r="AH637" s="8"/>
    </row>
    <row r="638" spans="29:34" s="4" customFormat="1" hidden="1" x14ac:dyDescent="0.2">
      <c r="AC638" s="8"/>
      <c r="AD638" s="8"/>
      <c r="AE638" s="8"/>
      <c r="AF638" s="8"/>
      <c r="AG638" s="8"/>
      <c r="AH638" s="8"/>
    </row>
    <row r="639" spans="29:34" s="4" customFormat="1" hidden="1" x14ac:dyDescent="0.2">
      <c r="AC639" s="8"/>
      <c r="AD639" s="8"/>
      <c r="AE639" s="8"/>
      <c r="AF639" s="8"/>
      <c r="AG639" s="8"/>
      <c r="AH639" s="8"/>
    </row>
    <row r="640" spans="29:34" s="4" customFormat="1" hidden="1" x14ac:dyDescent="0.2">
      <c r="AC640" s="8"/>
      <c r="AD640" s="8"/>
      <c r="AE640" s="8"/>
      <c r="AF640" s="8"/>
      <c r="AG640" s="8"/>
      <c r="AH640" s="8"/>
    </row>
    <row r="641" spans="29:34" s="4" customFormat="1" hidden="1" x14ac:dyDescent="0.2">
      <c r="AC641" s="8"/>
      <c r="AD641" s="8"/>
      <c r="AE641" s="8"/>
      <c r="AF641" s="8"/>
      <c r="AG641" s="8"/>
      <c r="AH641" s="8"/>
    </row>
    <row r="642" spans="29:34" s="4" customFormat="1" hidden="1" x14ac:dyDescent="0.2">
      <c r="AC642" s="8"/>
      <c r="AD642" s="8"/>
      <c r="AE642" s="8"/>
      <c r="AF642" s="8"/>
      <c r="AG642" s="8"/>
      <c r="AH642" s="8"/>
    </row>
    <row r="643" spans="29:34" s="4" customFormat="1" hidden="1" x14ac:dyDescent="0.2">
      <c r="AC643" s="8"/>
      <c r="AD643" s="8"/>
      <c r="AE643" s="8"/>
      <c r="AF643" s="8"/>
      <c r="AG643" s="8"/>
      <c r="AH643" s="8"/>
    </row>
    <row r="644" spans="29:34" s="4" customFormat="1" hidden="1" x14ac:dyDescent="0.2">
      <c r="AC644" s="8"/>
      <c r="AD644" s="8"/>
      <c r="AE644" s="8"/>
      <c r="AF644" s="8"/>
      <c r="AG644" s="8"/>
      <c r="AH644" s="8"/>
    </row>
    <row r="645" spans="29:34" s="4" customFormat="1" hidden="1" x14ac:dyDescent="0.2">
      <c r="AC645" s="8"/>
      <c r="AD645" s="8"/>
      <c r="AE645" s="8"/>
      <c r="AF645" s="8"/>
      <c r="AG645" s="8"/>
      <c r="AH645" s="8"/>
    </row>
    <row r="646" spans="29:34" s="4" customFormat="1" hidden="1" x14ac:dyDescent="0.2">
      <c r="AC646" s="8"/>
      <c r="AD646" s="8"/>
      <c r="AE646" s="8"/>
      <c r="AF646" s="8"/>
      <c r="AG646" s="8"/>
      <c r="AH646" s="8"/>
    </row>
    <row r="647" spans="29:34" s="4" customFormat="1" hidden="1" x14ac:dyDescent="0.2">
      <c r="AC647" s="8"/>
      <c r="AD647" s="8"/>
      <c r="AE647" s="8"/>
      <c r="AF647" s="8"/>
      <c r="AG647" s="8"/>
      <c r="AH647" s="8"/>
    </row>
    <row r="648" spans="29:34" s="4" customFormat="1" hidden="1" x14ac:dyDescent="0.2">
      <c r="AC648" s="8"/>
      <c r="AD648" s="8"/>
      <c r="AE648" s="8"/>
      <c r="AF648" s="8"/>
      <c r="AG648" s="8"/>
      <c r="AH648" s="8"/>
    </row>
    <row r="649" spans="29:34" s="4" customFormat="1" hidden="1" x14ac:dyDescent="0.2">
      <c r="AC649" s="8"/>
      <c r="AD649" s="8"/>
      <c r="AE649" s="8"/>
      <c r="AF649" s="8"/>
      <c r="AG649" s="8"/>
      <c r="AH649" s="8"/>
    </row>
    <row r="650" spans="29:34" s="4" customFormat="1" hidden="1" x14ac:dyDescent="0.2">
      <c r="AC650" s="8"/>
      <c r="AD650" s="8"/>
      <c r="AE650" s="8"/>
      <c r="AF650" s="8"/>
      <c r="AG650" s="8"/>
      <c r="AH650" s="8"/>
    </row>
    <row r="651" spans="29:34" s="4" customFormat="1" hidden="1" x14ac:dyDescent="0.2">
      <c r="AC651" s="8"/>
      <c r="AD651" s="8"/>
      <c r="AE651" s="8"/>
      <c r="AF651" s="8"/>
      <c r="AG651" s="8"/>
      <c r="AH651" s="8"/>
    </row>
    <row r="652" spans="29:34" s="4" customFormat="1" hidden="1" x14ac:dyDescent="0.2">
      <c r="AC652" s="8"/>
      <c r="AD652" s="8"/>
      <c r="AE652" s="8"/>
      <c r="AF652" s="8"/>
      <c r="AG652" s="8"/>
      <c r="AH652" s="8"/>
    </row>
    <row r="653" spans="29:34" s="4" customFormat="1" hidden="1" x14ac:dyDescent="0.2">
      <c r="AC653" s="8"/>
      <c r="AD653" s="8"/>
      <c r="AE653" s="8"/>
      <c r="AF653" s="8"/>
      <c r="AG653" s="8"/>
      <c r="AH653" s="8"/>
    </row>
    <row r="654" spans="29:34" s="4" customFormat="1" hidden="1" x14ac:dyDescent="0.2">
      <c r="AC654" s="8"/>
      <c r="AD654" s="8"/>
      <c r="AE654" s="8"/>
      <c r="AF654" s="8"/>
      <c r="AG654" s="8"/>
      <c r="AH654" s="8"/>
    </row>
    <row r="655" spans="29:34" s="4" customFormat="1" hidden="1" x14ac:dyDescent="0.2">
      <c r="AC655" s="8"/>
      <c r="AD655" s="8"/>
      <c r="AE655" s="8"/>
      <c r="AF655" s="8"/>
      <c r="AG655" s="8"/>
      <c r="AH655" s="8"/>
    </row>
    <row r="656" spans="29:34" s="4" customFormat="1" hidden="1" x14ac:dyDescent="0.2">
      <c r="AC656" s="8"/>
      <c r="AD656" s="8"/>
      <c r="AE656" s="8"/>
      <c r="AF656" s="8"/>
      <c r="AG656" s="8"/>
      <c r="AH656" s="8"/>
    </row>
    <row r="657" spans="29:34" s="4" customFormat="1" hidden="1" x14ac:dyDescent="0.2">
      <c r="AC657" s="8"/>
      <c r="AD657" s="8"/>
      <c r="AE657" s="8"/>
      <c r="AF657" s="8"/>
      <c r="AG657" s="8"/>
      <c r="AH657" s="8"/>
    </row>
    <row r="658" spans="29:34" s="4" customFormat="1" hidden="1" x14ac:dyDescent="0.2">
      <c r="AC658" s="8"/>
      <c r="AD658" s="8"/>
      <c r="AE658" s="8"/>
      <c r="AF658" s="8"/>
      <c r="AG658" s="8"/>
      <c r="AH658" s="8"/>
    </row>
    <row r="659" spans="29:34" s="4" customFormat="1" hidden="1" x14ac:dyDescent="0.2">
      <c r="AC659" s="8"/>
      <c r="AD659" s="8"/>
      <c r="AE659" s="8"/>
      <c r="AF659" s="8"/>
      <c r="AG659" s="8"/>
      <c r="AH659" s="8"/>
    </row>
    <row r="660" spans="29:34" s="4" customFormat="1" hidden="1" x14ac:dyDescent="0.2">
      <c r="AC660" s="8"/>
      <c r="AD660" s="8"/>
      <c r="AE660" s="8"/>
      <c r="AF660" s="8"/>
      <c r="AG660" s="8"/>
      <c r="AH660" s="8"/>
    </row>
    <row r="661" spans="29:34" s="4" customFormat="1" hidden="1" x14ac:dyDescent="0.2">
      <c r="AC661" s="8"/>
      <c r="AD661" s="8"/>
      <c r="AE661" s="8"/>
      <c r="AF661" s="8"/>
      <c r="AG661" s="8"/>
      <c r="AH661" s="8"/>
    </row>
    <row r="662" spans="29:34" s="4" customFormat="1" hidden="1" x14ac:dyDescent="0.2">
      <c r="AC662" s="8"/>
      <c r="AD662" s="8"/>
      <c r="AE662" s="8"/>
      <c r="AF662" s="8"/>
      <c r="AG662" s="8"/>
      <c r="AH662" s="8"/>
    </row>
    <row r="663" spans="29:34" s="4" customFormat="1" hidden="1" x14ac:dyDescent="0.2">
      <c r="AC663" s="8"/>
      <c r="AD663" s="8"/>
      <c r="AE663" s="8"/>
      <c r="AF663" s="8"/>
      <c r="AG663" s="8"/>
      <c r="AH663" s="8"/>
    </row>
    <row r="664" spans="29:34" s="4" customFormat="1" hidden="1" x14ac:dyDescent="0.2">
      <c r="AC664" s="8"/>
      <c r="AD664" s="8"/>
      <c r="AE664" s="8"/>
      <c r="AF664" s="8"/>
      <c r="AG664" s="8"/>
      <c r="AH664" s="8"/>
    </row>
    <row r="665" spans="29:34" s="4" customFormat="1" hidden="1" x14ac:dyDescent="0.2">
      <c r="AC665" s="8"/>
      <c r="AD665" s="8"/>
      <c r="AE665" s="8"/>
      <c r="AF665" s="8"/>
      <c r="AG665" s="8"/>
      <c r="AH665" s="8"/>
    </row>
    <row r="666" spans="29:34" s="4" customFormat="1" hidden="1" x14ac:dyDescent="0.2">
      <c r="AC666" s="8"/>
      <c r="AD666" s="8"/>
      <c r="AE666" s="8"/>
      <c r="AF666" s="8"/>
      <c r="AG666" s="8"/>
      <c r="AH666" s="8"/>
    </row>
    <row r="667" spans="29:34" s="4" customFormat="1" hidden="1" x14ac:dyDescent="0.2">
      <c r="AC667" s="8"/>
      <c r="AD667" s="8"/>
      <c r="AE667" s="8"/>
      <c r="AF667" s="8"/>
      <c r="AG667" s="8"/>
      <c r="AH667" s="8"/>
    </row>
    <row r="668" spans="29:34" s="4" customFormat="1" hidden="1" x14ac:dyDescent="0.2">
      <c r="AC668" s="8"/>
      <c r="AD668" s="8"/>
      <c r="AE668" s="8"/>
      <c r="AF668" s="8"/>
      <c r="AG668" s="8"/>
      <c r="AH668" s="8"/>
    </row>
    <row r="669" spans="29:34" s="4" customFormat="1" hidden="1" x14ac:dyDescent="0.2">
      <c r="AC669" s="8"/>
      <c r="AD669" s="8"/>
      <c r="AE669" s="8"/>
      <c r="AF669" s="8"/>
      <c r="AG669" s="8"/>
      <c r="AH669" s="8"/>
    </row>
    <row r="670" spans="29:34" s="4" customFormat="1" hidden="1" x14ac:dyDescent="0.2">
      <c r="AC670" s="8"/>
      <c r="AD670" s="8"/>
      <c r="AE670" s="8"/>
      <c r="AF670" s="8"/>
      <c r="AG670" s="8"/>
      <c r="AH670" s="8"/>
    </row>
    <row r="671" spans="29:34" s="4" customFormat="1" hidden="1" x14ac:dyDescent="0.2">
      <c r="AC671" s="8"/>
      <c r="AD671" s="8"/>
      <c r="AE671" s="8"/>
      <c r="AF671" s="8"/>
      <c r="AG671" s="8"/>
      <c r="AH671" s="8"/>
    </row>
    <row r="672" spans="29:34" s="4" customFormat="1" hidden="1" x14ac:dyDescent="0.2">
      <c r="AC672" s="8"/>
      <c r="AD672" s="8"/>
      <c r="AE672" s="8"/>
      <c r="AF672" s="8"/>
      <c r="AG672" s="8"/>
      <c r="AH672" s="8"/>
    </row>
    <row r="673" spans="29:34" s="4" customFormat="1" hidden="1" x14ac:dyDescent="0.2">
      <c r="AC673" s="8"/>
      <c r="AD673" s="8"/>
      <c r="AE673" s="8"/>
      <c r="AF673" s="8"/>
      <c r="AG673" s="8"/>
      <c r="AH673" s="8"/>
    </row>
    <row r="674" spans="29:34" s="4" customFormat="1" hidden="1" x14ac:dyDescent="0.2">
      <c r="AC674" s="8"/>
      <c r="AD674" s="8"/>
      <c r="AE674" s="8"/>
      <c r="AF674" s="8"/>
      <c r="AG674" s="8"/>
      <c r="AH674" s="8"/>
    </row>
    <row r="675" spans="29:34" s="4" customFormat="1" hidden="1" x14ac:dyDescent="0.2">
      <c r="AC675" s="8"/>
      <c r="AD675" s="8"/>
      <c r="AE675" s="8"/>
      <c r="AF675" s="8"/>
      <c r="AG675" s="8"/>
      <c r="AH675" s="8"/>
    </row>
    <row r="676" spans="29:34" s="4" customFormat="1" hidden="1" x14ac:dyDescent="0.2">
      <c r="AC676" s="8"/>
      <c r="AD676" s="8"/>
      <c r="AE676" s="8"/>
      <c r="AF676" s="8"/>
      <c r="AG676" s="8"/>
      <c r="AH676" s="8"/>
    </row>
    <row r="677" spans="29:34" s="4" customFormat="1" hidden="1" x14ac:dyDescent="0.2">
      <c r="AC677" s="8"/>
      <c r="AD677" s="8"/>
      <c r="AE677" s="8"/>
      <c r="AF677" s="8"/>
      <c r="AG677" s="8"/>
      <c r="AH677" s="8"/>
    </row>
    <row r="678" spans="29:34" s="4" customFormat="1" hidden="1" x14ac:dyDescent="0.2">
      <c r="AC678" s="8"/>
      <c r="AD678" s="8"/>
      <c r="AE678" s="8"/>
      <c r="AF678" s="8"/>
      <c r="AG678" s="8"/>
      <c r="AH678" s="8"/>
    </row>
  </sheetData>
  <mergeCells count="186">
    <mergeCell ref="B1:E5"/>
    <mergeCell ref="F1:AB5"/>
    <mergeCell ref="B9:N10"/>
    <mergeCell ref="P9:AB10"/>
    <mergeCell ref="C11:E11"/>
    <mergeCell ref="F11:H11"/>
    <mergeCell ref="I11:K11"/>
    <mergeCell ref="L11:N11"/>
    <mergeCell ref="P11:AB11"/>
    <mergeCell ref="B12:B14"/>
    <mergeCell ref="C12:E13"/>
    <mergeCell ref="F12:H13"/>
    <mergeCell ref="I12:K13"/>
    <mergeCell ref="L12:N13"/>
    <mergeCell ref="P12:AB32"/>
    <mergeCell ref="C14:N14"/>
    <mergeCell ref="B15:B17"/>
    <mergeCell ref="C15:N17"/>
    <mergeCell ref="C18:H18"/>
    <mergeCell ref="B25:C25"/>
    <mergeCell ref="D25:H25"/>
    <mergeCell ref="J25:N25"/>
    <mergeCell ref="B26:C26"/>
    <mergeCell ref="D26:H26"/>
    <mergeCell ref="J26:N26"/>
    <mergeCell ref="I18:N18"/>
    <mergeCell ref="B21:N22"/>
    <mergeCell ref="B23:H23"/>
    <mergeCell ref="I23:N23"/>
    <mergeCell ref="C24:H24"/>
    <mergeCell ref="J24:N24"/>
    <mergeCell ref="B30:N30"/>
    <mergeCell ref="C31:E31"/>
    <mergeCell ref="G31:N31"/>
    <mergeCell ref="B32:B33"/>
    <mergeCell ref="C32:E33"/>
    <mergeCell ref="F32:F33"/>
    <mergeCell ref="G32:N33"/>
    <mergeCell ref="B27:C27"/>
    <mergeCell ref="D27:H27"/>
    <mergeCell ref="J27:N27"/>
    <mergeCell ref="C28:H28"/>
    <mergeCell ref="J28:N28"/>
    <mergeCell ref="C29:H29"/>
    <mergeCell ref="J29:N29"/>
    <mergeCell ref="Z35:AB36"/>
    <mergeCell ref="P37:AB37"/>
    <mergeCell ref="B38:N39"/>
    <mergeCell ref="P38:AB59"/>
    <mergeCell ref="B40:G40"/>
    <mergeCell ref="H40:N40"/>
    <mergeCell ref="B41:G56"/>
    <mergeCell ref="B34:B35"/>
    <mergeCell ref="C34:E35"/>
    <mergeCell ref="F34:F35"/>
    <mergeCell ref="G34:N35"/>
    <mergeCell ref="P35:Q36"/>
    <mergeCell ref="R35:S36"/>
    <mergeCell ref="P33:Q34"/>
    <mergeCell ref="R33:S34"/>
    <mergeCell ref="T33:U34"/>
    <mergeCell ref="V33:W34"/>
    <mergeCell ref="X33:Y34"/>
    <mergeCell ref="Z33:AB34"/>
    <mergeCell ref="H41:N56"/>
    <mergeCell ref="B57:G57"/>
    <mergeCell ref="H57:N57"/>
    <mergeCell ref="C58:G58"/>
    <mergeCell ref="H58:J58"/>
    <mergeCell ref="L58:M58"/>
    <mergeCell ref="T35:U36"/>
    <mergeCell ref="V35:W36"/>
    <mergeCell ref="X35:Y36"/>
    <mergeCell ref="V62:W63"/>
    <mergeCell ref="X62:Y63"/>
    <mergeCell ref="Z62:AB63"/>
    <mergeCell ref="B61:B62"/>
    <mergeCell ref="C61:G62"/>
    <mergeCell ref="H61:J62"/>
    <mergeCell ref="K61:K62"/>
    <mergeCell ref="L61:M62"/>
    <mergeCell ref="N61:N62"/>
    <mergeCell ref="P60:Q61"/>
    <mergeCell ref="R60:S61"/>
    <mergeCell ref="T60:U61"/>
    <mergeCell ref="V60:W61"/>
    <mergeCell ref="X60:Y61"/>
    <mergeCell ref="Z60:AB61"/>
    <mergeCell ref="B59:B60"/>
    <mergeCell ref="C59:G60"/>
    <mergeCell ref="H59:J60"/>
    <mergeCell ref="K59:K60"/>
    <mergeCell ref="L59:M60"/>
    <mergeCell ref="N59:N60"/>
    <mergeCell ref="B63:B64"/>
    <mergeCell ref="C63:G64"/>
    <mergeCell ref="H63:J64"/>
    <mergeCell ref="K63:K64"/>
    <mergeCell ref="L63:M64"/>
    <mergeCell ref="N63:N64"/>
    <mergeCell ref="P62:Q63"/>
    <mergeCell ref="R62:S63"/>
    <mergeCell ref="T62:U63"/>
    <mergeCell ref="P66:AB67"/>
    <mergeCell ref="B67:G72"/>
    <mergeCell ref="H67:J68"/>
    <mergeCell ref="K67:K68"/>
    <mergeCell ref="L67:M68"/>
    <mergeCell ref="N67:N68"/>
    <mergeCell ref="P68:AB71"/>
    <mergeCell ref="H69:J70"/>
    <mergeCell ref="K69:K70"/>
    <mergeCell ref="L69:M70"/>
    <mergeCell ref="B65:B66"/>
    <mergeCell ref="C65:G66"/>
    <mergeCell ref="H65:J66"/>
    <mergeCell ref="K65:K66"/>
    <mergeCell ref="L65:M66"/>
    <mergeCell ref="N65:N66"/>
    <mergeCell ref="B74:N79"/>
    <mergeCell ref="P74:AB74"/>
    <mergeCell ref="P76:AB80"/>
    <mergeCell ref="B82:N83"/>
    <mergeCell ref="B84:N84"/>
    <mergeCell ref="B85:N85"/>
    <mergeCell ref="N69:N70"/>
    <mergeCell ref="H71:J72"/>
    <mergeCell ref="K71:K72"/>
    <mergeCell ref="L71:M72"/>
    <mergeCell ref="N71:N72"/>
    <mergeCell ref="P72:AB73"/>
    <mergeCell ref="B73:N73"/>
    <mergeCell ref="B86:D87"/>
    <mergeCell ref="E86:G87"/>
    <mergeCell ref="H86:I87"/>
    <mergeCell ref="J86:K87"/>
    <mergeCell ref="L86:N87"/>
    <mergeCell ref="B88:D89"/>
    <mergeCell ref="E88:G89"/>
    <mergeCell ref="H88:I89"/>
    <mergeCell ref="J88:K89"/>
    <mergeCell ref="L88:N89"/>
    <mergeCell ref="B94:N94"/>
    <mergeCell ref="B95:E95"/>
    <mergeCell ref="F95:J95"/>
    <mergeCell ref="K95:N95"/>
    <mergeCell ref="B96:E97"/>
    <mergeCell ref="F96:J97"/>
    <mergeCell ref="K96:N97"/>
    <mergeCell ref="O88:O89"/>
    <mergeCell ref="B90:N90"/>
    <mergeCell ref="B91:H91"/>
    <mergeCell ref="I91:N91"/>
    <mergeCell ref="B92:H93"/>
    <mergeCell ref="I92:N93"/>
    <mergeCell ref="B127:E128"/>
    <mergeCell ref="F127:J128"/>
    <mergeCell ref="K127:N128"/>
    <mergeCell ref="B129:N129"/>
    <mergeCell ref="B130:D131"/>
    <mergeCell ref="E130:G131"/>
    <mergeCell ref="H130:J131"/>
    <mergeCell ref="K130:N131"/>
    <mergeCell ref="B98:N98"/>
    <mergeCell ref="B99:N122"/>
    <mergeCell ref="B123:N123"/>
    <mergeCell ref="B124:N124"/>
    <mergeCell ref="B125:E126"/>
    <mergeCell ref="F125:J126"/>
    <mergeCell ref="K125:N126"/>
    <mergeCell ref="B136:N136"/>
    <mergeCell ref="B137:N137"/>
    <mergeCell ref="B138:E139"/>
    <mergeCell ref="F138:I139"/>
    <mergeCell ref="J138:N139"/>
    <mergeCell ref="B140:E141"/>
    <mergeCell ref="F140:I141"/>
    <mergeCell ref="J140:N141"/>
    <mergeCell ref="B132:D133"/>
    <mergeCell ref="E132:G133"/>
    <mergeCell ref="H132:J133"/>
    <mergeCell ref="K132:N133"/>
    <mergeCell ref="B134:D135"/>
    <mergeCell ref="E134:G135"/>
    <mergeCell ref="H134:J135"/>
    <mergeCell ref="K134:N135"/>
  </mergeCells>
  <conditionalFormatting sqref="B92:H93">
    <cfRule type="expression" dxfId="112" priority="14">
      <formula xml:space="preserve"> AND($B$92&gt;0,$L$69&lt;0)</formula>
    </cfRule>
    <cfRule type="expression" dxfId="111" priority="15">
      <formula xml:space="preserve"> AND($B$92&lt;0,$L$69&gt;0)</formula>
    </cfRule>
    <cfRule type="expression" dxfId="110" priority="16">
      <formula xml:space="preserve"> ABS($B$92)&gt;ABS($L$69)</formula>
    </cfRule>
  </conditionalFormatting>
  <conditionalFormatting sqref="I92:N93">
    <cfRule type="expression" dxfId="109" priority="11">
      <formula xml:space="preserve"> AND($I$92&gt;0,$L$71&lt;0)</formula>
    </cfRule>
    <cfRule type="expression" dxfId="108" priority="12">
      <formula xml:space="preserve"> AND($I$92&lt;0,$L$71&gt;0)</formula>
    </cfRule>
    <cfRule type="expression" dxfId="107" priority="13">
      <formula xml:space="preserve"> ABS($I$92)&gt;ABS($L$71)</formula>
    </cfRule>
  </conditionalFormatting>
  <conditionalFormatting sqref="AB127:AE128">
    <cfRule type="expression" dxfId="106" priority="10">
      <formula>"ABS($K$151)&gt;ABS(Esforços!$G$16)"</formula>
    </cfRule>
  </conditionalFormatting>
  <conditionalFormatting sqref="E88:G89">
    <cfRule type="expression" dxfId="105" priority="9">
      <formula xml:space="preserve"> $E$88&lt;$L$61</formula>
    </cfRule>
  </conditionalFormatting>
  <conditionalFormatting sqref="H88:I89">
    <cfRule type="expression" dxfId="104" priority="8">
      <formula xml:space="preserve"> ABS($H$88) &gt;0.5</formula>
    </cfRule>
  </conditionalFormatting>
  <conditionalFormatting sqref="J88:K89">
    <cfRule type="expression" dxfId="103" priority="7">
      <formula xml:space="preserve"> $J$88 &lt; $L$67</formula>
    </cfRule>
  </conditionalFormatting>
  <conditionalFormatting sqref="L88:N89">
    <cfRule type="expression" dxfId="102" priority="6">
      <formula>$L$88 &lt; $L$65</formula>
    </cfRule>
  </conditionalFormatting>
  <conditionalFormatting sqref="F127:J128">
    <cfRule type="expression" dxfId="101" priority="5">
      <formula xml:space="preserve"> $F$127&lt;$L$67</formula>
    </cfRule>
  </conditionalFormatting>
  <conditionalFormatting sqref="K127:N128">
    <cfRule type="expression" dxfId="100" priority="4">
      <formula xml:space="preserve"> $K$127&lt;$L$65</formula>
    </cfRule>
  </conditionalFormatting>
  <pageMargins left="0.25" right="0.25" top="0.75" bottom="0.75" header="0.3" footer="0.3"/>
  <pageSetup paperSize="8" scale="5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Button 1">
              <controlPr defaultSize="0" print="0" autoFill="0" autoPict="0" macro="[0]!ImportImagesA3">
                <anchor moveWithCells="1" sizeWithCells="1">
                  <from>
                    <xdr:col>30</xdr:col>
                    <xdr:colOff>85725</xdr:colOff>
                    <xdr:row>8</xdr:row>
                    <xdr:rowOff>19050</xdr:rowOff>
                  </from>
                  <to>
                    <xdr:col>33</xdr:col>
                    <xdr:colOff>19050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58" r:id="rId5" name="Button 2">
              <controlPr defaultSize="0" print="0" autoFill="0" autoPict="0" macro="[0]!RelatorioA3.ConclusaoA3">
                <anchor moveWithCells="1" sizeWithCells="1">
                  <from>
                    <xdr:col>30</xdr:col>
                    <xdr:colOff>85725</xdr:colOff>
                    <xdr:row>17</xdr:row>
                    <xdr:rowOff>28575</xdr:rowOff>
                  </from>
                  <to>
                    <xdr:col>32</xdr:col>
                    <xdr:colOff>600075</xdr:colOff>
                    <xdr:row>24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3C6255B7-9530-45C6-96B0-5117FE88359D}">
            <xm:f xml:space="preserve"> AND($B$88&lt;0,Esforços!$G$11&gt;0)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" id="{DD955559-21FA-417A-8696-868B5AFB56B1}">
            <xm:f xml:space="preserve"> AND($B$88&gt;0,Esforços!$G$11&lt;0)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3" id="{C9FBA366-B877-4DD7-A192-CCA49C699E29}">
            <xm:f xml:space="preserve"> ABS($B$88)&gt;ABS(Esforços!$G$11)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B96:E97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29DD8-05DE-4809-A0A7-F6117561911A}">
  <sheetPr codeName="Sheet16">
    <tabColor rgb="FF512D6D"/>
  </sheetPr>
  <dimension ref="A1:R263"/>
  <sheetViews>
    <sheetView zoomScale="80" zoomScaleNormal="80" workbookViewId="0"/>
  </sheetViews>
  <sheetFormatPr defaultColWidth="0" defaultRowHeight="12.75" zeroHeight="1" x14ac:dyDescent="0.2"/>
  <cols>
    <col min="1" max="1" width="1.7109375" style="8" customWidth="1"/>
    <col min="2" max="12" width="9.140625" style="4" customWidth="1"/>
    <col min="13" max="17" width="9.140625" style="8" customWidth="1"/>
    <col min="18" max="18" width="1.7109375" style="8" customWidth="1"/>
    <col min="19" max="16384" width="9.140625" style="4" hidden="1"/>
  </cols>
  <sheetData>
    <row r="1" spans="1:12" x14ac:dyDescent="0.2">
      <c r="A1" s="33"/>
      <c r="B1" s="1048"/>
      <c r="C1" s="1049"/>
      <c r="D1" s="1054" t="str">
        <f xml:space="preserve"> IF(ISBLANK(estudo_edr),"",estudo_edr)</f>
        <v>S51956-RT-5801-IAS-661</v>
      </c>
      <c r="E1" s="1054"/>
      <c r="F1" s="1054"/>
      <c r="G1" s="1054"/>
      <c r="H1" s="1054"/>
      <c r="I1" s="1054"/>
      <c r="J1" s="1054"/>
      <c r="K1" s="1054"/>
      <c r="L1" s="1049"/>
    </row>
    <row r="2" spans="1:12" x14ac:dyDescent="0.2">
      <c r="B2" s="1050"/>
      <c r="C2" s="1051"/>
      <c r="D2" s="1055"/>
      <c r="E2" s="1055"/>
      <c r="F2" s="1055"/>
      <c r="G2" s="1055"/>
      <c r="H2" s="1055"/>
      <c r="I2" s="1055"/>
      <c r="J2" s="1055"/>
      <c r="K2" s="1055"/>
      <c r="L2" s="1051"/>
    </row>
    <row r="3" spans="1:12" ht="13.5" thickBot="1" x14ac:dyDescent="0.25">
      <c r="B3" s="1052"/>
      <c r="C3" s="1053"/>
      <c r="D3" s="1056"/>
      <c r="E3" s="1056"/>
      <c r="F3" s="1056"/>
      <c r="G3" s="1056"/>
      <c r="H3" s="1056"/>
      <c r="I3" s="1056"/>
      <c r="J3" s="1056"/>
      <c r="K3" s="1056"/>
      <c r="L3" s="1053"/>
    </row>
    <row r="4" spans="1:12" x14ac:dyDescent="0.2">
      <c r="B4" s="8"/>
      <c r="C4" s="8"/>
      <c r="D4" s="8"/>
      <c r="E4" s="8"/>
      <c r="F4" s="8"/>
      <c r="G4" s="8"/>
      <c r="H4" s="8"/>
      <c r="I4" s="8"/>
      <c r="J4" s="8"/>
      <c r="K4" s="8"/>
      <c r="L4" s="8"/>
    </row>
    <row r="5" spans="1:12" ht="12.75" customHeight="1" x14ac:dyDescent="0.2">
      <c r="B5" s="1263" t="s">
        <v>1361</v>
      </c>
      <c r="C5" s="1263"/>
      <c r="D5" s="1263"/>
      <c r="E5" s="1263"/>
      <c r="F5" s="1263"/>
      <c r="G5" s="1263"/>
      <c r="H5" s="1263"/>
      <c r="I5" s="1263"/>
      <c r="J5" s="1263"/>
      <c r="K5" s="1263"/>
      <c r="L5" s="1263"/>
    </row>
    <row r="6" spans="1:12" ht="12.75" customHeight="1" x14ac:dyDescent="0.2">
      <c r="B6" s="1264"/>
      <c r="C6" s="1264"/>
      <c r="D6" s="1264"/>
      <c r="E6" s="1264"/>
      <c r="F6" s="1264"/>
      <c r="G6" s="1264"/>
      <c r="H6" s="1264"/>
      <c r="I6" s="1264"/>
      <c r="J6" s="1264"/>
      <c r="K6" s="1264"/>
      <c r="L6" s="1264"/>
    </row>
    <row r="7" spans="1:12" ht="12.75" customHeight="1" x14ac:dyDescent="0.2">
      <c r="B7" s="689" t="s">
        <v>1478</v>
      </c>
      <c r="C7" s="1250" t="s">
        <v>1365</v>
      </c>
      <c r="D7" s="1252"/>
      <c r="E7" s="1250" t="s">
        <v>1366</v>
      </c>
      <c r="F7" s="1252"/>
      <c r="G7" s="1281" t="s">
        <v>1367</v>
      </c>
      <c r="H7" s="1282"/>
      <c r="I7" s="1250" t="s">
        <v>1368</v>
      </c>
      <c r="J7" s="1252"/>
      <c r="K7" s="1250" t="s">
        <v>1479</v>
      </c>
      <c r="L7" s="1252"/>
    </row>
    <row r="8" spans="1:12" x14ac:dyDescent="0.2">
      <c r="B8" s="1017">
        <f>estudo_version_report</f>
        <v>0</v>
      </c>
      <c r="C8" s="1040">
        <f ca="1">TODAY()</f>
        <v>45712</v>
      </c>
      <c r="D8" s="1041"/>
      <c r="E8" s="1044" t="str">
        <f>estudo_initials_engineer</f>
        <v>YBN</v>
      </c>
      <c r="F8" s="1045"/>
      <c r="G8" s="1044" t="str">
        <f>estudo_initials_reviewer</f>
        <v>NSI</v>
      </c>
      <c r="H8" s="1045"/>
      <c r="I8" s="1044" t="str">
        <f>estudo_initials_aprover</f>
        <v>CFS</v>
      </c>
      <c r="J8" s="1045"/>
      <c r="K8" s="996" t="s">
        <v>1480</v>
      </c>
      <c r="L8" s="998"/>
    </row>
    <row r="9" spans="1:12" x14ac:dyDescent="0.2">
      <c r="B9" s="1018"/>
      <c r="C9" s="1042"/>
      <c r="D9" s="1043"/>
      <c r="E9" s="1046"/>
      <c r="F9" s="1047"/>
      <c r="G9" s="1046"/>
      <c r="H9" s="1047"/>
      <c r="I9" s="1046"/>
      <c r="J9" s="1047"/>
      <c r="K9" s="999"/>
      <c r="L9" s="1001"/>
    </row>
    <row r="10" spans="1:12" ht="12.75" customHeight="1" x14ac:dyDescent="0.2">
      <c r="B10" s="1283" t="s">
        <v>1373</v>
      </c>
      <c r="C10" s="996" t="str">
        <f>_xlfn.CONCAT("ESTUDO DE CVD DE 2ª EXTREMIDADE DA LINHA DE"," ",estudo_line_type," ","no"," ",estudo_connection_type," ",estudo_well_name)</f>
        <v>ESTUDO DE CVD DE 2ª EXTREMIDADE DA LINHA DE IG no Poço 8-LL-44-RJS</v>
      </c>
      <c r="D10" s="997"/>
      <c r="E10" s="997"/>
      <c r="F10" s="997"/>
      <c r="G10" s="997"/>
      <c r="H10" s="997"/>
      <c r="I10" s="997"/>
      <c r="J10" s="997"/>
      <c r="K10" s="997"/>
      <c r="L10" s="998"/>
    </row>
    <row r="11" spans="1:12" x14ac:dyDescent="0.2">
      <c r="B11" s="1284"/>
      <c r="C11" s="999"/>
      <c r="D11" s="1000"/>
      <c r="E11" s="1000"/>
      <c r="F11" s="1000"/>
      <c r="G11" s="1000"/>
      <c r="H11" s="1000"/>
      <c r="I11" s="1000"/>
      <c r="J11" s="1000"/>
      <c r="K11" s="1000"/>
      <c r="L11" s="1001"/>
    </row>
    <row r="12" spans="1:12" x14ac:dyDescent="0.2">
      <c r="B12" s="688" t="s">
        <v>1481</v>
      </c>
      <c r="C12" s="1036" t="str">
        <f xml:space="preserve"> IF(ISBLANK(estudo_requester),"",estudo_requester)</f>
        <v>Alef Nascimento; João Gabriel Santos</v>
      </c>
      <c r="D12" s="1037"/>
      <c r="E12" s="1037"/>
      <c r="F12" s="1037"/>
      <c r="G12" s="1038"/>
      <c r="H12" s="1036" t="str">
        <f xml:space="preserve"> IF(ISBLANK(estudo_vessel_coordinator),"",estudo_vessel_coordinator)</f>
        <v>André Paulo</v>
      </c>
      <c r="I12" s="1037"/>
      <c r="J12" s="1037"/>
      <c r="K12" s="1037"/>
      <c r="L12" s="1038"/>
    </row>
    <row r="13" spans="1:12" x14ac:dyDescent="0.2"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</row>
    <row r="14" spans="1:12" x14ac:dyDescent="0.2">
      <c r="B14" s="1263" t="s">
        <v>1482</v>
      </c>
      <c r="C14" s="1263"/>
      <c r="D14" s="1263"/>
      <c r="E14" s="1263"/>
      <c r="F14" s="1263"/>
      <c r="G14" s="1263"/>
      <c r="H14" s="1263"/>
      <c r="I14" s="1263"/>
      <c r="J14" s="1263"/>
      <c r="K14" s="1263"/>
      <c r="L14" s="1263"/>
    </row>
    <row r="15" spans="1:12" ht="12.75" customHeight="1" x14ac:dyDescent="0.2">
      <c r="B15" s="1264"/>
      <c r="C15" s="1264"/>
      <c r="D15" s="1264"/>
      <c r="E15" s="1264"/>
      <c r="F15" s="1264"/>
      <c r="G15" s="1264"/>
      <c r="H15" s="1264"/>
      <c r="I15" s="1264"/>
      <c r="J15" s="1264"/>
      <c r="K15" s="1264"/>
      <c r="L15" s="1264"/>
    </row>
    <row r="16" spans="1:12" x14ac:dyDescent="0.2">
      <c r="B16" s="1039" t="s">
        <v>1483</v>
      </c>
      <c r="C16" s="1039"/>
      <c r="D16" s="1039"/>
      <c r="E16" s="1039"/>
      <c r="F16" s="1039"/>
      <c r="G16" s="1039"/>
      <c r="H16" s="987" t="s">
        <v>1386</v>
      </c>
      <c r="I16" s="987"/>
      <c r="J16" s="987"/>
      <c r="K16" s="987"/>
      <c r="L16" s="987"/>
    </row>
    <row r="17" spans="2:12" x14ac:dyDescent="0.2">
      <c r="B17" s="6" t="s">
        <v>1484</v>
      </c>
      <c r="C17" s="985" t="s">
        <v>1485</v>
      </c>
      <c r="D17" s="985"/>
      <c r="E17" s="985"/>
      <c r="F17" s="985"/>
      <c r="G17" s="985"/>
      <c r="H17" s="6" t="s">
        <v>1392</v>
      </c>
      <c r="I17" s="985" t="s">
        <v>1393</v>
      </c>
      <c r="J17" s="985"/>
      <c r="K17" s="985"/>
      <c r="L17" s="985"/>
    </row>
    <row r="18" spans="2:12" x14ac:dyDescent="0.2">
      <c r="B18" s="1034" t="s">
        <v>1394</v>
      </c>
      <c r="C18" s="1034"/>
      <c r="D18" s="985" t="str">
        <f>_xlfn.CONCAT(Results!C4,"  ",Results!C5)</f>
        <v>Poço  8-LL-44-RJS</v>
      </c>
      <c r="E18" s="985"/>
      <c r="F18" s="985"/>
      <c r="G18" s="985"/>
      <c r="H18" s="6" t="str">
        <f>_xlfn.CONCAT(estudo_line_type,":")</f>
        <v>IG:</v>
      </c>
      <c r="I18" s="985"/>
      <c r="J18" s="985"/>
      <c r="K18" s="985"/>
      <c r="L18" s="985"/>
    </row>
    <row r="19" spans="2:12" x14ac:dyDescent="0.2">
      <c r="B19" s="1034" t="s">
        <v>1486</v>
      </c>
      <c r="C19" s="1034"/>
      <c r="D19" s="985" t="str">
        <f>_xlfn.CONCAT(Values!C3," ","[m]")</f>
        <v>2240 [m]</v>
      </c>
      <c r="E19" s="985"/>
      <c r="F19" s="985"/>
      <c r="G19" s="985"/>
      <c r="H19" s="6" t="s">
        <v>1487</v>
      </c>
      <c r="I19" s="985" t="s">
        <v>1398</v>
      </c>
      <c r="J19" s="985"/>
      <c r="K19" s="985"/>
      <c r="L19" s="985"/>
    </row>
    <row r="20" spans="2:12" x14ac:dyDescent="0.2">
      <c r="B20" s="6" t="s">
        <v>1400</v>
      </c>
      <c r="C20" s="6"/>
      <c r="D20" s="985" t="str">
        <f xml:space="preserve"> IF(ISBLANK(Results!C6)," ",Results!C6)</f>
        <v>Skandi Açu</v>
      </c>
      <c r="E20" s="985"/>
      <c r="F20" s="985"/>
      <c r="G20" s="985"/>
      <c r="H20" s="6" t="s">
        <v>1437</v>
      </c>
      <c r="I20" s="985" t="s">
        <v>1402</v>
      </c>
      <c r="J20" s="985"/>
      <c r="K20" s="985"/>
      <c r="L20" s="985"/>
    </row>
    <row r="21" spans="2:12" x14ac:dyDescent="0.2">
      <c r="B21" s="1279" t="s">
        <v>1403</v>
      </c>
      <c r="C21" s="1280"/>
      <c r="D21" s="1030" t="str">
        <f>IF(ISBLANK(Results!C7),"",Results!C7)</f>
        <v>Lula</v>
      </c>
      <c r="E21" s="1031"/>
      <c r="F21" s="1031"/>
      <c r="G21" s="1032"/>
      <c r="H21" s="6" t="s">
        <v>1404</v>
      </c>
      <c r="I21" s="985" t="s">
        <v>1405</v>
      </c>
      <c r="J21" s="985"/>
      <c r="K21" s="985"/>
      <c r="L21" s="985"/>
    </row>
    <row r="22" spans="2:12" ht="12.75" customHeight="1" x14ac:dyDescent="0.2">
      <c r="B22" s="1279" t="s">
        <v>1488</v>
      </c>
      <c r="C22" s="1280"/>
      <c r="D22" s="1030" t="str">
        <f>_xlfn.CONCAT("ORCAFLEX versão"," ", postproc_orcaflex_version)</f>
        <v>ORCAFLEX versão 0</v>
      </c>
      <c r="E22" s="1031"/>
      <c r="F22" s="1031"/>
      <c r="G22" s="1032"/>
      <c r="H22" s="6" t="s">
        <v>1407</v>
      </c>
      <c r="I22" s="985" t="s">
        <v>1408</v>
      </c>
      <c r="J22" s="985"/>
      <c r="K22" s="985"/>
      <c r="L22" s="985"/>
    </row>
    <row r="23" spans="2:12" ht="12.75" customHeight="1" x14ac:dyDescent="0.2">
      <c r="B23" s="186"/>
      <c r="C23" s="186"/>
      <c r="D23" s="187"/>
      <c r="E23" s="187"/>
      <c r="F23" s="187"/>
      <c r="G23" s="187"/>
      <c r="H23" s="188"/>
      <c r="I23" s="184"/>
      <c r="J23" s="184"/>
      <c r="K23" s="184"/>
      <c r="L23" s="184"/>
    </row>
    <row r="24" spans="2:12" x14ac:dyDescent="0.2">
      <c r="B24" s="987" t="s">
        <v>1409</v>
      </c>
      <c r="C24" s="987"/>
      <c r="D24" s="987"/>
      <c r="E24" s="987"/>
      <c r="F24" s="987"/>
      <c r="G24" s="987"/>
      <c r="H24" s="987"/>
      <c r="I24" s="987"/>
      <c r="J24" s="987"/>
      <c r="K24" s="987"/>
      <c r="L24" s="987"/>
    </row>
    <row r="25" spans="2:12" x14ac:dyDescent="0.2">
      <c r="B25" s="53" t="s">
        <v>1489</v>
      </c>
      <c r="C25" s="1027" t="s">
        <v>1411</v>
      </c>
      <c r="D25" s="1027"/>
      <c r="E25" s="1027"/>
      <c r="F25" s="1027"/>
      <c r="G25" s="54" t="s">
        <v>1490</v>
      </c>
      <c r="H25" s="1027" t="s">
        <v>1491</v>
      </c>
      <c r="I25" s="1027"/>
      <c r="J25" s="1027"/>
      <c r="K25" s="1027"/>
      <c r="L25" s="1027"/>
    </row>
    <row r="26" spans="2:12" x14ac:dyDescent="0.2">
      <c r="B26" s="985" t="s">
        <v>1414</v>
      </c>
      <c r="C26" s="1025" t="str">
        <f xml:space="preserve"> IF(ISBLANK(estudo_rl_doc),"",estudo_rl_doc)</f>
        <v/>
      </c>
      <c r="D26" s="1025"/>
      <c r="E26" s="1025"/>
      <c r="F26" s="1025"/>
      <c r="G26" s="1025">
        <f>estudo_rl_rev</f>
        <v>0</v>
      </c>
      <c r="H26" s="1026" t="str">
        <f xml:space="preserve"> IF(ISBLANK(estudo_rl_titulo),"",estudo_rl_titulo)</f>
        <v/>
      </c>
      <c r="I26" s="1026"/>
      <c r="J26" s="1026"/>
      <c r="K26" s="1026"/>
      <c r="L26" s="1026"/>
    </row>
    <row r="27" spans="2:12" x14ac:dyDescent="0.2">
      <c r="B27" s="985"/>
      <c r="C27" s="1025"/>
      <c r="D27" s="1025"/>
      <c r="E27" s="1025"/>
      <c r="F27" s="1025"/>
      <c r="G27" s="1025"/>
      <c r="H27" s="1026"/>
      <c r="I27" s="1026"/>
      <c r="J27" s="1026"/>
      <c r="K27" s="1026"/>
      <c r="L27" s="1026"/>
    </row>
    <row r="28" spans="2:12" x14ac:dyDescent="0.2">
      <c r="B28" s="985" t="s">
        <v>1415</v>
      </c>
      <c r="C28" s="1025" t="str">
        <f xml:space="preserve"> IF(ISBLANK(estudo_rt_doc),"",estudo_rt_doc)</f>
        <v>RT-2691</v>
      </c>
      <c r="D28" s="1025"/>
      <c r="E28" s="1025"/>
      <c r="F28" s="1025"/>
      <c r="G28" s="1025">
        <f>estudo_rt_rev</f>
        <v>0</v>
      </c>
      <c r="H28" s="1026" t="str">
        <f xml:space="preserve"> IF(ISBLANK(estudo_rt_titulo),"",estudo_rt_titulo)</f>
        <v>CVD de 1ª da linha de IG do MSIAG-01 do FPSO Cidade de Itaguaí</v>
      </c>
      <c r="I28" s="1026"/>
      <c r="J28" s="1026"/>
      <c r="K28" s="1026"/>
      <c r="L28" s="1026"/>
    </row>
    <row r="29" spans="2:12" x14ac:dyDescent="0.2">
      <c r="B29" s="985"/>
      <c r="C29" s="1025"/>
      <c r="D29" s="1025"/>
      <c r="E29" s="1025"/>
      <c r="F29" s="1025"/>
      <c r="G29" s="1025"/>
      <c r="H29" s="1026"/>
      <c r="I29" s="1026"/>
      <c r="J29" s="1026"/>
      <c r="K29" s="1026"/>
      <c r="L29" s="1026"/>
    </row>
    <row r="30" spans="2:12" x14ac:dyDescent="0.2"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</row>
    <row r="31" spans="2:12" x14ac:dyDescent="0.2">
      <c r="B31" s="1263" t="s">
        <v>1492</v>
      </c>
      <c r="C31" s="1263"/>
      <c r="D31" s="1263"/>
      <c r="E31" s="1263"/>
      <c r="F31" s="1263"/>
      <c r="G31" s="1263"/>
      <c r="H31" s="1263"/>
      <c r="I31" s="1263"/>
      <c r="J31" s="1263"/>
      <c r="K31" s="1263"/>
      <c r="L31" s="1263"/>
    </row>
    <row r="32" spans="2:12" ht="12.75" customHeight="1" x14ac:dyDescent="0.2">
      <c r="B32" s="1264"/>
      <c r="C32" s="1264"/>
      <c r="D32" s="1264"/>
      <c r="E32" s="1264"/>
      <c r="F32" s="1264"/>
      <c r="G32" s="1264"/>
      <c r="H32" s="1264"/>
      <c r="I32" s="1264"/>
      <c r="J32" s="1264"/>
      <c r="K32" s="1264"/>
      <c r="L32" s="1264"/>
    </row>
    <row r="33" spans="2:12" x14ac:dyDescent="0.2">
      <c r="B33" s="987" t="s">
        <v>1417</v>
      </c>
      <c r="C33" s="987"/>
      <c r="D33" s="987"/>
      <c r="E33" s="987"/>
      <c r="F33" s="987"/>
      <c r="G33" s="987" t="s">
        <v>1418</v>
      </c>
      <c r="H33" s="987"/>
      <c r="I33" s="987"/>
      <c r="J33" s="987"/>
      <c r="K33" s="987"/>
      <c r="L33" s="987"/>
    </row>
    <row r="34" spans="2:12" x14ac:dyDescent="0.2">
      <c r="B34" s="1016" t="s">
        <v>1493</v>
      </c>
      <c r="C34" s="1016"/>
      <c r="D34" s="1016"/>
      <c r="E34" s="1016"/>
      <c r="F34" s="1016"/>
      <c r="G34" s="1016"/>
      <c r="H34" s="1016"/>
      <c r="I34" s="1016"/>
      <c r="J34" s="1016"/>
      <c r="K34" s="1016"/>
      <c r="L34" s="1016"/>
    </row>
    <row r="35" spans="2:12" x14ac:dyDescent="0.2">
      <c r="B35" s="1016"/>
      <c r="C35" s="1016"/>
      <c r="D35" s="1016"/>
      <c r="E35" s="1016"/>
      <c r="F35" s="1016"/>
      <c r="G35" s="1016"/>
      <c r="H35" s="1016"/>
      <c r="I35" s="1016"/>
      <c r="J35" s="1016"/>
      <c r="K35" s="1016"/>
      <c r="L35" s="1016"/>
    </row>
    <row r="36" spans="2:12" x14ac:dyDescent="0.2">
      <c r="B36" s="1016"/>
      <c r="C36" s="1016"/>
      <c r="D36" s="1016"/>
      <c r="E36" s="1016"/>
      <c r="F36" s="1016"/>
      <c r="G36" s="1016"/>
      <c r="H36" s="1016"/>
      <c r="I36" s="1016"/>
      <c r="J36" s="1016"/>
      <c r="K36" s="1016"/>
      <c r="L36" s="1016"/>
    </row>
    <row r="37" spans="2:12" x14ac:dyDescent="0.2">
      <c r="B37" s="1016"/>
      <c r="C37" s="1016"/>
      <c r="D37" s="1016"/>
      <c r="E37" s="1016"/>
      <c r="F37" s="1016"/>
      <c r="G37" s="1016"/>
      <c r="H37" s="1016"/>
      <c r="I37" s="1016"/>
      <c r="J37" s="1016"/>
      <c r="K37" s="1016"/>
      <c r="L37" s="1016"/>
    </row>
    <row r="38" spans="2:12" x14ac:dyDescent="0.2">
      <c r="B38" s="1016"/>
      <c r="C38" s="1016"/>
      <c r="D38" s="1016"/>
      <c r="E38" s="1016"/>
      <c r="F38" s="1016"/>
      <c r="G38" s="1016"/>
      <c r="H38" s="1016"/>
      <c r="I38" s="1016"/>
      <c r="J38" s="1016"/>
      <c r="K38" s="1016"/>
      <c r="L38" s="1016"/>
    </row>
    <row r="39" spans="2:12" x14ac:dyDescent="0.2">
      <c r="B39" s="1016"/>
      <c r="C39" s="1016"/>
      <c r="D39" s="1016"/>
      <c r="E39" s="1016"/>
      <c r="F39" s="1016"/>
      <c r="G39" s="1016"/>
      <c r="H39" s="1016"/>
      <c r="I39" s="1016"/>
      <c r="J39" s="1016"/>
      <c r="K39" s="1016"/>
      <c r="L39" s="1016"/>
    </row>
    <row r="40" spans="2:12" x14ac:dyDescent="0.2">
      <c r="B40" s="1016"/>
      <c r="C40" s="1016"/>
      <c r="D40" s="1016"/>
      <c r="E40" s="1016"/>
      <c r="F40" s="1016"/>
      <c r="G40" s="1016"/>
      <c r="H40" s="1016"/>
      <c r="I40" s="1016"/>
      <c r="J40" s="1016"/>
      <c r="K40" s="1016"/>
      <c r="L40" s="1016"/>
    </row>
    <row r="41" spans="2:12" x14ac:dyDescent="0.2">
      <c r="B41" s="1016"/>
      <c r="C41" s="1016"/>
      <c r="D41" s="1016"/>
      <c r="E41" s="1016"/>
      <c r="F41" s="1016"/>
      <c r="G41" s="1016"/>
      <c r="H41" s="1016"/>
      <c r="I41" s="1016"/>
      <c r="J41" s="1016"/>
      <c r="K41" s="1016"/>
      <c r="L41" s="1016"/>
    </row>
    <row r="42" spans="2:12" x14ac:dyDescent="0.2">
      <c r="B42" s="1016"/>
      <c r="C42" s="1016"/>
      <c r="D42" s="1016"/>
      <c r="E42" s="1016"/>
      <c r="F42" s="1016"/>
      <c r="G42" s="1016"/>
      <c r="H42" s="1016"/>
      <c r="I42" s="1016"/>
      <c r="J42" s="1016"/>
      <c r="K42" s="1016"/>
      <c r="L42" s="1016"/>
    </row>
    <row r="43" spans="2:12" x14ac:dyDescent="0.2">
      <c r="B43" s="1016"/>
      <c r="C43" s="1016"/>
      <c r="D43" s="1016"/>
      <c r="E43" s="1016"/>
      <c r="F43" s="1016"/>
      <c r="G43" s="1016"/>
      <c r="H43" s="1016"/>
      <c r="I43" s="1016"/>
      <c r="J43" s="1016"/>
      <c r="K43" s="1016"/>
      <c r="L43" s="1016"/>
    </row>
    <row r="44" spans="2:12" x14ac:dyDescent="0.2">
      <c r="B44" s="1016"/>
      <c r="C44" s="1016"/>
      <c r="D44" s="1016"/>
      <c r="E44" s="1016"/>
      <c r="F44" s="1016"/>
      <c r="G44" s="1016"/>
      <c r="H44" s="1016"/>
      <c r="I44" s="1016"/>
      <c r="J44" s="1016"/>
      <c r="K44" s="1016"/>
      <c r="L44" s="1016"/>
    </row>
    <row r="45" spans="2:12" x14ac:dyDescent="0.2">
      <c r="B45" s="1016"/>
      <c r="C45" s="1016"/>
      <c r="D45" s="1016"/>
      <c r="E45" s="1016"/>
      <c r="F45" s="1016"/>
      <c r="G45" s="1016"/>
      <c r="H45" s="1016"/>
      <c r="I45" s="1016"/>
      <c r="J45" s="1016"/>
      <c r="K45" s="1016"/>
      <c r="L45" s="1016"/>
    </row>
    <row r="46" spans="2:12" x14ac:dyDescent="0.2">
      <c r="B46" s="1016"/>
      <c r="C46" s="1016"/>
      <c r="D46" s="1016"/>
      <c r="E46" s="1016"/>
      <c r="F46" s="1016"/>
      <c r="G46" s="1016"/>
      <c r="H46" s="1016"/>
      <c r="I46" s="1016"/>
      <c r="J46" s="1016"/>
      <c r="K46" s="1016"/>
      <c r="L46" s="1016"/>
    </row>
    <row r="47" spans="2:12" x14ac:dyDescent="0.2">
      <c r="B47" s="1016"/>
      <c r="C47" s="1016"/>
      <c r="D47" s="1016"/>
      <c r="E47" s="1016"/>
      <c r="F47" s="1016"/>
      <c r="G47" s="1016"/>
      <c r="H47" s="1016"/>
      <c r="I47" s="1016"/>
      <c r="J47" s="1016"/>
      <c r="K47" s="1016"/>
      <c r="L47" s="1016"/>
    </row>
    <row r="48" spans="2:12" x14ac:dyDescent="0.2">
      <c r="B48" s="1016"/>
      <c r="C48" s="1016"/>
      <c r="D48" s="1016"/>
      <c r="E48" s="1016"/>
      <c r="F48" s="1016"/>
      <c r="G48" s="1016"/>
      <c r="H48" s="1016"/>
      <c r="I48" s="1016"/>
      <c r="J48" s="1016"/>
      <c r="K48" s="1016"/>
      <c r="L48" s="1016"/>
    </row>
    <row r="49" spans="2:12" x14ac:dyDescent="0.2">
      <c r="B49" s="1016"/>
      <c r="C49" s="1016"/>
      <c r="D49" s="1016"/>
      <c r="E49" s="1016"/>
      <c r="F49" s="1016"/>
      <c r="G49" s="1016"/>
      <c r="H49" s="1016"/>
      <c r="I49" s="1016"/>
      <c r="J49" s="1016"/>
      <c r="K49" s="1016"/>
      <c r="L49" s="1016"/>
    </row>
    <row r="50" spans="2:12" x14ac:dyDescent="0.2">
      <c r="B50" s="987" t="s">
        <v>1248</v>
      </c>
      <c r="C50" s="987"/>
      <c r="D50" s="987"/>
      <c r="E50" s="987"/>
      <c r="F50" s="987"/>
      <c r="G50" s="987" t="s">
        <v>1494</v>
      </c>
      <c r="H50" s="987"/>
      <c r="I50" s="987"/>
      <c r="J50" s="987"/>
      <c r="K50" s="987"/>
      <c r="L50" s="987"/>
    </row>
    <row r="51" spans="2:12" x14ac:dyDescent="0.2">
      <c r="B51" s="54" t="s">
        <v>1423</v>
      </c>
      <c r="C51" s="988" t="s">
        <v>6</v>
      </c>
      <c r="D51" s="988"/>
      <c r="E51" s="988"/>
      <c r="F51" s="988"/>
      <c r="G51" s="988" t="s">
        <v>1424</v>
      </c>
      <c r="H51" s="988"/>
      <c r="I51" s="988"/>
      <c r="J51" s="54" t="s">
        <v>1425</v>
      </c>
      <c r="K51" s="54" t="s">
        <v>1495</v>
      </c>
      <c r="L51" s="54" t="s">
        <v>1427</v>
      </c>
    </row>
    <row r="52" spans="2:12" x14ac:dyDescent="0.2">
      <c r="B52" s="985" t="s">
        <v>1428</v>
      </c>
      <c r="C52" s="985" t="str">
        <f xml:space="preserve"> IF(ISBLANK(data_nome_estrutura),"",data_nome_estrutura)</f>
        <v>WSI 152.2553-RD-4042-6 Rev. 1</v>
      </c>
      <c r="D52" s="985"/>
      <c r="E52" s="985"/>
      <c r="F52" s="985"/>
      <c r="G52" s="1016" t="s">
        <v>1429</v>
      </c>
      <c r="H52" s="1016"/>
      <c r="I52" s="1016"/>
      <c r="J52" s="985" t="s">
        <v>1255</v>
      </c>
      <c r="K52" s="985" t="s">
        <v>1496</v>
      </c>
      <c r="L52" s="985" t="s">
        <v>1431</v>
      </c>
    </row>
    <row r="53" spans="2:12" x14ac:dyDescent="0.2">
      <c r="B53" s="985"/>
      <c r="C53" s="985"/>
      <c r="D53" s="985"/>
      <c r="E53" s="985"/>
      <c r="F53" s="985"/>
      <c r="G53" s="1016"/>
      <c r="H53" s="1016"/>
      <c r="I53" s="1016"/>
      <c r="J53" s="985"/>
      <c r="K53" s="985"/>
      <c r="L53" s="985"/>
    </row>
    <row r="54" spans="2:12" x14ac:dyDescent="0.2">
      <c r="B54" s="985" t="s">
        <v>1432</v>
      </c>
      <c r="C54" s="985" t="str">
        <f xml:space="preserve"> IF(ISBLANK(data_nome_vertebra),"",data_nome_vertebra)</f>
        <v>CB-BR1522553-00-01 Rev. 1</v>
      </c>
      <c r="D54" s="985"/>
      <c r="E54" s="985"/>
      <c r="F54" s="985"/>
      <c r="G54" s="1016" t="s">
        <v>1433</v>
      </c>
      <c r="H54" s="1016"/>
      <c r="I54" s="1016"/>
      <c r="J54" s="985" t="s">
        <v>1255</v>
      </c>
      <c r="K54" s="985">
        <v>0.5</v>
      </c>
      <c r="L54" s="985" t="s">
        <v>1434</v>
      </c>
    </row>
    <row r="55" spans="2:12" x14ac:dyDescent="0.2">
      <c r="B55" s="985"/>
      <c r="C55" s="985"/>
      <c r="D55" s="985"/>
      <c r="E55" s="985"/>
      <c r="F55" s="985"/>
      <c r="G55" s="1016"/>
      <c r="H55" s="1016"/>
      <c r="I55" s="1016"/>
      <c r="J55" s="985"/>
      <c r="K55" s="985"/>
      <c r="L55" s="985"/>
    </row>
    <row r="56" spans="2:12" x14ac:dyDescent="0.2">
      <c r="B56" s="985" t="s">
        <v>1435</v>
      </c>
      <c r="C56" s="985" t="str">
        <f xml:space="preserve"> IF(ISBLANK(data_nome_conector),"",data_nome_conector)</f>
        <v>CB-EF1522540-00-05 Rev. 4</v>
      </c>
      <c r="D56" s="985"/>
      <c r="E56" s="985"/>
      <c r="F56" s="985"/>
      <c r="G56" s="1016" t="s">
        <v>1436</v>
      </c>
      <c r="H56" s="1016"/>
      <c r="I56" s="1016"/>
      <c r="J56" s="985" t="s">
        <v>1414</v>
      </c>
      <c r="K56" s="985">
        <f>IF(ISBLANK(('MCV e Guindaste'!B8)*10^-3),"",('MCV e Guindaste'!B8)*10^-3)</f>
        <v>3.81</v>
      </c>
      <c r="L56" s="985" t="s">
        <v>1434</v>
      </c>
    </row>
    <row r="57" spans="2:12" x14ac:dyDescent="0.2">
      <c r="B57" s="985"/>
      <c r="C57" s="985"/>
      <c r="D57" s="985"/>
      <c r="E57" s="985"/>
      <c r="F57" s="985"/>
      <c r="G57" s="1016"/>
      <c r="H57" s="1016"/>
      <c r="I57" s="1016"/>
      <c r="J57" s="985"/>
      <c r="K57" s="985"/>
      <c r="L57" s="985"/>
    </row>
    <row r="58" spans="2:12" x14ac:dyDescent="0.2">
      <c r="B58" s="1017" t="s">
        <v>1437</v>
      </c>
      <c r="C58" s="996" t="str">
        <f>IF(ISBLANK(data_nome_mcv),"",data_nome_mcv)</f>
        <v>TechnipFMC / D</v>
      </c>
      <c r="D58" s="997"/>
      <c r="E58" s="997"/>
      <c r="F58" s="998"/>
      <c r="G58" s="1019" t="s">
        <v>1438</v>
      </c>
      <c r="H58" s="1020"/>
      <c r="I58" s="1021"/>
      <c r="J58" s="1017" t="s">
        <v>1414</v>
      </c>
      <c r="K58" s="1017">
        <f>IF(ISBLANK(Values!C27),"",(Values!C27))</f>
        <v>4.1399999999999997</v>
      </c>
      <c r="L58" s="1017" t="s">
        <v>1434</v>
      </c>
    </row>
    <row r="59" spans="2:12" x14ac:dyDescent="0.2">
      <c r="B59" s="1018"/>
      <c r="C59" s="999"/>
      <c r="D59" s="1000"/>
      <c r="E59" s="1000"/>
      <c r="F59" s="1001"/>
      <c r="G59" s="1022"/>
      <c r="H59" s="1023"/>
      <c r="I59" s="1024"/>
      <c r="J59" s="1018"/>
      <c r="K59" s="1018"/>
      <c r="L59" s="1018"/>
    </row>
    <row r="60" spans="2:12" x14ac:dyDescent="0.2">
      <c r="B60" s="985"/>
      <c r="C60" s="985"/>
      <c r="D60" s="985"/>
      <c r="E60" s="985"/>
      <c r="F60" s="985"/>
      <c r="G60" s="1016" t="s">
        <v>1439</v>
      </c>
      <c r="H60" s="1016"/>
      <c r="I60" s="1016"/>
      <c r="J60" s="985" t="s">
        <v>1414</v>
      </c>
      <c r="K60" s="1002">
        <f>IF(ISBLANK(Values!C13),"",(Values!C13))</f>
        <v>2.4</v>
      </c>
      <c r="L60" s="985" t="s">
        <v>1434</v>
      </c>
    </row>
    <row r="61" spans="2:12" x14ac:dyDescent="0.2">
      <c r="B61" s="985"/>
      <c r="C61" s="985"/>
      <c r="D61" s="985"/>
      <c r="E61" s="985"/>
      <c r="F61" s="985"/>
      <c r="G61" s="1016"/>
      <c r="H61" s="1016"/>
      <c r="I61" s="1016"/>
      <c r="J61" s="985"/>
      <c r="K61" s="1002"/>
      <c r="L61" s="985"/>
    </row>
    <row r="62" spans="2:12" x14ac:dyDescent="0.2">
      <c r="B62" s="985"/>
      <c r="C62" s="985"/>
      <c r="D62" s="985"/>
      <c r="E62" s="985"/>
      <c r="F62" s="985"/>
      <c r="G62" s="1016" t="s">
        <v>1440</v>
      </c>
      <c r="H62" s="1016"/>
      <c r="I62" s="1016"/>
      <c r="J62" s="985" t="s">
        <v>1414</v>
      </c>
      <c r="K62" s="985">
        <f>IF(ISBLANK(Values!C28),"N/A",(Values!C28))</f>
        <v>70</v>
      </c>
      <c r="L62" s="985" t="s">
        <v>1265</v>
      </c>
    </row>
    <row r="63" spans="2:12" x14ac:dyDescent="0.2">
      <c r="B63" s="985"/>
      <c r="C63" s="985"/>
      <c r="D63" s="985"/>
      <c r="E63" s="985"/>
      <c r="F63" s="985"/>
      <c r="G63" s="1016"/>
      <c r="H63" s="1016"/>
      <c r="I63" s="1016"/>
      <c r="J63" s="985"/>
      <c r="K63" s="985"/>
      <c r="L63" s="985"/>
    </row>
    <row r="64" spans="2:12" x14ac:dyDescent="0.2">
      <c r="B64" s="985"/>
      <c r="C64" s="985"/>
      <c r="D64" s="985"/>
      <c r="E64" s="985"/>
      <c r="F64" s="985"/>
      <c r="G64" s="1016" t="s">
        <v>1441</v>
      </c>
      <c r="H64" s="1016"/>
      <c r="I64" s="1016"/>
      <c r="J64" s="985" t="s">
        <v>1414</v>
      </c>
      <c r="K64" s="985">
        <f>IF(ISBLANK(Values!C29),"N/A",(Values!C29))</f>
        <v>34</v>
      </c>
      <c r="L64" s="985" t="s">
        <v>1268</v>
      </c>
    </row>
    <row r="65" spans="2:12" x14ac:dyDescent="0.2">
      <c r="B65" s="985"/>
      <c r="C65" s="985"/>
      <c r="D65" s="985"/>
      <c r="E65" s="985"/>
      <c r="F65" s="985"/>
      <c r="G65" s="1016"/>
      <c r="H65" s="1016"/>
      <c r="I65" s="1016"/>
      <c r="J65" s="985"/>
      <c r="K65" s="985"/>
      <c r="L65" s="985"/>
    </row>
    <row r="66" spans="2:12" x14ac:dyDescent="0.2">
      <c r="B66" s="987" t="s">
        <v>1497</v>
      </c>
      <c r="C66" s="987"/>
      <c r="D66" s="987"/>
      <c r="E66" s="987"/>
      <c r="F66" s="987"/>
      <c r="G66" s="987"/>
      <c r="H66" s="987"/>
      <c r="I66" s="987"/>
      <c r="J66" s="987"/>
      <c r="K66" s="987"/>
      <c r="L66" s="987"/>
    </row>
    <row r="67" spans="2:12" x14ac:dyDescent="0.2">
      <c r="B67" s="1015" t="s">
        <v>1498</v>
      </c>
      <c r="C67" s="1015"/>
      <c r="D67" s="1015"/>
      <c r="E67" s="1015"/>
      <c r="F67" s="1015"/>
      <c r="G67" s="1015"/>
      <c r="H67" s="1015"/>
      <c r="I67" s="1015"/>
      <c r="J67" s="1015"/>
      <c r="K67" s="1015"/>
      <c r="L67" s="1015"/>
    </row>
    <row r="68" spans="2:12" x14ac:dyDescent="0.2">
      <c r="B68" s="1015"/>
      <c r="C68" s="1015"/>
      <c r="D68" s="1015"/>
      <c r="E68" s="1015"/>
      <c r="F68" s="1015"/>
      <c r="G68" s="1015"/>
      <c r="H68" s="1015"/>
      <c r="I68" s="1015"/>
      <c r="J68" s="1015"/>
      <c r="K68" s="1015"/>
      <c r="L68" s="1015"/>
    </row>
    <row r="69" spans="2:12" x14ac:dyDescent="0.2">
      <c r="B69" s="1015"/>
      <c r="C69" s="1015"/>
      <c r="D69" s="1015"/>
      <c r="E69" s="1015"/>
      <c r="F69" s="1015"/>
      <c r="G69" s="1015"/>
      <c r="H69" s="1015"/>
      <c r="I69" s="1015"/>
      <c r="J69" s="1015"/>
      <c r="K69" s="1015"/>
      <c r="L69" s="1015"/>
    </row>
    <row r="70" spans="2:12" x14ac:dyDescent="0.2">
      <c r="B70" s="1015"/>
      <c r="C70" s="1015"/>
      <c r="D70" s="1015"/>
      <c r="E70" s="1015"/>
      <c r="F70" s="1015"/>
      <c r="G70" s="1015"/>
      <c r="H70" s="1015"/>
      <c r="I70" s="1015"/>
      <c r="J70" s="1015"/>
      <c r="K70" s="1015"/>
      <c r="L70" s="1015"/>
    </row>
    <row r="71" spans="2:12" x14ac:dyDescent="0.2">
      <c r="B71" s="1015"/>
      <c r="C71" s="1015"/>
      <c r="D71" s="1015"/>
      <c r="E71" s="1015"/>
      <c r="F71" s="1015"/>
      <c r="G71" s="1015"/>
      <c r="H71" s="1015"/>
      <c r="I71" s="1015"/>
      <c r="J71" s="1015"/>
      <c r="K71" s="1015"/>
      <c r="L71" s="1015"/>
    </row>
    <row r="72" spans="2:12" x14ac:dyDescent="0.2">
      <c r="B72" s="1015"/>
      <c r="C72" s="1015"/>
      <c r="D72" s="1015"/>
      <c r="E72" s="1015"/>
      <c r="F72" s="1015"/>
      <c r="G72" s="1015"/>
      <c r="H72" s="1015"/>
      <c r="I72" s="1015"/>
      <c r="J72" s="1015"/>
      <c r="K72" s="1015"/>
      <c r="L72" s="1015"/>
    </row>
    <row r="73" spans="2:12" x14ac:dyDescent="0.2"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</row>
    <row r="74" spans="2:12" x14ac:dyDescent="0.2">
      <c r="B74" s="1263" t="s">
        <v>1499</v>
      </c>
      <c r="C74" s="1263"/>
      <c r="D74" s="1263"/>
      <c r="E74" s="1263"/>
      <c r="F74" s="1263"/>
      <c r="G74" s="1263"/>
      <c r="H74" s="1263"/>
      <c r="I74" s="1263"/>
      <c r="J74" s="1263"/>
      <c r="K74" s="1263"/>
      <c r="L74" s="1263"/>
    </row>
    <row r="75" spans="2:12" ht="12.75" customHeight="1" x14ac:dyDescent="0.2">
      <c r="B75" s="1264"/>
      <c r="C75" s="1264"/>
      <c r="D75" s="1264"/>
      <c r="E75" s="1264"/>
      <c r="F75" s="1264"/>
      <c r="G75" s="1264"/>
      <c r="H75" s="1264"/>
      <c r="I75" s="1264"/>
      <c r="J75" s="1264"/>
      <c r="K75" s="1264"/>
      <c r="L75" s="1264"/>
    </row>
    <row r="76" spans="2:12" x14ac:dyDescent="0.2">
      <c r="B76" s="1262" t="s">
        <v>1500</v>
      </c>
      <c r="C76" s="1262"/>
      <c r="D76" s="1262"/>
      <c r="E76" s="1262"/>
      <c r="F76" s="1262"/>
      <c r="G76" s="1262"/>
      <c r="H76" s="1262"/>
      <c r="I76" s="1262"/>
      <c r="J76" s="1262"/>
      <c r="K76" s="1262"/>
      <c r="L76" s="1262"/>
    </row>
    <row r="77" spans="2:12" x14ac:dyDescent="0.2">
      <c r="B77" s="987" t="s">
        <v>1452</v>
      </c>
      <c r="C77" s="987"/>
      <c r="D77" s="987"/>
      <c r="E77" s="987"/>
      <c r="F77" s="987"/>
      <c r="G77" s="987"/>
      <c r="H77" s="987"/>
      <c r="I77" s="987"/>
      <c r="J77" s="987"/>
      <c r="K77" s="987"/>
      <c r="L77" s="987"/>
    </row>
    <row r="78" spans="2:12" x14ac:dyDescent="0.2">
      <c r="B78" s="988" t="s">
        <v>1376</v>
      </c>
      <c r="C78" s="988"/>
      <c r="D78" s="988" t="s">
        <v>1454</v>
      </c>
      <c r="E78" s="988"/>
      <c r="F78" s="988"/>
      <c r="G78" s="988" t="s">
        <v>1380</v>
      </c>
      <c r="H78" s="988"/>
      <c r="I78" s="988" t="s">
        <v>1455</v>
      </c>
      <c r="J78" s="988"/>
      <c r="K78" s="988" t="s">
        <v>1389</v>
      </c>
      <c r="L78" s="988"/>
    </row>
    <row r="79" spans="2:12" x14ac:dyDescent="0.2">
      <c r="B79" s="988"/>
      <c r="C79" s="988"/>
      <c r="D79" s="988"/>
      <c r="E79" s="988"/>
      <c r="F79" s="988"/>
      <c r="G79" s="988"/>
      <c r="H79" s="988"/>
      <c r="I79" s="988"/>
      <c r="J79" s="988"/>
      <c r="K79" s="988"/>
      <c r="L79" s="988"/>
    </row>
    <row r="80" spans="2:12" x14ac:dyDescent="0.2">
      <c r="B80" s="1002">
        <f>IF(ISBLANK(case2_est_dist_flange),"",(case2_est_dist_flange))</f>
        <v>0</v>
      </c>
      <c r="C80" s="1002"/>
      <c r="D80" s="985">
        <f>IF(ISBLANK(case2_est_sbed_clear_linha),"",(case2_est_sbed_clear_linha))</f>
        <v>0</v>
      </c>
      <c r="E80" s="985"/>
      <c r="F80" s="985"/>
      <c r="G80" s="985">
        <f>IF(ISBLANK(case2_est_inclinacao_mcv),"",(case2_est_inclinacao_mcv))</f>
        <v>0</v>
      </c>
      <c r="H80" s="985"/>
      <c r="I80" s="985">
        <f>IF(ISBLANK(case2_est_mbr_linha), "", (case2_est_mbr_linha))</f>
        <v>0</v>
      </c>
      <c r="J80" s="985"/>
      <c r="K80" s="1013" t="str">
        <f>IF(case2_est_mbr_vert&lt;=K58,_xlfn.CONCAT(K58," ","(*Vértebra Travada)"),case2_est_mbr_vert)</f>
        <v>4,14 (*Vértebra Travada)</v>
      </c>
      <c r="L80" s="1013"/>
    </row>
    <row r="81" spans="2:12" x14ac:dyDescent="0.2">
      <c r="B81" s="1002"/>
      <c r="C81" s="1002"/>
      <c r="D81" s="985"/>
      <c r="E81" s="985"/>
      <c r="F81" s="985"/>
      <c r="G81" s="985"/>
      <c r="H81" s="985"/>
      <c r="I81" s="985"/>
      <c r="J81" s="985"/>
      <c r="K81" s="1013"/>
      <c r="L81" s="1013"/>
    </row>
    <row r="82" spans="2:12" x14ac:dyDescent="0.2">
      <c r="B82" s="1269" t="s">
        <v>1459</v>
      </c>
      <c r="C82" s="1270"/>
      <c r="D82" s="1270"/>
      <c r="E82" s="1270"/>
      <c r="F82" s="1270"/>
      <c r="G82" s="1270"/>
      <c r="H82" s="1270"/>
      <c r="I82" s="1270"/>
      <c r="J82" s="1270"/>
      <c r="K82" s="1270"/>
      <c r="L82" s="1271"/>
    </row>
    <row r="83" spans="2:12" x14ac:dyDescent="0.2">
      <c r="B83" s="1266" t="s">
        <v>1387</v>
      </c>
      <c r="C83" s="1267"/>
      <c r="D83" s="1267"/>
      <c r="E83" s="1267"/>
      <c r="F83" s="1268"/>
      <c r="G83" s="993" t="s">
        <v>1388</v>
      </c>
      <c r="H83" s="994"/>
      <c r="I83" s="994"/>
      <c r="J83" s="994"/>
      <c r="K83" s="994"/>
      <c r="L83" s="995"/>
    </row>
    <row r="84" spans="2:12" x14ac:dyDescent="0.2">
      <c r="B84" s="1007">
        <f>IF(ISBLANK(case2_est_bm_vert),"",(case2_est_bm_vert))</f>
        <v>0</v>
      </c>
      <c r="C84" s="1008"/>
      <c r="D84" s="1008"/>
      <c r="E84" s="1008"/>
      <c r="F84" s="1009"/>
      <c r="G84" s="996">
        <f>IF(ISBLANK(case2_est_sf_vert),"",(case2_est_sf_vert))</f>
        <v>0</v>
      </c>
      <c r="H84" s="997"/>
      <c r="I84" s="997"/>
      <c r="J84" s="997"/>
      <c r="K84" s="997"/>
      <c r="L84" s="998"/>
    </row>
    <row r="85" spans="2:12" x14ac:dyDescent="0.2">
      <c r="B85" s="1010"/>
      <c r="C85" s="1011"/>
      <c r="D85" s="1011"/>
      <c r="E85" s="1011"/>
      <c r="F85" s="1012"/>
      <c r="G85" s="999"/>
      <c r="H85" s="1000"/>
      <c r="I85" s="1000"/>
      <c r="J85" s="1000"/>
      <c r="K85" s="1000"/>
      <c r="L85" s="1001"/>
    </row>
    <row r="86" spans="2:12" x14ac:dyDescent="0.2">
      <c r="B86" s="987" t="s">
        <v>1460</v>
      </c>
      <c r="C86" s="987"/>
      <c r="D86" s="987"/>
      <c r="E86" s="987"/>
      <c r="F86" s="987"/>
      <c r="G86" s="987"/>
      <c r="H86" s="987"/>
      <c r="I86" s="987"/>
      <c r="J86" s="987"/>
      <c r="K86" s="987"/>
      <c r="L86" s="987"/>
    </row>
    <row r="87" spans="2:12" x14ac:dyDescent="0.2">
      <c r="B87" s="988" t="s">
        <v>1369</v>
      </c>
      <c r="C87" s="988"/>
      <c r="D87" s="988"/>
      <c r="E87" s="988"/>
      <c r="F87" s="988" t="s">
        <v>1461</v>
      </c>
      <c r="G87" s="988"/>
      <c r="H87" s="988"/>
      <c r="I87" s="988" t="s">
        <v>1462</v>
      </c>
      <c r="J87" s="988"/>
      <c r="K87" s="988"/>
      <c r="L87" s="988"/>
    </row>
    <row r="88" spans="2:12" x14ac:dyDescent="0.2">
      <c r="B88" s="1002">
        <f>IF(ISBLANK(case2_est_ey_moment),"",(case2_est_ey_moment))</f>
        <v>0</v>
      </c>
      <c r="C88" s="1002"/>
      <c r="D88" s="1002"/>
      <c r="E88" s="1002"/>
      <c r="F88" s="985">
        <f>IF(ISBLANK(case2_est_ez_axial),"",(case2_est_ez_axial))</f>
        <v>0</v>
      </c>
      <c r="G88" s="985"/>
      <c r="H88" s="985"/>
      <c r="I88" s="985">
        <f>IF(ISBLANK(case2_est_ex_shear_force),"",(case2_est_ex_shear_force))</f>
        <v>0</v>
      </c>
      <c r="J88" s="985"/>
      <c r="K88" s="985"/>
      <c r="L88" s="985"/>
    </row>
    <row r="89" spans="2:12" x14ac:dyDescent="0.2">
      <c r="B89" s="1002"/>
      <c r="C89" s="1002"/>
      <c r="D89" s="1002"/>
      <c r="E89" s="1002"/>
      <c r="F89" s="985"/>
      <c r="G89" s="985"/>
      <c r="H89" s="985"/>
      <c r="I89" s="985"/>
      <c r="J89" s="985"/>
      <c r="K89" s="985"/>
      <c r="L89" s="985"/>
    </row>
    <row r="90" spans="2:12" x14ac:dyDescent="0.2">
      <c r="B90" s="1166" t="s">
        <v>1456</v>
      </c>
      <c r="C90" s="1164"/>
      <c r="D90" s="1164"/>
      <c r="E90" s="1164"/>
      <c r="F90" s="1164"/>
      <c r="G90" s="1164"/>
      <c r="H90" s="1164"/>
      <c r="I90" s="1164"/>
      <c r="J90" s="1164"/>
      <c r="K90" s="1164"/>
      <c r="L90" s="1165"/>
    </row>
    <row r="91" spans="2:12" x14ac:dyDescent="0.2">
      <c r="B91" s="1258" t="s">
        <v>1377</v>
      </c>
      <c r="C91" s="1277"/>
      <c r="D91" s="1259"/>
      <c r="E91" s="1258" t="s">
        <v>1457</v>
      </c>
      <c r="F91" s="1277"/>
      <c r="G91" s="1259"/>
      <c r="H91" s="1258" t="s">
        <v>1458</v>
      </c>
      <c r="I91" s="1277"/>
      <c r="J91" s="1259"/>
      <c r="K91" s="1258" t="s">
        <v>1379</v>
      </c>
      <c r="L91" s="1259"/>
    </row>
    <row r="92" spans="2:12" x14ac:dyDescent="0.2">
      <c r="B92" s="1260"/>
      <c r="C92" s="1278"/>
      <c r="D92" s="1261"/>
      <c r="E92" s="1260"/>
      <c r="F92" s="1278"/>
      <c r="G92" s="1261"/>
      <c r="H92" s="1260"/>
      <c r="I92" s="1278"/>
      <c r="J92" s="1261"/>
      <c r="K92" s="1260"/>
      <c r="L92" s="1261"/>
    </row>
    <row r="93" spans="2:12" x14ac:dyDescent="0.2">
      <c r="B93" s="996" t="str">
        <f>IF(ISBLANK(case2_est_dist_tdp_flange),"",(case2_est_dist_tdp_flange))</f>
        <v>IGNORAR</v>
      </c>
      <c r="C93" s="997"/>
      <c r="D93" s="998"/>
      <c r="E93" s="996" t="str">
        <f>_xlfn.CONCAT("[",case2_est_position_corc1,";",case2_est_position_corc2,"]")</f>
        <v>[0;0]</v>
      </c>
      <c r="F93" s="997"/>
      <c r="G93" s="998"/>
      <c r="H93" s="1007" t="str">
        <f>IF(ISBLANK(case2_est_comp_susp),"",(case2_est_comp_susp))</f>
        <v>IGNORAR</v>
      </c>
      <c r="I93" s="997"/>
      <c r="J93" s="998"/>
      <c r="K93" s="1007" t="str">
        <f>IF(ISBLANK(case2_est_altura_corc), "", case2_est_altura_corc)</f>
        <v>IGNORAR</v>
      </c>
      <c r="L93" s="998"/>
    </row>
    <row r="94" spans="2:12" x14ac:dyDescent="0.2">
      <c r="B94" s="999"/>
      <c r="C94" s="1000"/>
      <c r="D94" s="1001"/>
      <c r="E94" s="999"/>
      <c r="F94" s="1000"/>
      <c r="G94" s="1001"/>
      <c r="H94" s="999"/>
      <c r="I94" s="1000"/>
      <c r="J94" s="1001"/>
      <c r="K94" s="999"/>
      <c r="L94" s="1001"/>
    </row>
    <row r="95" spans="2:12" x14ac:dyDescent="0.2">
      <c r="B95" s="184"/>
      <c r="C95" s="184"/>
      <c r="D95" s="184"/>
      <c r="E95" s="184"/>
      <c r="F95" s="184"/>
      <c r="G95" s="184"/>
      <c r="H95" s="184"/>
      <c r="I95" s="184"/>
      <c r="J95" s="184"/>
      <c r="K95" s="184"/>
      <c r="L95" s="184"/>
    </row>
    <row r="96" spans="2:12" x14ac:dyDescent="0.2">
      <c r="B96" s="987" t="s">
        <v>1501</v>
      </c>
      <c r="C96" s="987"/>
      <c r="D96" s="987"/>
      <c r="E96" s="987"/>
      <c r="F96" s="987"/>
      <c r="G96" s="987"/>
      <c r="H96" s="987"/>
      <c r="I96" s="987"/>
      <c r="J96" s="987"/>
      <c r="K96" s="987"/>
      <c r="L96" s="987"/>
    </row>
    <row r="97" spans="2:12" x14ac:dyDescent="0.2">
      <c r="B97" s="996"/>
      <c r="C97" s="997"/>
      <c r="D97" s="997"/>
      <c r="E97" s="997"/>
      <c r="F97" s="997"/>
      <c r="G97" s="997"/>
      <c r="H97" s="997"/>
      <c r="I97" s="997"/>
      <c r="J97" s="997"/>
      <c r="K97" s="997"/>
      <c r="L97" s="998"/>
    </row>
    <row r="98" spans="2:12" x14ac:dyDescent="0.2">
      <c r="B98" s="1145"/>
      <c r="C98" s="1055"/>
      <c r="D98" s="1055"/>
      <c r="E98" s="1055"/>
      <c r="F98" s="1055"/>
      <c r="G98" s="1055"/>
      <c r="H98" s="1055"/>
      <c r="I98" s="1055"/>
      <c r="J98" s="1055"/>
      <c r="K98" s="1055"/>
      <c r="L98" s="1265"/>
    </row>
    <row r="99" spans="2:12" x14ac:dyDescent="0.2">
      <c r="B99" s="1145"/>
      <c r="C99" s="1055"/>
      <c r="D99" s="1055"/>
      <c r="E99" s="1055"/>
      <c r="F99" s="1055"/>
      <c r="G99" s="1055"/>
      <c r="H99" s="1055"/>
      <c r="I99" s="1055"/>
      <c r="J99" s="1055"/>
      <c r="K99" s="1055"/>
      <c r="L99" s="1265"/>
    </row>
    <row r="100" spans="2:12" x14ac:dyDescent="0.2">
      <c r="B100" s="1145"/>
      <c r="C100" s="1055"/>
      <c r="D100" s="1055"/>
      <c r="E100" s="1055"/>
      <c r="F100" s="1055"/>
      <c r="G100" s="1055"/>
      <c r="H100" s="1055"/>
      <c r="I100" s="1055"/>
      <c r="J100" s="1055"/>
      <c r="K100" s="1055"/>
      <c r="L100" s="1265"/>
    </row>
    <row r="101" spans="2:12" x14ac:dyDescent="0.2">
      <c r="B101" s="1145"/>
      <c r="C101" s="1055"/>
      <c r="D101" s="1055"/>
      <c r="E101" s="1055"/>
      <c r="F101" s="1055"/>
      <c r="G101" s="1055"/>
      <c r="H101" s="1055"/>
      <c r="I101" s="1055"/>
      <c r="J101" s="1055"/>
      <c r="K101" s="1055"/>
      <c r="L101" s="1265"/>
    </row>
    <row r="102" spans="2:12" x14ac:dyDescent="0.2">
      <c r="B102" s="1145"/>
      <c r="C102" s="1055"/>
      <c r="D102" s="1055"/>
      <c r="E102" s="1055"/>
      <c r="F102" s="1055"/>
      <c r="G102" s="1055"/>
      <c r="H102" s="1055"/>
      <c r="I102" s="1055"/>
      <c r="J102" s="1055"/>
      <c r="K102" s="1055"/>
      <c r="L102" s="1265"/>
    </row>
    <row r="103" spans="2:12" x14ac:dyDescent="0.2">
      <c r="B103" s="1145"/>
      <c r="C103" s="1055"/>
      <c r="D103" s="1055"/>
      <c r="E103" s="1055"/>
      <c r="F103" s="1055"/>
      <c r="G103" s="1055"/>
      <c r="H103" s="1055"/>
      <c r="I103" s="1055"/>
      <c r="J103" s="1055"/>
      <c r="K103" s="1055"/>
      <c r="L103" s="1265"/>
    </row>
    <row r="104" spans="2:12" x14ac:dyDescent="0.2">
      <c r="B104" s="1145"/>
      <c r="C104" s="1055"/>
      <c r="D104" s="1055"/>
      <c r="E104" s="1055"/>
      <c r="F104" s="1055"/>
      <c r="G104" s="1055"/>
      <c r="H104" s="1055"/>
      <c r="I104" s="1055"/>
      <c r="J104" s="1055"/>
      <c r="K104" s="1055"/>
      <c r="L104" s="1265"/>
    </row>
    <row r="105" spans="2:12" x14ac:dyDescent="0.2">
      <c r="B105" s="1145"/>
      <c r="C105" s="1055"/>
      <c r="D105" s="1055"/>
      <c r="E105" s="1055"/>
      <c r="F105" s="1055"/>
      <c r="G105" s="1055"/>
      <c r="H105" s="1055"/>
      <c r="I105" s="1055"/>
      <c r="J105" s="1055"/>
      <c r="K105" s="1055"/>
      <c r="L105" s="1265"/>
    </row>
    <row r="106" spans="2:12" x14ac:dyDescent="0.2">
      <c r="B106" s="1145"/>
      <c r="C106" s="1055"/>
      <c r="D106" s="1055"/>
      <c r="E106" s="1055"/>
      <c r="F106" s="1055"/>
      <c r="G106" s="1055"/>
      <c r="H106" s="1055"/>
      <c r="I106" s="1055"/>
      <c r="J106" s="1055"/>
      <c r="K106" s="1055"/>
      <c r="L106" s="1265"/>
    </row>
    <row r="107" spans="2:12" x14ac:dyDescent="0.2">
      <c r="B107" s="1145"/>
      <c r="C107" s="1055"/>
      <c r="D107" s="1055"/>
      <c r="E107" s="1055"/>
      <c r="F107" s="1055"/>
      <c r="G107" s="1055"/>
      <c r="H107" s="1055"/>
      <c r="I107" s="1055"/>
      <c r="J107" s="1055"/>
      <c r="K107" s="1055"/>
      <c r="L107" s="1265"/>
    </row>
    <row r="108" spans="2:12" x14ac:dyDescent="0.2">
      <c r="B108" s="1145"/>
      <c r="C108" s="1055"/>
      <c r="D108" s="1055"/>
      <c r="E108" s="1055"/>
      <c r="F108" s="1055"/>
      <c r="G108" s="1055"/>
      <c r="H108" s="1055"/>
      <c r="I108" s="1055"/>
      <c r="J108" s="1055"/>
      <c r="K108" s="1055"/>
      <c r="L108" s="1265"/>
    </row>
    <row r="109" spans="2:12" x14ac:dyDescent="0.2">
      <c r="B109" s="1145"/>
      <c r="C109" s="1055"/>
      <c r="D109" s="1055"/>
      <c r="E109" s="1055"/>
      <c r="F109" s="1055"/>
      <c r="G109" s="1055"/>
      <c r="H109" s="1055"/>
      <c r="I109" s="1055"/>
      <c r="J109" s="1055"/>
      <c r="K109" s="1055"/>
      <c r="L109" s="1265"/>
    </row>
    <row r="110" spans="2:12" x14ac:dyDescent="0.2">
      <c r="B110" s="1145"/>
      <c r="C110" s="1055"/>
      <c r="D110" s="1055"/>
      <c r="E110" s="1055"/>
      <c r="F110" s="1055"/>
      <c r="G110" s="1055"/>
      <c r="H110" s="1055"/>
      <c r="I110" s="1055"/>
      <c r="J110" s="1055"/>
      <c r="K110" s="1055"/>
      <c r="L110" s="1265"/>
    </row>
    <row r="111" spans="2:12" x14ac:dyDescent="0.2">
      <c r="B111" s="1145"/>
      <c r="C111" s="1055"/>
      <c r="D111" s="1055"/>
      <c r="E111" s="1055"/>
      <c r="F111" s="1055"/>
      <c r="G111" s="1055"/>
      <c r="H111" s="1055"/>
      <c r="I111" s="1055"/>
      <c r="J111" s="1055"/>
      <c r="K111" s="1055"/>
      <c r="L111" s="1265"/>
    </row>
    <row r="112" spans="2:12" x14ac:dyDescent="0.2">
      <c r="B112" s="1145"/>
      <c r="C112" s="1055"/>
      <c r="D112" s="1055"/>
      <c r="E112" s="1055"/>
      <c r="F112" s="1055"/>
      <c r="G112" s="1055"/>
      <c r="H112" s="1055"/>
      <c r="I112" s="1055"/>
      <c r="J112" s="1055"/>
      <c r="K112" s="1055"/>
      <c r="L112" s="1265"/>
    </row>
    <row r="113" spans="2:12" x14ac:dyDescent="0.2">
      <c r="B113" s="1145"/>
      <c r="C113" s="1055"/>
      <c r="D113" s="1055"/>
      <c r="E113" s="1055"/>
      <c r="F113" s="1055"/>
      <c r="G113" s="1055"/>
      <c r="H113" s="1055"/>
      <c r="I113" s="1055"/>
      <c r="J113" s="1055"/>
      <c r="K113" s="1055"/>
      <c r="L113" s="1265"/>
    </row>
    <row r="114" spans="2:12" x14ac:dyDescent="0.2">
      <c r="B114" s="1145"/>
      <c r="C114" s="1055"/>
      <c r="D114" s="1055"/>
      <c r="E114" s="1055"/>
      <c r="F114" s="1055"/>
      <c r="G114" s="1055"/>
      <c r="H114" s="1055"/>
      <c r="I114" s="1055"/>
      <c r="J114" s="1055"/>
      <c r="K114" s="1055"/>
      <c r="L114" s="1265"/>
    </row>
    <row r="115" spans="2:12" x14ac:dyDescent="0.2">
      <c r="B115" s="1145"/>
      <c r="C115" s="1055"/>
      <c r="D115" s="1055"/>
      <c r="E115" s="1055"/>
      <c r="F115" s="1055"/>
      <c r="G115" s="1055"/>
      <c r="H115" s="1055"/>
      <c r="I115" s="1055"/>
      <c r="J115" s="1055"/>
      <c r="K115" s="1055"/>
      <c r="L115" s="1265"/>
    </row>
    <row r="116" spans="2:12" x14ac:dyDescent="0.2">
      <c r="B116" s="1145"/>
      <c r="C116" s="1055"/>
      <c r="D116" s="1055"/>
      <c r="E116" s="1055"/>
      <c r="F116" s="1055"/>
      <c r="G116" s="1055"/>
      <c r="H116" s="1055"/>
      <c r="I116" s="1055"/>
      <c r="J116" s="1055"/>
      <c r="K116" s="1055"/>
      <c r="L116" s="1265"/>
    </row>
    <row r="117" spans="2:12" x14ac:dyDescent="0.2">
      <c r="B117" s="1145"/>
      <c r="C117" s="1055"/>
      <c r="D117" s="1055"/>
      <c r="E117" s="1055"/>
      <c r="F117" s="1055"/>
      <c r="G117" s="1055"/>
      <c r="H117" s="1055"/>
      <c r="I117" s="1055"/>
      <c r="J117" s="1055"/>
      <c r="K117" s="1055"/>
      <c r="L117" s="1265"/>
    </row>
    <row r="118" spans="2:12" x14ac:dyDescent="0.2">
      <c r="B118" s="1145"/>
      <c r="C118" s="1055"/>
      <c r="D118" s="1055"/>
      <c r="E118" s="1055"/>
      <c r="F118" s="1055"/>
      <c r="G118" s="1055"/>
      <c r="H118" s="1055"/>
      <c r="I118" s="1055"/>
      <c r="J118" s="1055"/>
      <c r="K118" s="1055"/>
      <c r="L118" s="1265"/>
    </row>
    <row r="119" spans="2:12" x14ac:dyDescent="0.2">
      <c r="B119" s="1145"/>
      <c r="C119" s="1055"/>
      <c r="D119" s="1055"/>
      <c r="E119" s="1055"/>
      <c r="F119" s="1055"/>
      <c r="G119" s="1055"/>
      <c r="H119" s="1055"/>
      <c r="I119" s="1055"/>
      <c r="J119" s="1055"/>
      <c r="K119" s="1055"/>
      <c r="L119" s="1265"/>
    </row>
    <row r="120" spans="2:12" x14ac:dyDescent="0.2">
      <c r="B120" s="1145"/>
      <c r="C120" s="1055"/>
      <c r="D120" s="1055"/>
      <c r="E120" s="1055"/>
      <c r="F120" s="1055"/>
      <c r="G120" s="1055"/>
      <c r="H120" s="1055"/>
      <c r="I120" s="1055"/>
      <c r="J120" s="1055"/>
      <c r="K120" s="1055"/>
      <c r="L120" s="1265"/>
    </row>
    <row r="121" spans="2:12" x14ac:dyDescent="0.2">
      <c r="B121" s="1145"/>
      <c r="C121" s="1055"/>
      <c r="D121" s="1055"/>
      <c r="E121" s="1055"/>
      <c r="F121" s="1055"/>
      <c r="G121" s="1055"/>
      <c r="H121" s="1055"/>
      <c r="I121" s="1055"/>
      <c r="J121" s="1055"/>
      <c r="K121" s="1055"/>
      <c r="L121" s="1265"/>
    </row>
    <row r="122" spans="2:12" x14ac:dyDescent="0.2">
      <c r="B122" s="1145"/>
      <c r="C122" s="1055"/>
      <c r="D122" s="1055"/>
      <c r="E122" s="1055"/>
      <c r="F122" s="1055"/>
      <c r="G122" s="1055"/>
      <c r="H122" s="1055"/>
      <c r="I122" s="1055"/>
      <c r="J122" s="1055"/>
      <c r="K122" s="1055"/>
      <c r="L122" s="1265"/>
    </row>
    <row r="123" spans="2:12" x14ac:dyDescent="0.2">
      <c r="B123" s="1145"/>
      <c r="C123" s="1055"/>
      <c r="D123" s="1055"/>
      <c r="E123" s="1055"/>
      <c r="F123" s="1055"/>
      <c r="G123" s="1055"/>
      <c r="H123" s="1055"/>
      <c r="I123" s="1055"/>
      <c r="J123" s="1055"/>
      <c r="K123" s="1055"/>
      <c r="L123" s="1265"/>
    </row>
    <row r="124" spans="2:12" x14ac:dyDescent="0.2">
      <c r="B124" s="1145"/>
      <c r="C124" s="1055"/>
      <c r="D124" s="1055"/>
      <c r="E124" s="1055"/>
      <c r="F124" s="1055"/>
      <c r="G124" s="1055"/>
      <c r="H124" s="1055"/>
      <c r="I124" s="1055"/>
      <c r="J124" s="1055"/>
      <c r="K124" s="1055"/>
      <c r="L124" s="1265"/>
    </row>
    <row r="125" spans="2:12" x14ac:dyDescent="0.2">
      <c r="B125" s="1145"/>
      <c r="C125" s="1055"/>
      <c r="D125" s="1055"/>
      <c r="E125" s="1055"/>
      <c r="F125" s="1055"/>
      <c r="G125" s="1055"/>
      <c r="H125" s="1055"/>
      <c r="I125" s="1055"/>
      <c r="J125" s="1055"/>
      <c r="K125" s="1055"/>
      <c r="L125" s="1265"/>
    </row>
    <row r="126" spans="2:12" x14ac:dyDescent="0.2">
      <c r="B126" s="1145"/>
      <c r="C126" s="1055"/>
      <c r="D126" s="1055"/>
      <c r="E126" s="1055"/>
      <c r="F126" s="1055"/>
      <c r="G126" s="1055"/>
      <c r="H126" s="1055"/>
      <c r="I126" s="1055"/>
      <c r="J126" s="1055"/>
      <c r="K126" s="1055"/>
      <c r="L126" s="1265"/>
    </row>
    <row r="127" spans="2:12" x14ac:dyDescent="0.2">
      <c r="B127" s="1145"/>
      <c r="C127" s="1055"/>
      <c r="D127" s="1055"/>
      <c r="E127" s="1055"/>
      <c r="F127" s="1055"/>
      <c r="G127" s="1055"/>
      <c r="H127" s="1055"/>
      <c r="I127" s="1055"/>
      <c r="J127" s="1055"/>
      <c r="K127" s="1055"/>
      <c r="L127" s="1265"/>
    </row>
    <row r="128" spans="2:12" x14ac:dyDescent="0.2">
      <c r="B128" s="1145"/>
      <c r="C128" s="1055"/>
      <c r="D128" s="1055"/>
      <c r="E128" s="1055"/>
      <c r="F128" s="1055"/>
      <c r="G128" s="1055"/>
      <c r="H128" s="1055"/>
      <c r="I128" s="1055"/>
      <c r="J128" s="1055"/>
      <c r="K128" s="1055"/>
      <c r="L128" s="1265"/>
    </row>
    <row r="129" spans="2:12" x14ac:dyDescent="0.2">
      <c r="B129" s="1145"/>
      <c r="C129" s="1055"/>
      <c r="D129" s="1055"/>
      <c r="E129" s="1055"/>
      <c r="F129" s="1055"/>
      <c r="G129" s="1055"/>
      <c r="H129" s="1055"/>
      <c r="I129" s="1055"/>
      <c r="J129" s="1055"/>
      <c r="K129" s="1055"/>
      <c r="L129" s="1265"/>
    </row>
    <row r="130" spans="2:12" x14ac:dyDescent="0.2">
      <c r="B130" s="1145"/>
      <c r="C130" s="1055"/>
      <c r="D130" s="1055"/>
      <c r="E130" s="1055"/>
      <c r="F130" s="1055"/>
      <c r="G130" s="1055"/>
      <c r="H130" s="1055"/>
      <c r="I130" s="1055"/>
      <c r="J130" s="1055"/>
      <c r="K130" s="1055"/>
      <c r="L130" s="1265"/>
    </row>
    <row r="131" spans="2:12" x14ac:dyDescent="0.2">
      <c r="B131" s="1262" t="s">
        <v>1502</v>
      </c>
      <c r="C131" s="1262"/>
      <c r="D131" s="1262"/>
      <c r="E131" s="1262"/>
      <c r="F131" s="1262"/>
      <c r="G131" s="1262"/>
      <c r="H131" s="1262"/>
      <c r="I131" s="1262"/>
      <c r="J131" s="1262"/>
      <c r="K131" s="1262"/>
      <c r="L131" s="1262"/>
    </row>
    <row r="132" spans="2:12" x14ac:dyDescent="0.2">
      <c r="B132" s="987" t="s">
        <v>1469</v>
      </c>
      <c r="C132" s="987"/>
      <c r="D132" s="987"/>
      <c r="E132" s="987"/>
      <c r="F132" s="987"/>
      <c r="G132" s="987"/>
      <c r="H132" s="987"/>
      <c r="I132" s="987"/>
      <c r="J132" s="987"/>
      <c r="K132" s="987"/>
      <c r="L132" s="987"/>
    </row>
    <row r="133" spans="2:12" ht="12.75" customHeight="1" x14ac:dyDescent="0.2">
      <c r="B133" s="993" t="s">
        <v>1470</v>
      </c>
      <c r="C133" s="994"/>
      <c r="D133" s="994" t="s">
        <v>1444</v>
      </c>
      <c r="E133" s="994"/>
      <c r="F133" s="994" t="s">
        <v>1389</v>
      </c>
      <c r="G133" s="994"/>
      <c r="H133" s="994"/>
      <c r="I133" s="994" t="s">
        <v>1503</v>
      </c>
      <c r="J133" s="994"/>
      <c r="K133" s="994"/>
      <c r="L133" s="995"/>
    </row>
    <row r="134" spans="2:12" ht="12.75" customHeight="1" x14ac:dyDescent="0.2">
      <c r="B134" s="1002">
        <f>case3i_din_heave_up</f>
        <v>0</v>
      </c>
      <c r="C134" s="1002"/>
      <c r="D134" s="985">
        <f>case3i_din_mbr_linha</f>
        <v>0</v>
      </c>
      <c r="E134" s="985"/>
      <c r="F134" s="1017">
        <f>case3i_din_mbr_vert</f>
        <v>0</v>
      </c>
      <c r="G134" s="1017"/>
      <c r="H134" s="1017"/>
      <c r="I134" s="1017" t="str">
        <f>_xlfn.CONCAT("[",case3i_din_axial_force_cabr1,";",case3i_din_axial_force_cabr2,"]")</f>
        <v>[0;0]</v>
      </c>
      <c r="J134" s="1017"/>
      <c r="K134" s="1017"/>
      <c r="L134" s="1017"/>
    </row>
    <row r="135" spans="2:12" x14ac:dyDescent="0.2">
      <c r="B135" s="1002"/>
      <c r="C135" s="1002"/>
      <c r="D135" s="985"/>
      <c r="E135" s="985"/>
      <c r="F135" s="1018"/>
      <c r="G135" s="1018"/>
      <c r="H135" s="1018"/>
      <c r="I135" s="1018"/>
      <c r="J135" s="1018"/>
      <c r="K135" s="1018"/>
      <c r="L135" s="1018"/>
    </row>
    <row r="136" spans="2:12" x14ac:dyDescent="0.2">
      <c r="B136" s="1273" t="s">
        <v>1472</v>
      </c>
      <c r="C136" s="1273"/>
      <c r="D136" s="1273"/>
      <c r="E136" s="1273"/>
      <c r="F136" s="1273"/>
      <c r="G136" s="1273"/>
      <c r="H136" s="1273"/>
      <c r="I136" s="1273"/>
      <c r="J136" s="1273"/>
      <c r="K136" s="1273"/>
      <c r="L136" s="1273"/>
    </row>
    <row r="137" spans="2:12" x14ac:dyDescent="0.2">
      <c r="B137" s="988" t="s">
        <v>1311</v>
      </c>
      <c r="C137" s="988"/>
      <c r="D137" s="988" t="s">
        <v>1369</v>
      </c>
      <c r="E137" s="988"/>
      <c r="F137" s="988"/>
      <c r="G137" s="988" t="s">
        <v>1461</v>
      </c>
      <c r="H137" s="988"/>
      <c r="I137" s="988"/>
      <c r="J137" s="988" t="s">
        <v>1462</v>
      </c>
      <c r="K137" s="988"/>
      <c r="L137" s="988"/>
    </row>
    <row r="138" spans="2:12" x14ac:dyDescent="0.2">
      <c r="B138" s="985" t="s">
        <v>1476</v>
      </c>
      <c r="C138" s="985"/>
      <c r="D138" s="985">
        <f>case3i_din_ey_moment_max</f>
        <v>0</v>
      </c>
      <c r="E138" s="985"/>
      <c r="F138" s="985"/>
      <c r="G138" s="1002">
        <f>case3i_din_ez_axial_max</f>
        <v>0</v>
      </c>
      <c r="H138" s="1002"/>
      <c r="I138" s="1002"/>
      <c r="J138" s="985">
        <f>case3i_din_ex_shear_force_max</f>
        <v>0</v>
      </c>
      <c r="K138" s="985"/>
      <c r="L138" s="985"/>
    </row>
    <row r="139" spans="2:12" x14ac:dyDescent="0.2">
      <c r="B139" s="985"/>
      <c r="C139" s="985"/>
      <c r="D139" s="985"/>
      <c r="E139" s="985"/>
      <c r="F139" s="985"/>
      <c r="G139" s="1002"/>
      <c r="H139" s="1002"/>
      <c r="I139" s="1002"/>
      <c r="J139" s="985"/>
      <c r="K139" s="985"/>
      <c r="L139" s="985"/>
    </row>
    <row r="140" spans="2:12" x14ac:dyDescent="0.2">
      <c r="B140" s="985" t="s">
        <v>1477</v>
      </c>
      <c r="C140" s="985"/>
      <c r="D140" s="1002">
        <f>case3i_din_ey_moment_min</f>
        <v>0</v>
      </c>
      <c r="E140" s="1002"/>
      <c r="F140" s="1002"/>
      <c r="G140" s="985">
        <f>case3i_din_ez_axial_min</f>
        <v>0</v>
      </c>
      <c r="H140" s="985"/>
      <c r="I140" s="985"/>
      <c r="J140" s="985">
        <f>case3i_din_ex_shear_force_min</f>
        <v>0</v>
      </c>
      <c r="K140" s="985"/>
      <c r="L140" s="985"/>
    </row>
    <row r="141" spans="2:12" x14ac:dyDescent="0.2">
      <c r="B141" s="985"/>
      <c r="C141" s="985"/>
      <c r="D141" s="1002"/>
      <c r="E141" s="1002"/>
      <c r="F141" s="1002"/>
      <c r="G141" s="985"/>
      <c r="H141" s="985"/>
      <c r="I141" s="985"/>
      <c r="J141" s="985"/>
      <c r="K141" s="985"/>
      <c r="L141" s="985"/>
    </row>
    <row r="142" spans="2:12" x14ac:dyDescent="0.2">
      <c r="B142" s="184"/>
      <c r="C142" s="184"/>
      <c r="D142" s="185"/>
      <c r="E142" s="185"/>
      <c r="F142" s="185"/>
      <c r="G142" s="184"/>
      <c r="H142" s="184"/>
      <c r="I142" s="184"/>
      <c r="J142" s="184"/>
      <c r="K142" s="184"/>
      <c r="L142" s="184"/>
    </row>
    <row r="143" spans="2:12" x14ac:dyDescent="0.2">
      <c r="B143" s="1262" t="s">
        <v>1362</v>
      </c>
      <c r="C143" s="1262"/>
      <c r="D143" s="1262"/>
      <c r="E143" s="1262"/>
      <c r="F143" s="1262"/>
      <c r="G143" s="1262"/>
      <c r="H143" s="1262"/>
      <c r="I143" s="1262"/>
      <c r="J143" s="1262"/>
      <c r="K143" s="1262"/>
      <c r="L143" s="1262"/>
    </row>
    <row r="144" spans="2:12" x14ac:dyDescent="0.2">
      <c r="B144" s="987" t="s">
        <v>1504</v>
      </c>
      <c r="C144" s="987"/>
      <c r="D144" s="987"/>
      <c r="E144" s="987"/>
      <c r="F144" s="987"/>
      <c r="G144" s="987"/>
      <c r="H144" s="987"/>
      <c r="I144" s="987"/>
      <c r="J144" s="987"/>
      <c r="K144" s="987"/>
      <c r="L144" s="987"/>
    </row>
    <row r="145" spans="2:12" x14ac:dyDescent="0.2">
      <c r="B145" s="988" t="s">
        <v>1369</v>
      </c>
      <c r="C145" s="988"/>
      <c r="D145" s="988"/>
      <c r="E145" s="988" t="s">
        <v>1505</v>
      </c>
      <c r="F145" s="988"/>
      <c r="G145" s="988"/>
      <c r="H145" s="988"/>
      <c r="I145" s="1272" t="s">
        <v>1506</v>
      </c>
      <c r="J145" s="1272"/>
      <c r="K145" s="1272"/>
      <c r="L145" s="1272"/>
    </row>
    <row r="146" spans="2:12" x14ac:dyDescent="0.2">
      <c r="B146" s="1002">
        <f>case3ii_toque_ey_moment_max</f>
        <v>0</v>
      </c>
      <c r="C146" s="1002"/>
      <c r="D146" s="1002"/>
      <c r="E146" s="985">
        <f>case3ii_toque_ez_axial_max</f>
        <v>0</v>
      </c>
      <c r="F146" s="985"/>
      <c r="G146" s="985"/>
      <c r="H146" s="985"/>
      <c r="I146" s="985">
        <f>case3ii_toque_ex_shear_force_max</f>
        <v>0</v>
      </c>
      <c r="J146" s="985"/>
      <c r="K146" s="985"/>
      <c r="L146" s="985"/>
    </row>
    <row r="147" spans="2:12" x14ac:dyDescent="0.2">
      <c r="B147" s="1002"/>
      <c r="C147" s="1002"/>
      <c r="D147" s="1002"/>
      <c r="E147" s="985"/>
      <c r="F147" s="985"/>
      <c r="G147" s="985"/>
      <c r="H147" s="985"/>
      <c r="I147" s="985"/>
      <c r="J147" s="985"/>
      <c r="K147" s="985"/>
      <c r="L147" s="985"/>
    </row>
    <row r="148" spans="2:12" x14ac:dyDescent="0.2">
      <c r="B148" s="185"/>
      <c r="C148" s="185"/>
      <c r="D148" s="185"/>
      <c r="E148" s="184"/>
      <c r="F148" s="184"/>
      <c r="G148" s="184"/>
      <c r="H148" s="184"/>
      <c r="I148" s="184"/>
      <c r="J148" s="184"/>
      <c r="K148" s="184"/>
      <c r="L148" s="184"/>
    </row>
    <row r="149" spans="2:12" ht="12.75" customHeight="1" x14ac:dyDescent="0.2">
      <c r="B149" s="1274" t="s">
        <v>1507</v>
      </c>
      <c r="C149" s="1275"/>
      <c r="D149" s="1275"/>
      <c r="E149" s="1275"/>
      <c r="F149" s="1275"/>
      <c r="G149" s="1275"/>
      <c r="H149" s="1275"/>
      <c r="I149" s="1275"/>
      <c r="J149" s="1275"/>
      <c r="K149" s="1275"/>
      <c r="L149" s="1276"/>
    </row>
    <row r="150" spans="2:12" x14ac:dyDescent="0.2">
      <c r="B150" s="1166" t="s">
        <v>1456</v>
      </c>
      <c r="C150" s="1164"/>
      <c r="D150" s="1164"/>
      <c r="E150" s="1164"/>
      <c r="F150" s="1164"/>
      <c r="G150" s="1164"/>
      <c r="H150" s="1164"/>
      <c r="I150" s="1164"/>
      <c r="J150" s="1164"/>
      <c r="K150" s="1164"/>
      <c r="L150" s="1165"/>
    </row>
    <row r="151" spans="2:12" x14ac:dyDescent="0.2">
      <c r="B151" s="1258" t="s">
        <v>1376</v>
      </c>
      <c r="C151" s="1277"/>
      <c r="D151" s="1259"/>
      <c r="E151" s="1258" t="s">
        <v>1377</v>
      </c>
      <c r="F151" s="1277"/>
      <c r="G151" s="1259"/>
      <c r="H151" s="1258" t="s">
        <v>1458</v>
      </c>
      <c r="I151" s="1277"/>
      <c r="J151" s="1259"/>
      <c r="K151" s="1258" t="s">
        <v>1379</v>
      </c>
      <c r="L151" s="1259"/>
    </row>
    <row r="152" spans="2:12" x14ac:dyDescent="0.2">
      <c r="B152" s="1260"/>
      <c r="C152" s="1278"/>
      <c r="D152" s="1261"/>
      <c r="E152" s="1260"/>
      <c r="F152" s="1278"/>
      <c r="G152" s="1261"/>
      <c r="H152" s="1260"/>
      <c r="I152" s="1278"/>
      <c r="J152" s="1261"/>
      <c r="K152" s="1260"/>
      <c r="L152" s="1261"/>
    </row>
    <row r="153" spans="2:12" x14ac:dyDescent="0.2">
      <c r="B153" s="996" t="str">
        <f>hmax_dist_flange</f>
        <v/>
      </c>
      <c r="C153" s="997"/>
      <c r="D153" s="998"/>
      <c r="E153" s="996" t="str">
        <f>hmax_dist_tdp_flange</f>
        <v/>
      </c>
      <c r="F153" s="997"/>
      <c r="G153" s="998"/>
      <c r="H153" s="996" t="str">
        <f>hmax_comp_susp</f>
        <v/>
      </c>
      <c r="I153" s="997"/>
      <c r="J153" s="998"/>
      <c r="K153" s="996">
        <f>hmax_altura_corc</f>
        <v>0</v>
      </c>
      <c r="L153" s="998"/>
    </row>
    <row r="154" spans="2:12" x14ac:dyDescent="0.2">
      <c r="B154" s="999"/>
      <c r="C154" s="1000"/>
      <c r="D154" s="1001"/>
      <c r="E154" s="999"/>
      <c r="F154" s="1000"/>
      <c r="G154" s="1001"/>
      <c r="H154" s="999"/>
      <c r="I154" s="1000"/>
      <c r="J154" s="1001"/>
      <c r="K154" s="999"/>
      <c r="L154" s="1001"/>
    </row>
    <row r="155" spans="2:12" x14ac:dyDescent="0.2">
      <c r="B155" s="988" t="s">
        <v>1508</v>
      </c>
      <c r="C155" s="988"/>
      <c r="D155" s="988"/>
      <c r="E155" s="988"/>
      <c r="F155" s="988" t="s">
        <v>1509</v>
      </c>
      <c r="G155" s="988"/>
      <c r="H155" s="988"/>
      <c r="I155" s="988"/>
      <c r="J155" s="988" t="s">
        <v>1444</v>
      </c>
      <c r="K155" s="988"/>
      <c r="L155" s="988"/>
    </row>
    <row r="156" spans="2:12" x14ac:dyDescent="0.2">
      <c r="B156" s="988"/>
      <c r="C156" s="988"/>
      <c r="D156" s="988"/>
      <c r="E156" s="988"/>
      <c r="F156" s="988"/>
      <c r="G156" s="988"/>
      <c r="H156" s="988"/>
      <c r="I156" s="988"/>
      <c r="J156" s="988"/>
      <c r="K156" s="988"/>
      <c r="L156" s="988"/>
    </row>
    <row r="157" spans="2:12" x14ac:dyDescent="0.2">
      <c r="B157" s="985">
        <f>hmax_inclinacao_mcv</f>
        <v>0</v>
      </c>
      <c r="C157" s="985"/>
      <c r="D157" s="985"/>
      <c r="E157" s="985"/>
      <c r="F157" s="985" t="str">
        <f>hmax_overlength</f>
        <v/>
      </c>
      <c r="G157" s="985"/>
      <c r="H157" s="985"/>
      <c r="I157" s="985"/>
      <c r="J157" s="985">
        <f>hmax_mbr_linha</f>
        <v>0</v>
      </c>
      <c r="K157" s="985"/>
      <c r="L157" s="985"/>
    </row>
    <row r="158" spans="2:12" x14ac:dyDescent="0.2">
      <c r="B158" s="985"/>
      <c r="C158" s="985"/>
      <c r="D158" s="985"/>
      <c r="E158" s="985"/>
      <c r="F158" s="985"/>
      <c r="G158" s="985"/>
      <c r="H158" s="985"/>
      <c r="I158" s="985"/>
      <c r="J158" s="985"/>
      <c r="K158" s="985"/>
      <c r="L158" s="985"/>
    </row>
    <row r="159" spans="2:12" x14ac:dyDescent="0.2">
      <c r="B159" s="987" t="s">
        <v>1510</v>
      </c>
      <c r="C159" s="987"/>
      <c r="D159" s="987"/>
      <c r="E159" s="987"/>
      <c r="F159" s="987"/>
      <c r="G159" s="987"/>
      <c r="H159" s="987"/>
      <c r="I159" s="987"/>
      <c r="J159" s="987"/>
      <c r="K159" s="987"/>
      <c r="L159" s="987"/>
    </row>
    <row r="160" spans="2:12" x14ac:dyDescent="0.2">
      <c r="B160" s="988" t="s">
        <v>1387</v>
      </c>
      <c r="C160" s="988"/>
      <c r="D160" s="988"/>
      <c r="E160" s="988"/>
      <c r="F160" s="988" t="s">
        <v>1388</v>
      </c>
      <c r="G160" s="988"/>
      <c r="H160" s="988"/>
      <c r="I160" s="988"/>
      <c r="J160" s="988" t="s">
        <v>1389</v>
      </c>
      <c r="K160" s="988"/>
      <c r="L160" s="988"/>
    </row>
    <row r="161" spans="2:12" x14ac:dyDescent="0.2">
      <c r="B161" s="988"/>
      <c r="C161" s="988"/>
      <c r="D161" s="988"/>
      <c r="E161" s="988"/>
      <c r="F161" s="988"/>
      <c r="G161" s="988"/>
      <c r="H161" s="988"/>
      <c r="I161" s="988"/>
      <c r="J161" s="988"/>
      <c r="K161" s="988"/>
      <c r="L161" s="988"/>
    </row>
    <row r="162" spans="2:12" x14ac:dyDescent="0.2">
      <c r="B162" s="1013"/>
      <c r="C162" s="1013"/>
      <c r="D162" s="1013"/>
      <c r="E162" s="1013"/>
      <c r="F162" s="1013"/>
      <c r="G162" s="1013"/>
      <c r="H162" s="1013"/>
      <c r="I162" s="1013"/>
      <c r="J162" s="985">
        <f>hmax_mbr_vert</f>
        <v>0</v>
      </c>
      <c r="K162" s="985"/>
      <c r="L162" s="985"/>
    </row>
    <row r="163" spans="2:12" x14ac:dyDescent="0.2">
      <c r="B163" s="1013"/>
      <c r="C163" s="1013"/>
      <c r="D163" s="1013"/>
      <c r="E163" s="1013"/>
      <c r="F163" s="1013"/>
      <c r="G163" s="1013"/>
      <c r="H163" s="1013"/>
      <c r="I163" s="1013"/>
      <c r="J163" s="985"/>
      <c r="K163" s="985"/>
      <c r="L163" s="985"/>
    </row>
    <row r="164" spans="2:12" x14ac:dyDescent="0.2">
      <c r="B164" s="184"/>
      <c r="C164" s="184"/>
      <c r="D164" s="184"/>
      <c r="E164" s="184"/>
      <c r="F164" s="184"/>
      <c r="G164" s="184"/>
      <c r="H164" s="184"/>
      <c r="I164" s="184"/>
      <c r="J164" s="184"/>
      <c r="K164" s="184"/>
      <c r="L164" s="184"/>
    </row>
    <row r="165" spans="2:12" x14ac:dyDescent="0.2">
      <c r="B165" s="987" t="s">
        <v>1511</v>
      </c>
      <c r="C165" s="987"/>
      <c r="D165" s="987"/>
      <c r="E165" s="987"/>
      <c r="F165" s="987"/>
      <c r="G165" s="987"/>
      <c r="H165" s="987"/>
      <c r="I165" s="987"/>
      <c r="J165" s="987"/>
      <c r="K165" s="987"/>
      <c r="L165" s="987"/>
    </row>
    <row r="166" spans="2:12" x14ac:dyDescent="0.2">
      <c r="B166" s="996"/>
      <c r="C166" s="997"/>
      <c r="D166" s="997"/>
      <c r="E166" s="997"/>
      <c r="F166" s="997"/>
      <c r="G166" s="997"/>
      <c r="H166" s="997"/>
      <c r="I166" s="997"/>
      <c r="J166" s="997"/>
      <c r="K166" s="997"/>
      <c r="L166" s="998"/>
    </row>
    <row r="167" spans="2:12" x14ac:dyDescent="0.2">
      <c r="B167" s="1145"/>
      <c r="C167" s="1055"/>
      <c r="D167" s="1055"/>
      <c r="E167" s="1055"/>
      <c r="F167" s="1055"/>
      <c r="G167" s="1055"/>
      <c r="H167" s="1055"/>
      <c r="I167" s="1055"/>
      <c r="J167" s="1055"/>
      <c r="K167" s="1055"/>
      <c r="L167" s="1265"/>
    </row>
    <row r="168" spans="2:12" x14ac:dyDescent="0.2">
      <c r="B168" s="1145"/>
      <c r="C168" s="1055"/>
      <c r="D168" s="1055"/>
      <c r="E168" s="1055"/>
      <c r="F168" s="1055"/>
      <c r="G168" s="1055"/>
      <c r="H168" s="1055"/>
      <c r="I168" s="1055"/>
      <c r="J168" s="1055"/>
      <c r="K168" s="1055"/>
      <c r="L168" s="1265"/>
    </row>
    <row r="169" spans="2:12" x14ac:dyDescent="0.2">
      <c r="B169" s="1145"/>
      <c r="C169" s="1055"/>
      <c r="D169" s="1055"/>
      <c r="E169" s="1055"/>
      <c r="F169" s="1055"/>
      <c r="G169" s="1055"/>
      <c r="H169" s="1055"/>
      <c r="I169" s="1055"/>
      <c r="J169" s="1055"/>
      <c r="K169" s="1055"/>
      <c r="L169" s="1265"/>
    </row>
    <row r="170" spans="2:12" x14ac:dyDescent="0.2">
      <c r="B170" s="1145"/>
      <c r="C170" s="1055"/>
      <c r="D170" s="1055"/>
      <c r="E170" s="1055"/>
      <c r="F170" s="1055"/>
      <c r="G170" s="1055"/>
      <c r="H170" s="1055"/>
      <c r="I170" s="1055"/>
      <c r="J170" s="1055"/>
      <c r="K170" s="1055"/>
      <c r="L170" s="1265"/>
    </row>
    <row r="171" spans="2:12" x14ac:dyDescent="0.2">
      <c r="B171" s="1145"/>
      <c r="C171" s="1055"/>
      <c r="D171" s="1055"/>
      <c r="E171" s="1055"/>
      <c r="F171" s="1055"/>
      <c r="G171" s="1055"/>
      <c r="H171" s="1055"/>
      <c r="I171" s="1055"/>
      <c r="J171" s="1055"/>
      <c r="K171" s="1055"/>
      <c r="L171" s="1265"/>
    </row>
    <row r="172" spans="2:12" x14ac:dyDescent="0.2">
      <c r="B172" s="1145"/>
      <c r="C172" s="1055"/>
      <c r="D172" s="1055"/>
      <c r="E172" s="1055"/>
      <c r="F172" s="1055"/>
      <c r="G172" s="1055"/>
      <c r="H172" s="1055"/>
      <c r="I172" s="1055"/>
      <c r="J172" s="1055"/>
      <c r="K172" s="1055"/>
      <c r="L172" s="1265"/>
    </row>
    <row r="173" spans="2:12" x14ac:dyDescent="0.2">
      <c r="B173" s="1145"/>
      <c r="C173" s="1055"/>
      <c r="D173" s="1055"/>
      <c r="E173" s="1055"/>
      <c r="F173" s="1055"/>
      <c r="G173" s="1055"/>
      <c r="H173" s="1055"/>
      <c r="I173" s="1055"/>
      <c r="J173" s="1055"/>
      <c r="K173" s="1055"/>
      <c r="L173" s="1265"/>
    </row>
    <row r="174" spans="2:12" x14ac:dyDescent="0.2">
      <c r="B174" s="1145"/>
      <c r="C174" s="1055"/>
      <c r="D174" s="1055"/>
      <c r="E174" s="1055"/>
      <c r="F174" s="1055"/>
      <c r="G174" s="1055"/>
      <c r="H174" s="1055"/>
      <c r="I174" s="1055"/>
      <c r="J174" s="1055"/>
      <c r="K174" s="1055"/>
      <c r="L174" s="1265"/>
    </row>
    <row r="175" spans="2:12" x14ac:dyDescent="0.2">
      <c r="B175" s="1145"/>
      <c r="C175" s="1055"/>
      <c r="D175" s="1055"/>
      <c r="E175" s="1055"/>
      <c r="F175" s="1055"/>
      <c r="G175" s="1055"/>
      <c r="H175" s="1055"/>
      <c r="I175" s="1055"/>
      <c r="J175" s="1055"/>
      <c r="K175" s="1055"/>
      <c r="L175" s="1265"/>
    </row>
    <row r="176" spans="2:12" x14ac:dyDescent="0.2">
      <c r="B176" s="1145"/>
      <c r="C176" s="1055"/>
      <c r="D176" s="1055"/>
      <c r="E176" s="1055"/>
      <c r="F176" s="1055"/>
      <c r="G176" s="1055"/>
      <c r="H176" s="1055"/>
      <c r="I176" s="1055"/>
      <c r="J176" s="1055"/>
      <c r="K176" s="1055"/>
      <c r="L176" s="1265"/>
    </row>
    <row r="177" spans="2:12" x14ac:dyDescent="0.2">
      <c r="B177" s="1145"/>
      <c r="C177" s="1055"/>
      <c r="D177" s="1055"/>
      <c r="E177" s="1055"/>
      <c r="F177" s="1055"/>
      <c r="G177" s="1055"/>
      <c r="H177" s="1055"/>
      <c r="I177" s="1055"/>
      <c r="J177" s="1055"/>
      <c r="K177" s="1055"/>
      <c r="L177" s="1265"/>
    </row>
    <row r="178" spans="2:12" x14ac:dyDescent="0.2">
      <c r="B178" s="1145"/>
      <c r="C178" s="1055"/>
      <c r="D178" s="1055"/>
      <c r="E178" s="1055"/>
      <c r="F178" s="1055"/>
      <c r="G178" s="1055"/>
      <c r="H178" s="1055"/>
      <c r="I178" s="1055"/>
      <c r="J178" s="1055"/>
      <c r="K178" s="1055"/>
      <c r="L178" s="1265"/>
    </row>
    <row r="179" spans="2:12" x14ac:dyDescent="0.2">
      <c r="B179" s="1145"/>
      <c r="C179" s="1055"/>
      <c r="D179" s="1055"/>
      <c r="E179" s="1055"/>
      <c r="F179" s="1055"/>
      <c r="G179" s="1055"/>
      <c r="H179" s="1055"/>
      <c r="I179" s="1055"/>
      <c r="J179" s="1055"/>
      <c r="K179" s="1055"/>
      <c r="L179" s="1265"/>
    </row>
    <row r="180" spans="2:12" x14ac:dyDescent="0.2">
      <c r="B180" s="1145"/>
      <c r="C180" s="1055"/>
      <c r="D180" s="1055"/>
      <c r="E180" s="1055"/>
      <c r="F180" s="1055"/>
      <c r="G180" s="1055"/>
      <c r="H180" s="1055"/>
      <c r="I180" s="1055"/>
      <c r="J180" s="1055"/>
      <c r="K180" s="1055"/>
      <c r="L180" s="1265"/>
    </row>
    <row r="181" spans="2:12" x14ac:dyDescent="0.2">
      <c r="B181" s="1145"/>
      <c r="C181" s="1055"/>
      <c r="D181" s="1055"/>
      <c r="E181" s="1055"/>
      <c r="F181" s="1055"/>
      <c r="G181" s="1055"/>
      <c r="H181" s="1055"/>
      <c r="I181" s="1055"/>
      <c r="J181" s="1055"/>
      <c r="K181" s="1055"/>
      <c r="L181" s="1265"/>
    </row>
    <row r="182" spans="2:12" x14ac:dyDescent="0.2">
      <c r="B182" s="1145"/>
      <c r="C182" s="1055"/>
      <c r="D182" s="1055"/>
      <c r="E182" s="1055"/>
      <c r="F182" s="1055"/>
      <c r="G182" s="1055"/>
      <c r="H182" s="1055"/>
      <c r="I182" s="1055"/>
      <c r="J182" s="1055"/>
      <c r="K182" s="1055"/>
      <c r="L182" s="1265"/>
    </row>
    <row r="183" spans="2:12" x14ac:dyDescent="0.2">
      <c r="B183" s="1145"/>
      <c r="C183" s="1055"/>
      <c r="D183" s="1055"/>
      <c r="E183" s="1055"/>
      <c r="F183" s="1055"/>
      <c r="G183" s="1055"/>
      <c r="H183" s="1055"/>
      <c r="I183" s="1055"/>
      <c r="J183" s="1055"/>
      <c r="K183" s="1055"/>
      <c r="L183" s="1265"/>
    </row>
    <row r="184" spans="2:12" x14ac:dyDescent="0.2">
      <c r="B184" s="1145"/>
      <c r="C184" s="1055"/>
      <c r="D184" s="1055"/>
      <c r="E184" s="1055"/>
      <c r="F184" s="1055"/>
      <c r="G184" s="1055"/>
      <c r="H184" s="1055"/>
      <c r="I184" s="1055"/>
      <c r="J184" s="1055"/>
      <c r="K184" s="1055"/>
      <c r="L184" s="1265"/>
    </row>
    <row r="185" spans="2:12" x14ac:dyDescent="0.2">
      <c r="B185" s="999"/>
      <c r="C185" s="1000"/>
      <c r="D185" s="1000"/>
      <c r="E185" s="1000"/>
      <c r="F185" s="1000"/>
      <c r="G185" s="1000"/>
      <c r="H185" s="1000"/>
      <c r="I185" s="1000"/>
      <c r="J185" s="1000"/>
      <c r="K185" s="1000"/>
      <c r="L185" s="1001"/>
    </row>
    <row r="186" spans="2:12" s="8" customFormat="1" x14ac:dyDescent="0.2"/>
    <row r="187" spans="2:12" s="8" customFormat="1" x14ac:dyDescent="0.2"/>
    <row r="188" spans="2:12" s="8" customFormat="1" x14ac:dyDescent="0.2"/>
    <row r="189" spans="2:12" s="8" customFormat="1" x14ac:dyDescent="0.2"/>
    <row r="190" spans="2:12" s="8" customFormat="1" x14ac:dyDescent="0.2"/>
    <row r="191" spans="2:12" s="8" customFormat="1" x14ac:dyDescent="0.2"/>
    <row r="192" spans="2:12" s="8" customFormat="1" x14ac:dyDescent="0.2"/>
    <row r="193" spans="2:12" s="8" customFormat="1" x14ac:dyDescent="0.2"/>
    <row r="194" spans="2:12" s="8" customFormat="1" x14ac:dyDescent="0.2"/>
    <row r="195" spans="2:12" s="8" customFormat="1" x14ac:dyDescent="0.2"/>
    <row r="196" spans="2:12" x14ac:dyDescent="0.2">
      <c r="B196" s="1263" t="s">
        <v>1512</v>
      </c>
      <c r="C196" s="1263"/>
      <c r="D196" s="1263"/>
      <c r="E196" s="1263"/>
      <c r="F196" s="1263"/>
      <c r="G196" s="1263"/>
      <c r="H196" s="1263"/>
      <c r="I196" s="1263"/>
      <c r="J196" s="1263"/>
      <c r="K196" s="1263"/>
      <c r="L196" s="1263"/>
    </row>
    <row r="197" spans="2:12" ht="12.75" customHeight="1" x14ac:dyDescent="0.2">
      <c r="B197" s="1264"/>
      <c r="C197" s="1264"/>
      <c r="D197" s="1264"/>
      <c r="E197" s="1264"/>
      <c r="F197" s="1264"/>
      <c r="G197" s="1264"/>
      <c r="H197" s="1264"/>
      <c r="I197" s="1264"/>
      <c r="J197" s="1264"/>
      <c r="K197" s="1264"/>
      <c r="L197" s="1264"/>
    </row>
    <row r="198" spans="2:12" x14ac:dyDescent="0.2">
      <c r="B198" s="1286" t="s">
        <v>1513</v>
      </c>
      <c r="C198" s="1286"/>
      <c r="D198" s="1286"/>
      <c r="E198" s="1286"/>
      <c r="F198" s="1286"/>
      <c r="G198" s="1286"/>
      <c r="H198" s="1286"/>
      <c r="I198" s="1286"/>
      <c r="J198" s="1286"/>
      <c r="K198" s="1286"/>
      <c r="L198" s="1286"/>
    </row>
    <row r="199" spans="2:12" x14ac:dyDescent="0.2">
      <c r="B199" s="985"/>
      <c r="C199" s="985"/>
      <c r="D199" s="985"/>
      <c r="E199" s="985"/>
      <c r="F199" s="985"/>
      <c r="G199" s="985"/>
      <c r="H199" s="985"/>
      <c r="I199" s="985"/>
      <c r="J199" s="985"/>
      <c r="K199" s="985"/>
      <c r="L199" s="985"/>
    </row>
    <row r="200" spans="2:12" x14ac:dyDescent="0.2">
      <c r="B200" s="985"/>
      <c r="C200" s="985"/>
      <c r="D200" s="985"/>
      <c r="E200" s="985"/>
      <c r="F200" s="985"/>
      <c r="G200" s="985"/>
      <c r="H200" s="985"/>
      <c r="I200" s="985"/>
      <c r="J200" s="985"/>
      <c r="K200" s="985"/>
      <c r="L200" s="985"/>
    </row>
    <row r="201" spans="2:12" x14ac:dyDescent="0.2">
      <c r="B201" s="985"/>
      <c r="C201" s="985"/>
      <c r="D201" s="985"/>
      <c r="E201" s="985"/>
      <c r="F201" s="985"/>
      <c r="G201" s="985"/>
      <c r="H201" s="985"/>
      <c r="I201" s="985"/>
      <c r="J201" s="985"/>
      <c r="K201" s="985"/>
      <c r="L201" s="985"/>
    </row>
    <row r="202" spans="2:12" x14ac:dyDescent="0.2">
      <c r="B202" s="985"/>
      <c r="C202" s="985"/>
      <c r="D202" s="985"/>
      <c r="E202" s="985"/>
      <c r="F202" s="985"/>
      <c r="G202" s="985"/>
      <c r="H202" s="985"/>
      <c r="I202" s="985"/>
      <c r="J202" s="985"/>
      <c r="K202" s="985"/>
      <c r="L202" s="985"/>
    </row>
    <row r="203" spans="2:12" x14ac:dyDescent="0.2">
      <c r="B203" s="985"/>
      <c r="C203" s="985"/>
      <c r="D203" s="985"/>
      <c r="E203" s="985"/>
      <c r="F203" s="985"/>
      <c r="G203" s="985"/>
      <c r="H203" s="985"/>
      <c r="I203" s="985"/>
      <c r="J203" s="985"/>
      <c r="K203" s="985"/>
      <c r="L203" s="985"/>
    </row>
    <row r="204" spans="2:12" x14ac:dyDescent="0.2">
      <c r="B204" s="985"/>
      <c r="C204" s="985"/>
      <c r="D204" s="985"/>
      <c r="E204" s="985"/>
      <c r="F204" s="985"/>
      <c r="G204" s="985"/>
      <c r="H204" s="985"/>
      <c r="I204" s="985"/>
      <c r="J204" s="985"/>
      <c r="K204" s="985"/>
      <c r="L204" s="985"/>
    </row>
    <row r="205" spans="2:12" x14ac:dyDescent="0.2">
      <c r="B205" s="985"/>
      <c r="C205" s="985"/>
      <c r="D205" s="985"/>
      <c r="E205" s="985"/>
      <c r="F205" s="985"/>
      <c r="G205" s="985"/>
      <c r="H205" s="985"/>
      <c r="I205" s="985"/>
      <c r="J205" s="985"/>
      <c r="K205" s="985"/>
      <c r="L205" s="985"/>
    </row>
    <row r="206" spans="2:12" x14ac:dyDescent="0.2">
      <c r="B206" s="985"/>
      <c r="C206" s="985"/>
      <c r="D206" s="985"/>
      <c r="E206" s="985"/>
      <c r="F206" s="985"/>
      <c r="G206" s="985"/>
      <c r="H206" s="985"/>
      <c r="I206" s="985"/>
      <c r="J206" s="985"/>
      <c r="K206" s="985"/>
      <c r="L206" s="985"/>
    </row>
    <row r="207" spans="2:12" x14ac:dyDescent="0.2">
      <c r="B207" s="985"/>
      <c r="C207" s="985"/>
      <c r="D207" s="985"/>
      <c r="E207" s="985"/>
      <c r="F207" s="985"/>
      <c r="G207" s="985"/>
      <c r="H207" s="985"/>
      <c r="I207" s="985"/>
      <c r="J207" s="985"/>
      <c r="K207" s="985"/>
      <c r="L207" s="985"/>
    </row>
    <row r="208" spans="2:12" x14ac:dyDescent="0.2">
      <c r="B208" s="985"/>
      <c r="C208" s="985"/>
      <c r="D208" s="985"/>
      <c r="E208" s="985"/>
      <c r="F208" s="985"/>
      <c r="G208" s="985"/>
      <c r="H208" s="985"/>
      <c r="I208" s="985"/>
      <c r="J208" s="985"/>
      <c r="K208" s="985"/>
      <c r="L208" s="985"/>
    </row>
    <row r="209" spans="2:12" x14ac:dyDescent="0.2">
      <c r="B209" s="985"/>
      <c r="C209" s="985"/>
      <c r="D209" s="985"/>
      <c r="E209" s="985"/>
      <c r="F209" s="985"/>
      <c r="G209" s="985"/>
      <c r="H209" s="985"/>
      <c r="I209" s="985"/>
      <c r="J209" s="985"/>
      <c r="K209" s="985"/>
      <c r="L209" s="985"/>
    </row>
    <row r="210" spans="2:12" x14ac:dyDescent="0.2">
      <c r="B210" s="985"/>
      <c r="C210" s="985"/>
      <c r="D210" s="985"/>
      <c r="E210" s="985"/>
      <c r="F210" s="985"/>
      <c r="G210" s="985"/>
      <c r="H210" s="985"/>
      <c r="I210" s="985"/>
      <c r="J210" s="985"/>
      <c r="K210" s="985"/>
      <c r="L210" s="985"/>
    </row>
    <row r="211" spans="2:12" x14ac:dyDescent="0.2">
      <c r="B211" s="985"/>
      <c r="C211" s="985"/>
      <c r="D211" s="985"/>
      <c r="E211" s="985"/>
      <c r="F211" s="985"/>
      <c r="G211" s="985"/>
      <c r="H211" s="985"/>
      <c r="I211" s="985"/>
      <c r="J211" s="985"/>
      <c r="K211" s="985"/>
      <c r="L211" s="985"/>
    </row>
    <row r="212" spans="2:12" x14ac:dyDescent="0.2">
      <c r="B212" s="985"/>
      <c r="C212" s="985"/>
      <c r="D212" s="985"/>
      <c r="E212" s="985"/>
      <c r="F212" s="985"/>
      <c r="G212" s="985"/>
      <c r="H212" s="985"/>
      <c r="I212" s="985"/>
      <c r="J212" s="985"/>
      <c r="K212" s="985"/>
      <c r="L212" s="985"/>
    </row>
    <row r="213" spans="2:12" x14ac:dyDescent="0.2">
      <c r="B213" s="985"/>
      <c r="C213" s="985"/>
      <c r="D213" s="985"/>
      <c r="E213" s="985"/>
      <c r="F213" s="985"/>
      <c r="G213" s="985"/>
      <c r="H213" s="985"/>
      <c r="I213" s="985"/>
      <c r="J213" s="985"/>
      <c r="K213" s="985"/>
      <c r="L213" s="985"/>
    </row>
    <row r="214" spans="2:12" x14ac:dyDescent="0.2">
      <c r="B214" s="985"/>
      <c r="C214" s="985"/>
      <c r="D214" s="985"/>
      <c r="E214" s="985"/>
      <c r="F214" s="985"/>
      <c r="G214" s="985"/>
      <c r="H214" s="985"/>
      <c r="I214" s="985"/>
      <c r="J214" s="985"/>
      <c r="K214" s="985"/>
      <c r="L214" s="985"/>
    </row>
    <row r="215" spans="2:12" x14ac:dyDescent="0.2">
      <c r="B215" s="985"/>
      <c r="C215" s="985"/>
      <c r="D215" s="985"/>
      <c r="E215" s="985"/>
      <c r="F215" s="985"/>
      <c r="G215" s="985"/>
      <c r="H215" s="985"/>
      <c r="I215" s="985"/>
      <c r="J215" s="985"/>
      <c r="K215" s="985"/>
      <c r="L215" s="985"/>
    </row>
    <row r="216" spans="2:12" x14ac:dyDescent="0.2">
      <c r="B216" s="985"/>
      <c r="C216" s="985"/>
      <c r="D216" s="985"/>
      <c r="E216" s="985"/>
      <c r="F216" s="985"/>
      <c r="G216" s="985"/>
      <c r="H216" s="985"/>
      <c r="I216" s="985"/>
      <c r="J216" s="985"/>
      <c r="K216" s="985"/>
      <c r="L216" s="985"/>
    </row>
    <row r="217" spans="2:12" x14ac:dyDescent="0.2">
      <c r="B217" s="985"/>
      <c r="C217" s="985"/>
      <c r="D217" s="985"/>
      <c r="E217" s="985"/>
      <c r="F217" s="985"/>
      <c r="G217" s="985"/>
      <c r="H217" s="985"/>
      <c r="I217" s="985"/>
      <c r="J217" s="985"/>
      <c r="K217" s="985"/>
      <c r="L217" s="985"/>
    </row>
    <row r="218" spans="2:12" x14ac:dyDescent="0.2">
      <c r="B218" s="985"/>
      <c r="C218" s="985"/>
      <c r="D218" s="985"/>
      <c r="E218" s="985"/>
      <c r="F218" s="985"/>
      <c r="G218" s="985"/>
      <c r="H218" s="985"/>
      <c r="I218" s="985"/>
      <c r="J218" s="985"/>
      <c r="K218" s="985"/>
      <c r="L218" s="985"/>
    </row>
    <row r="219" spans="2:12" x14ac:dyDescent="0.2">
      <c r="B219" s="988" t="s">
        <v>1444</v>
      </c>
      <c r="C219" s="988" t="s">
        <v>1389</v>
      </c>
      <c r="D219" s="988"/>
      <c r="E219" s="988" t="s">
        <v>1445</v>
      </c>
      <c r="F219" s="988"/>
      <c r="G219" s="988" t="s">
        <v>1446</v>
      </c>
      <c r="H219" s="988"/>
      <c r="I219" s="988" t="s">
        <v>1447</v>
      </c>
      <c r="J219" s="988"/>
      <c r="K219" s="988" t="s">
        <v>1448</v>
      </c>
      <c r="L219" s="988"/>
    </row>
    <row r="220" spans="2:12" x14ac:dyDescent="0.2">
      <c r="B220" s="988"/>
      <c r="C220" s="988"/>
      <c r="D220" s="988"/>
      <c r="E220" s="988"/>
      <c r="F220" s="988"/>
      <c r="G220" s="988"/>
      <c r="H220" s="988"/>
      <c r="I220" s="988"/>
      <c r="J220" s="988"/>
      <c r="K220" s="988"/>
      <c r="L220" s="988"/>
    </row>
    <row r="221" spans="2:12" x14ac:dyDescent="0.2">
      <c r="B221" s="985">
        <f>cont1_mbr_linha</f>
        <v>0</v>
      </c>
      <c r="C221" s="985">
        <f>cont1_mbr_vert</f>
        <v>0</v>
      </c>
      <c r="D221" s="985"/>
      <c r="E221" s="985">
        <f>cont1_bm_vert</f>
        <v>0</v>
      </c>
      <c r="F221" s="985"/>
      <c r="G221" s="985">
        <f>cont1_sf_vert</f>
        <v>0</v>
      </c>
      <c r="H221" s="985"/>
      <c r="I221" s="985">
        <f>cont1_ey_moment</f>
        <v>0</v>
      </c>
      <c r="J221" s="985"/>
      <c r="K221" s="986">
        <f>cont1_sf_line_endb</f>
        <v>0</v>
      </c>
      <c r="L221" s="986"/>
    </row>
    <row r="222" spans="2:12" x14ac:dyDescent="0.2">
      <c r="B222" s="985"/>
      <c r="C222" s="985"/>
      <c r="D222" s="985"/>
      <c r="E222" s="985"/>
      <c r="F222" s="985"/>
      <c r="G222" s="985"/>
      <c r="H222" s="985"/>
      <c r="I222" s="985"/>
      <c r="J222" s="985"/>
      <c r="K222" s="986"/>
      <c r="L222" s="986"/>
    </row>
    <row r="223" spans="2:12" x14ac:dyDescent="0.2">
      <c r="B223" s="184"/>
      <c r="C223" s="184"/>
      <c r="D223" s="184"/>
      <c r="E223" s="184"/>
      <c r="F223" s="184"/>
      <c r="G223" s="184"/>
      <c r="H223" s="184"/>
      <c r="I223" s="184"/>
      <c r="J223" s="184"/>
      <c r="K223" s="184"/>
      <c r="L223" s="184"/>
    </row>
    <row r="224" spans="2:12" x14ac:dyDescent="0.2">
      <c r="B224" s="1286" t="s">
        <v>1514</v>
      </c>
      <c r="C224" s="1286"/>
      <c r="D224" s="1286"/>
      <c r="E224" s="1286"/>
      <c r="F224" s="1286"/>
      <c r="G224" s="1286"/>
      <c r="H224" s="1286"/>
      <c r="I224" s="1286"/>
      <c r="J224" s="1286"/>
      <c r="K224" s="1286"/>
      <c r="L224" s="1286"/>
    </row>
    <row r="225" spans="2:12" x14ac:dyDescent="0.2">
      <c r="B225" s="985"/>
      <c r="C225" s="985"/>
      <c r="D225" s="985"/>
      <c r="E225" s="985"/>
      <c r="F225" s="985"/>
      <c r="G225" s="985"/>
      <c r="H225" s="985"/>
      <c r="I225" s="985"/>
      <c r="J225" s="985"/>
      <c r="K225" s="985"/>
      <c r="L225" s="985"/>
    </row>
    <row r="226" spans="2:12" x14ac:dyDescent="0.2">
      <c r="B226" s="985"/>
      <c r="C226" s="985"/>
      <c r="D226" s="985"/>
      <c r="E226" s="985"/>
      <c r="F226" s="985"/>
      <c r="G226" s="985"/>
      <c r="H226" s="985"/>
      <c r="I226" s="985"/>
      <c r="J226" s="985"/>
      <c r="K226" s="985"/>
      <c r="L226" s="985"/>
    </row>
    <row r="227" spans="2:12" x14ac:dyDescent="0.2">
      <c r="B227" s="985"/>
      <c r="C227" s="985"/>
      <c r="D227" s="985"/>
      <c r="E227" s="985"/>
      <c r="F227" s="985"/>
      <c r="G227" s="985"/>
      <c r="H227" s="985"/>
      <c r="I227" s="985"/>
      <c r="J227" s="985"/>
      <c r="K227" s="985"/>
      <c r="L227" s="985"/>
    </row>
    <row r="228" spans="2:12" x14ac:dyDescent="0.2">
      <c r="B228" s="985"/>
      <c r="C228" s="985"/>
      <c r="D228" s="985"/>
      <c r="E228" s="985"/>
      <c r="F228" s="985"/>
      <c r="G228" s="985"/>
      <c r="H228" s="985"/>
      <c r="I228" s="985"/>
      <c r="J228" s="985"/>
      <c r="K228" s="985"/>
      <c r="L228" s="985"/>
    </row>
    <row r="229" spans="2:12" x14ac:dyDescent="0.2">
      <c r="B229" s="985"/>
      <c r="C229" s="985"/>
      <c r="D229" s="985"/>
      <c r="E229" s="985"/>
      <c r="F229" s="985"/>
      <c r="G229" s="985"/>
      <c r="H229" s="985"/>
      <c r="I229" s="985"/>
      <c r="J229" s="985"/>
      <c r="K229" s="985"/>
      <c r="L229" s="985"/>
    </row>
    <row r="230" spans="2:12" x14ac:dyDescent="0.2">
      <c r="B230" s="985"/>
      <c r="C230" s="985"/>
      <c r="D230" s="985"/>
      <c r="E230" s="985"/>
      <c r="F230" s="985"/>
      <c r="G230" s="985"/>
      <c r="H230" s="985"/>
      <c r="I230" s="985"/>
      <c r="J230" s="985"/>
      <c r="K230" s="985"/>
      <c r="L230" s="985"/>
    </row>
    <row r="231" spans="2:12" x14ac:dyDescent="0.2">
      <c r="B231" s="985"/>
      <c r="C231" s="985"/>
      <c r="D231" s="985"/>
      <c r="E231" s="985"/>
      <c r="F231" s="985"/>
      <c r="G231" s="985"/>
      <c r="H231" s="985"/>
      <c r="I231" s="985"/>
      <c r="J231" s="985"/>
      <c r="K231" s="985"/>
      <c r="L231" s="985"/>
    </row>
    <row r="232" spans="2:12" x14ac:dyDescent="0.2">
      <c r="B232" s="985"/>
      <c r="C232" s="985"/>
      <c r="D232" s="985"/>
      <c r="E232" s="985"/>
      <c r="F232" s="985"/>
      <c r="G232" s="985"/>
      <c r="H232" s="985"/>
      <c r="I232" s="985"/>
      <c r="J232" s="985"/>
      <c r="K232" s="985"/>
      <c r="L232" s="985"/>
    </row>
    <row r="233" spans="2:12" x14ac:dyDescent="0.2">
      <c r="B233" s="985"/>
      <c r="C233" s="985"/>
      <c r="D233" s="985"/>
      <c r="E233" s="985"/>
      <c r="F233" s="985"/>
      <c r="G233" s="985"/>
      <c r="H233" s="985"/>
      <c r="I233" s="985"/>
      <c r="J233" s="985"/>
      <c r="K233" s="985"/>
      <c r="L233" s="985"/>
    </row>
    <row r="234" spans="2:12" x14ac:dyDescent="0.2">
      <c r="B234" s="985"/>
      <c r="C234" s="985"/>
      <c r="D234" s="985"/>
      <c r="E234" s="985"/>
      <c r="F234" s="985"/>
      <c r="G234" s="985"/>
      <c r="H234" s="985"/>
      <c r="I234" s="985"/>
      <c r="J234" s="985"/>
      <c r="K234" s="985"/>
      <c r="L234" s="985"/>
    </row>
    <row r="235" spans="2:12" x14ac:dyDescent="0.2">
      <c r="B235" s="985"/>
      <c r="C235" s="985"/>
      <c r="D235" s="985"/>
      <c r="E235" s="985"/>
      <c r="F235" s="985"/>
      <c r="G235" s="985"/>
      <c r="H235" s="985"/>
      <c r="I235" s="985"/>
      <c r="J235" s="985"/>
      <c r="K235" s="985"/>
      <c r="L235" s="985"/>
    </row>
    <row r="236" spans="2:12" x14ac:dyDescent="0.2">
      <c r="B236" s="985"/>
      <c r="C236" s="985"/>
      <c r="D236" s="985"/>
      <c r="E236" s="985"/>
      <c r="F236" s="985"/>
      <c r="G236" s="985"/>
      <c r="H236" s="985"/>
      <c r="I236" s="985"/>
      <c r="J236" s="985"/>
      <c r="K236" s="985"/>
      <c r="L236" s="985"/>
    </row>
    <row r="237" spans="2:12" x14ac:dyDescent="0.2">
      <c r="B237" s="985"/>
      <c r="C237" s="985"/>
      <c r="D237" s="985"/>
      <c r="E237" s="985"/>
      <c r="F237" s="985"/>
      <c r="G237" s="985"/>
      <c r="H237" s="985"/>
      <c r="I237" s="985"/>
      <c r="J237" s="985"/>
      <c r="K237" s="985"/>
      <c r="L237" s="985"/>
    </row>
    <row r="238" spans="2:12" x14ac:dyDescent="0.2">
      <c r="B238" s="985"/>
      <c r="C238" s="985"/>
      <c r="D238" s="985"/>
      <c r="E238" s="985"/>
      <c r="F238" s="985"/>
      <c r="G238" s="985"/>
      <c r="H238" s="985"/>
      <c r="I238" s="985"/>
      <c r="J238" s="985"/>
      <c r="K238" s="985"/>
      <c r="L238" s="985"/>
    </row>
    <row r="239" spans="2:12" x14ac:dyDescent="0.2">
      <c r="B239" s="985"/>
      <c r="C239" s="985"/>
      <c r="D239" s="985"/>
      <c r="E239" s="985"/>
      <c r="F239" s="985"/>
      <c r="G239" s="985"/>
      <c r="H239" s="985"/>
      <c r="I239" s="985"/>
      <c r="J239" s="985"/>
      <c r="K239" s="985"/>
      <c r="L239" s="985"/>
    </row>
    <row r="240" spans="2:12" x14ac:dyDescent="0.2">
      <c r="B240" s="985"/>
      <c r="C240" s="985"/>
      <c r="D240" s="985"/>
      <c r="E240" s="985"/>
      <c r="F240" s="985"/>
      <c r="G240" s="985"/>
      <c r="H240" s="985"/>
      <c r="I240" s="985"/>
      <c r="J240" s="985"/>
      <c r="K240" s="985"/>
      <c r="L240" s="985"/>
    </row>
    <row r="241" spans="2:17" x14ac:dyDescent="0.2">
      <c r="B241" s="985"/>
      <c r="C241" s="985"/>
      <c r="D241" s="985"/>
      <c r="E241" s="985"/>
      <c r="F241" s="985"/>
      <c r="G241" s="985"/>
      <c r="H241" s="985"/>
      <c r="I241" s="985"/>
      <c r="J241" s="985"/>
      <c r="K241" s="985"/>
      <c r="L241" s="985"/>
    </row>
    <row r="242" spans="2:17" x14ac:dyDescent="0.2">
      <c r="B242" s="985"/>
      <c r="C242" s="985"/>
      <c r="D242" s="985"/>
      <c r="E242" s="985"/>
      <c r="F242" s="985"/>
      <c r="G242" s="985"/>
      <c r="H242" s="985"/>
      <c r="I242" s="985"/>
      <c r="J242" s="985"/>
      <c r="K242" s="985"/>
      <c r="L242" s="985"/>
    </row>
    <row r="243" spans="2:17" x14ac:dyDescent="0.2">
      <c r="B243" s="985"/>
      <c r="C243" s="985"/>
      <c r="D243" s="985"/>
      <c r="E243" s="985"/>
      <c r="F243" s="985"/>
      <c r="G243" s="985"/>
      <c r="H243" s="985"/>
      <c r="I243" s="985"/>
      <c r="J243" s="985"/>
      <c r="K243" s="985"/>
      <c r="L243" s="985"/>
      <c r="Q243" s="183"/>
    </row>
    <row r="244" spans="2:17" x14ac:dyDescent="0.2">
      <c r="B244" s="985"/>
      <c r="C244" s="985"/>
      <c r="D244" s="985"/>
      <c r="E244" s="985"/>
      <c r="F244" s="985"/>
      <c r="G244" s="985"/>
      <c r="H244" s="985"/>
      <c r="I244" s="985"/>
      <c r="J244" s="985"/>
      <c r="K244" s="985"/>
      <c r="L244" s="985"/>
    </row>
    <row r="245" spans="2:17" x14ac:dyDescent="0.2">
      <c r="B245" s="988" t="s">
        <v>1444</v>
      </c>
      <c r="C245" s="988" t="s">
        <v>1389</v>
      </c>
      <c r="D245" s="988"/>
      <c r="E245" s="988" t="s">
        <v>1445</v>
      </c>
      <c r="F245" s="988"/>
      <c r="G245" s="988" t="s">
        <v>1446</v>
      </c>
      <c r="H245" s="988"/>
      <c r="I245" s="988" t="s">
        <v>1447</v>
      </c>
      <c r="J245" s="988"/>
      <c r="K245" s="988" t="s">
        <v>1448</v>
      </c>
      <c r="L245" s="988"/>
    </row>
    <row r="246" spans="2:17" x14ac:dyDescent="0.2">
      <c r="B246" s="988"/>
      <c r="C246" s="988"/>
      <c r="D246" s="988"/>
      <c r="E246" s="988"/>
      <c r="F246" s="988"/>
      <c r="G246" s="988"/>
      <c r="H246" s="988"/>
      <c r="I246" s="988"/>
      <c r="J246" s="988"/>
      <c r="K246" s="988"/>
      <c r="L246" s="988"/>
    </row>
    <row r="247" spans="2:17" x14ac:dyDescent="0.2">
      <c r="B247" s="985">
        <f>cont2_mbr_linha</f>
        <v>0</v>
      </c>
      <c r="C247" s="985">
        <f>cont2_mbr_vert</f>
        <v>0</v>
      </c>
      <c r="D247" s="985"/>
      <c r="E247" s="985">
        <f>cont2_bm_vert</f>
        <v>0</v>
      </c>
      <c r="F247" s="985"/>
      <c r="G247" s="985">
        <f>cont2_sf_vert</f>
        <v>0</v>
      </c>
      <c r="H247" s="985"/>
      <c r="I247" s="985">
        <f>cont2_ey_moment</f>
        <v>0</v>
      </c>
      <c r="J247" s="985"/>
      <c r="K247" s="986">
        <f>cont2_sf_line_endb</f>
        <v>0</v>
      </c>
      <c r="L247" s="986"/>
    </row>
    <row r="248" spans="2:17" x14ac:dyDescent="0.2">
      <c r="B248" s="985"/>
      <c r="C248" s="985"/>
      <c r="D248" s="985"/>
      <c r="E248" s="985"/>
      <c r="F248" s="985"/>
      <c r="G248" s="985"/>
      <c r="H248" s="985"/>
      <c r="I248" s="985"/>
      <c r="J248" s="985"/>
      <c r="K248" s="986"/>
      <c r="L248" s="986"/>
    </row>
    <row r="249" spans="2:17" x14ac:dyDescent="0.2"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</row>
    <row r="250" spans="2:17" x14ac:dyDescent="0.2">
      <c r="B250" s="1285" t="s">
        <v>1515</v>
      </c>
      <c r="C250" s="1285"/>
      <c r="D250" s="1285"/>
      <c r="E250" s="1285"/>
      <c r="F250" s="1285"/>
      <c r="G250" s="1285"/>
      <c r="H250" s="1285"/>
      <c r="I250" s="1285"/>
      <c r="J250" s="1285"/>
      <c r="K250" s="1285"/>
      <c r="L250" s="1285"/>
    </row>
    <row r="251" spans="2:17" ht="12.75" customHeight="1" x14ac:dyDescent="0.2">
      <c r="B251" s="1285"/>
      <c r="C251" s="1285"/>
      <c r="D251" s="1285"/>
      <c r="E251" s="1285"/>
      <c r="F251" s="1285"/>
      <c r="G251" s="1285"/>
      <c r="H251" s="1285"/>
      <c r="I251" s="1285"/>
      <c r="J251" s="1285"/>
      <c r="K251" s="1285"/>
      <c r="L251" s="1285"/>
    </row>
    <row r="252" spans="2:17" ht="12.75" customHeight="1" x14ac:dyDescent="0.2">
      <c r="B252" s="979" t="s">
        <v>1465</v>
      </c>
      <c r="C252" s="980"/>
      <c r="D252" s="980"/>
      <c r="E252" s="980"/>
      <c r="F252" s="980"/>
      <c r="G252" s="980"/>
      <c r="H252" s="980"/>
      <c r="I252" s="980"/>
      <c r="J252" s="980"/>
      <c r="K252" s="980"/>
      <c r="L252" s="981"/>
    </row>
    <row r="253" spans="2:17" x14ac:dyDescent="0.2">
      <c r="B253" s="979"/>
      <c r="C253" s="980"/>
      <c r="D253" s="980"/>
      <c r="E253" s="980"/>
      <c r="F253" s="980"/>
      <c r="G253" s="980"/>
      <c r="H253" s="980"/>
      <c r="I253" s="980"/>
      <c r="J253" s="980"/>
      <c r="K253" s="980"/>
      <c r="L253" s="981"/>
    </row>
    <row r="254" spans="2:17" x14ac:dyDescent="0.2">
      <c r="B254" s="979"/>
      <c r="C254" s="980"/>
      <c r="D254" s="980"/>
      <c r="E254" s="980"/>
      <c r="F254" s="980"/>
      <c r="G254" s="980"/>
      <c r="H254" s="980"/>
      <c r="I254" s="980"/>
      <c r="J254" s="980"/>
      <c r="K254" s="980"/>
      <c r="L254" s="981"/>
    </row>
    <row r="255" spans="2:17" ht="12.75" customHeight="1" x14ac:dyDescent="0.2">
      <c r="B255" s="979" t="s">
        <v>1466</v>
      </c>
      <c r="C255" s="980"/>
      <c r="D255" s="980"/>
      <c r="E255" s="980"/>
      <c r="F255" s="980"/>
      <c r="G255" s="980"/>
      <c r="H255" s="980"/>
      <c r="I255" s="980"/>
      <c r="J255" s="980"/>
      <c r="K255" s="980"/>
      <c r="L255" s="981"/>
      <c r="O255" s="183"/>
    </row>
    <row r="256" spans="2:17" x14ac:dyDescent="0.2">
      <c r="B256" s="979"/>
      <c r="C256" s="980"/>
      <c r="D256" s="980"/>
      <c r="E256" s="980"/>
      <c r="F256" s="980"/>
      <c r="G256" s="980"/>
      <c r="H256" s="980"/>
      <c r="I256" s="980"/>
      <c r="J256" s="980"/>
      <c r="K256" s="980"/>
      <c r="L256" s="981"/>
    </row>
    <row r="257" spans="2:12" ht="12.75" customHeight="1" x14ac:dyDescent="0.2">
      <c r="B257" s="979"/>
      <c r="C257" s="980"/>
      <c r="D257" s="980"/>
      <c r="E257" s="980"/>
      <c r="F257" s="980"/>
      <c r="G257" s="980"/>
      <c r="H257" s="980"/>
      <c r="I257" s="980"/>
      <c r="J257" s="980"/>
      <c r="K257" s="980"/>
      <c r="L257" s="981"/>
    </row>
    <row r="258" spans="2:12" ht="12.75" customHeight="1" x14ac:dyDescent="0.2">
      <c r="B258" s="979" t="s">
        <v>1516</v>
      </c>
      <c r="C258" s="980"/>
      <c r="D258" s="980"/>
      <c r="E258" s="980"/>
      <c r="F258" s="980"/>
      <c r="G258" s="980"/>
      <c r="H258" s="980"/>
      <c r="I258" s="980"/>
      <c r="J258" s="980"/>
      <c r="K258" s="980"/>
      <c r="L258" s="981"/>
    </row>
    <row r="259" spans="2:12" x14ac:dyDescent="0.2">
      <c r="B259" s="979"/>
      <c r="C259" s="980"/>
      <c r="D259" s="980"/>
      <c r="E259" s="980"/>
      <c r="F259" s="980"/>
      <c r="G259" s="980"/>
      <c r="H259" s="980"/>
      <c r="I259" s="980"/>
      <c r="J259" s="980"/>
      <c r="K259" s="980"/>
      <c r="L259" s="981"/>
    </row>
    <row r="260" spans="2:12" x14ac:dyDescent="0.2">
      <c r="B260" s="979"/>
      <c r="C260" s="980"/>
      <c r="D260" s="980"/>
      <c r="E260" s="980"/>
      <c r="F260" s="980"/>
      <c r="G260" s="980"/>
      <c r="H260" s="980"/>
      <c r="I260" s="980"/>
      <c r="J260" s="980"/>
      <c r="K260" s="980"/>
      <c r="L260" s="981"/>
    </row>
    <row r="261" spans="2:12" x14ac:dyDescent="0.2">
      <c r="B261" s="979"/>
      <c r="C261" s="980"/>
      <c r="D261" s="980"/>
      <c r="E261" s="980"/>
      <c r="F261" s="980"/>
      <c r="G261" s="980"/>
      <c r="H261" s="980"/>
      <c r="I261" s="980"/>
      <c r="J261" s="980"/>
      <c r="K261" s="980"/>
      <c r="L261" s="981"/>
    </row>
    <row r="262" spans="2:12" x14ac:dyDescent="0.2">
      <c r="B262" s="982"/>
      <c r="C262" s="983"/>
      <c r="D262" s="983"/>
      <c r="E262" s="983"/>
      <c r="F262" s="983"/>
      <c r="G262" s="983"/>
      <c r="H262" s="983"/>
      <c r="I262" s="983"/>
      <c r="J262" s="983"/>
      <c r="K262" s="983"/>
      <c r="L262" s="984"/>
    </row>
    <row r="263" spans="2:12" x14ac:dyDescent="0.2">
      <c r="B263" s="183"/>
      <c r="C263" s="8"/>
      <c r="D263" s="8"/>
      <c r="E263" s="8"/>
      <c r="F263" s="8"/>
      <c r="G263" s="8"/>
      <c r="H263" s="8"/>
      <c r="I263" s="8"/>
      <c r="J263" s="8"/>
      <c r="K263" s="8"/>
      <c r="L263" s="8"/>
    </row>
  </sheetData>
  <mergeCells count="223">
    <mergeCell ref="D133:E133"/>
    <mergeCell ref="D134:E135"/>
    <mergeCell ref="F133:H133"/>
    <mergeCell ref="F134:H135"/>
    <mergeCell ref="B258:L262"/>
    <mergeCell ref="B221:B222"/>
    <mergeCell ref="C221:D222"/>
    <mergeCell ref="E221:F222"/>
    <mergeCell ref="G221:H222"/>
    <mergeCell ref="I221:J222"/>
    <mergeCell ref="K221:L222"/>
    <mergeCell ref="B245:B246"/>
    <mergeCell ref="C245:D246"/>
    <mergeCell ref="E245:F246"/>
    <mergeCell ref="G245:H246"/>
    <mergeCell ref="I245:J246"/>
    <mergeCell ref="K245:L246"/>
    <mergeCell ref="B224:L224"/>
    <mergeCell ref="B225:L244"/>
    <mergeCell ref="B257:L257"/>
    <mergeCell ref="C247:D248"/>
    <mergeCell ref="E247:F248"/>
    <mergeCell ref="G247:H248"/>
    <mergeCell ref="I247:J248"/>
    <mergeCell ref="K247:L248"/>
    <mergeCell ref="B247:B248"/>
    <mergeCell ref="B252:L254"/>
    <mergeCell ref="B255:L256"/>
    <mergeCell ref="H153:J154"/>
    <mergeCell ref="K153:L154"/>
    <mergeCell ref="B199:L218"/>
    <mergeCell ref="B219:B220"/>
    <mergeCell ref="C219:D220"/>
    <mergeCell ref="E219:F220"/>
    <mergeCell ref="G219:H220"/>
    <mergeCell ref="I219:J220"/>
    <mergeCell ref="K219:L220"/>
    <mergeCell ref="B196:L197"/>
    <mergeCell ref="B250:L251"/>
    <mergeCell ref="B198:L198"/>
    <mergeCell ref="B157:E158"/>
    <mergeCell ref="F157:I158"/>
    <mergeCell ref="J157:L158"/>
    <mergeCell ref="B166:L185"/>
    <mergeCell ref="B165:L165"/>
    <mergeCell ref="B159:L159"/>
    <mergeCell ref="B160:E161"/>
    <mergeCell ref="B33:F33"/>
    <mergeCell ref="G33:L33"/>
    <mergeCell ref="C17:G17"/>
    <mergeCell ref="B19:C19"/>
    <mergeCell ref="D19:G19"/>
    <mergeCell ref="I19:L19"/>
    <mergeCell ref="B34:F49"/>
    <mergeCell ref="G34:L49"/>
    <mergeCell ref="B52:B53"/>
    <mergeCell ref="C52:F53"/>
    <mergeCell ref="G52:I53"/>
    <mergeCell ref="J52:J53"/>
    <mergeCell ref="K52:K53"/>
    <mergeCell ref="L52:L53"/>
    <mergeCell ref="B22:C22"/>
    <mergeCell ref="D21:G21"/>
    <mergeCell ref="D22:G22"/>
    <mergeCell ref="D1:L3"/>
    <mergeCell ref="B1:C3"/>
    <mergeCell ref="C7:D7"/>
    <mergeCell ref="E7:F7"/>
    <mergeCell ref="G7:H7"/>
    <mergeCell ref="I7:J7"/>
    <mergeCell ref="K7:L7"/>
    <mergeCell ref="B10:B11"/>
    <mergeCell ref="C10:L11"/>
    <mergeCell ref="B8:B9"/>
    <mergeCell ref="C8:D9"/>
    <mergeCell ref="E8:F9"/>
    <mergeCell ref="G8:H9"/>
    <mergeCell ref="I8:J9"/>
    <mergeCell ref="K8:L9"/>
    <mergeCell ref="B5:L6"/>
    <mergeCell ref="C12:G12"/>
    <mergeCell ref="H12:L12"/>
    <mergeCell ref="B26:B27"/>
    <mergeCell ref="C26:F27"/>
    <mergeCell ref="G26:G27"/>
    <mergeCell ref="H26:L27"/>
    <mergeCell ref="B28:B29"/>
    <mergeCell ref="C28:F29"/>
    <mergeCell ref="G28:G29"/>
    <mergeCell ref="H28:L29"/>
    <mergeCell ref="D20:G20"/>
    <mergeCell ref="I20:L20"/>
    <mergeCell ref="I21:L21"/>
    <mergeCell ref="I22:L22"/>
    <mergeCell ref="B24:L24"/>
    <mergeCell ref="C25:F25"/>
    <mergeCell ref="H25:L25"/>
    <mergeCell ref="B16:G16"/>
    <mergeCell ref="H16:L16"/>
    <mergeCell ref="I17:L17"/>
    <mergeCell ref="B18:C18"/>
    <mergeCell ref="D18:G18"/>
    <mergeCell ref="I18:L18"/>
    <mergeCell ref="B21:C21"/>
    <mergeCell ref="L54:L55"/>
    <mergeCell ref="B50:F50"/>
    <mergeCell ref="G50:L50"/>
    <mergeCell ref="C51:F51"/>
    <mergeCell ref="G51:I51"/>
    <mergeCell ref="B56:B57"/>
    <mergeCell ref="C56:F57"/>
    <mergeCell ref="G56:I57"/>
    <mergeCell ref="J56:J57"/>
    <mergeCell ref="K56:K57"/>
    <mergeCell ref="L56:L57"/>
    <mergeCell ref="B54:B55"/>
    <mergeCell ref="C54:F55"/>
    <mergeCell ref="G54:I55"/>
    <mergeCell ref="J54:J55"/>
    <mergeCell ref="K54:K55"/>
    <mergeCell ref="B66:L66"/>
    <mergeCell ref="B67:L72"/>
    <mergeCell ref="B58:B59"/>
    <mergeCell ref="C58:F59"/>
    <mergeCell ref="G58:I59"/>
    <mergeCell ref="J58:J59"/>
    <mergeCell ref="K58:K59"/>
    <mergeCell ref="L58:L59"/>
    <mergeCell ref="G64:I65"/>
    <mergeCell ref="J64:J65"/>
    <mergeCell ref="K64:K65"/>
    <mergeCell ref="L64:L65"/>
    <mergeCell ref="B60:F65"/>
    <mergeCell ref="G60:I61"/>
    <mergeCell ref="J60:J61"/>
    <mergeCell ref="K60:K61"/>
    <mergeCell ref="L60:L61"/>
    <mergeCell ref="G62:I63"/>
    <mergeCell ref="J62:J63"/>
    <mergeCell ref="K62:K63"/>
    <mergeCell ref="L62:L63"/>
    <mergeCell ref="I133:L133"/>
    <mergeCell ref="H93:J94"/>
    <mergeCell ref="K93:L94"/>
    <mergeCell ref="B76:L76"/>
    <mergeCell ref="B77:L77"/>
    <mergeCell ref="B78:C79"/>
    <mergeCell ref="D78:F79"/>
    <mergeCell ref="G78:H79"/>
    <mergeCell ref="I78:J79"/>
    <mergeCell ref="K78:L79"/>
    <mergeCell ref="G84:L85"/>
    <mergeCell ref="B87:E87"/>
    <mergeCell ref="F87:H87"/>
    <mergeCell ref="I87:L87"/>
    <mergeCell ref="B88:E89"/>
    <mergeCell ref="F88:H89"/>
    <mergeCell ref="B90:L90"/>
    <mergeCell ref="B91:D92"/>
    <mergeCell ref="E91:G92"/>
    <mergeCell ref="B111:L130"/>
    <mergeCell ref="E93:G94"/>
    <mergeCell ref="B133:C133"/>
    <mergeCell ref="B93:D94"/>
    <mergeCell ref="H91:J92"/>
    <mergeCell ref="B149:L149"/>
    <mergeCell ref="B150:L150"/>
    <mergeCell ref="B151:D152"/>
    <mergeCell ref="E151:G152"/>
    <mergeCell ref="H151:J152"/>
    <mergeCell ref="K151:L152"/>
    <mergeCell ref="B153:D154"/>
    <mergeCell ref="B155:E156"/>
    <mergeCell ref="F155:I156"/>
    <mergeCell ref="J155:L156"/>
    <mergeCell ref="E153:G154"/>
    <mergeCell ref="B143:L143"/>
    <mergeCell ref="B144:L144"/>
    <mergeCell ref="B145:D145"/>
    <mergeCell ref="E145:H145"/>
    <mergeCell ref="I145:L145"/>
    <mergeCell ref="B146:D147"/>
    <mergeCell ref="E146:H147"/>
    <mergeCell ref="I146:L147"/>
    <mergeCell ref="I134:L135"/>
    <mergeCell ref="B136:L136"/>
    <mergeCell ref="B137:C137"/>
    <mergeCell ref="D137:F137"/>
    <mergeCell ref="G137:I137"/>
    <mergeCell ref="J137:L137"/>
    <mergeCell ref="B138:C139"/>
    <mergeCell ref="D138:F139"/>
    <mergeCell ref="G138:I139"/>
    <mergeCell ref="J138:L139"/>
    <mergeCell ref="B140:C141"/>
    <mergeCell ref="D140:F141"/>
    <mergeCell ref="G140:I141"/>
    <mergeCell ref="J140:L141"/>
    <mergeCell ref="B134:C135"/>
    <mergeCell ref="B132:L132"/>
    <mergeCell ref="K91:L92"/>
    <mergeCell ref="B131:L131"/>
    <mergeCell ref="F160:I161"/>
    <mergeCell ref="J160:L161"/>
    <mergeCell ref="B162:E163"/>
    <mergeCell ref="F162:I163"/>
    <mergeCell ref="J162:L163"/>
    <mergeCell ref="B14:L15"/>
    <mergeCell ref="B31:L32"/>
    <mergeCell ref="B74:L75"/>
    <mergeCell ref="B97:L110"/>
    <mergeCell ref="B96:L96"/>
    <mergeCell ref="I88:L89"/>
    <mergeCell ref="B80:C81"/>
    <mergeCell ref="D80:F81"/>
    <mergeCell ref="G80:H81"/>
    <mergeCell ref="I80:J81"/>
    <mergeCell ref="K80:L81"/>
    <mergeCell ref="B86:L86"/>
    <mergeCell ref="B83:F83"/>
    <mergeCell ref="G83:L83"/>
    <mergeCell ref="B84:F85"/>
    <mergeCell ref="B82:L82"/>
  </mergeCells>
  <conditionalFormatting sqref="D80:F81">
    <cfRule type="cellIs" dxfId="96" priority="60" operator="lessThan">
      <formula>$K$54</formula>
    </cfRule>
  </conditionalFormatting>
  <conditionalFormatting sqref="K80:L81">
    <cfRule type="expression" dxfId="95" priority="59">
      <formula xml:space="preserve"> ABS($K$80) &lt; ABS($K$58)</formula>
    </cfRule>
  </conditionalFormatting>
  <conditionalFormatting sqref="B84:F85">
    <cfRule type="expression" dxfId="94" priority="47">
      <formula xml:space="preserve"> AND($B$84&lt;0,$K$62&gt;0)</formula>
    </cfRule>
    <cfRule type="expression" dxfId="93" priority="48">
      <formula xml:space="preserve"> AND($B$84&gt;0,$K$62&lt;0)</formula>
    </cfRule>
    <cfRule type="expression" dxfId="92" priority="58">
      <formula xml:space="preserve"> ABS($B$84)&gt;ABS($K$62)</formula>
    </cfRule>
  </conditionalFormatting>
  <conditionalFormatting sqref="G84:L85">
    <cfRule type="expression" dxfId="91" priority="43">
      <formula xml:space="preserve"> AND($G$84&lt;0,$K$64&gt;0)</formula>
    </cfRule>
    <cfRule type="expression" dxfId="90" priority="44">
      <formula xml:space="preserve"> AND($G$84&gt;0,$K$64&lt;0)</formula>
    </cfRule>
    <cfRule type="expression" dxfId="89" priority="46">
      <formula xml:space="preserve"> ABS($B$84)&gt;ABS($K$64)</formula>
    </cfRule>
  </conditionalFormatting>
  <conditionalFormatting sqref="I80:J81 D134 F134">
    <cfRule type="cellIs" dxfId="88" priority="56" operator="lessThan">
      <formula>$K$60</formula>
    </cfRule>
  </conditionalFormatting>
  <conditionalFormatting sqref="B80:C81">
    <cfRule type="expression" dxfId="87" priority="49">
      <formula xml:space="preserve"> $B$80&lt;($K$56-0.05)</formula>
    </cfRule>
    <cfRule type="expression" dxfId="86" priority="50">
      <formula xml:space="preserve"> $B$80&gt;($K$56+0.05)</formula>
    </cfRule>
  </conditionalFormatting>
  <conditionalFormatting sqref="B162:E163">
    <cfRule type="expression" dxfId="85" priority="4">
      <formula xml:space="preserve"> AND($B$162&lt;0,$K$62&gt;0)</formula>
    </cfRule>
    <cfRule type="expression" dxfId="84" priority="5">
      <formula xml:space="preserve"> AND($B$162&gt;0,$K$62&lt;0)</formula>
    </cfRule>
    <cfRule type="expression" dxfId="83" priority="6">
      <formula xml:space="preserve"> ABS($B$162)&gt;ABS($K$62)</formula>
    </cfRule>
  </conditionalFormatting>
  <conditionalFormatting sqref="F162:I163">
    <cfRule type="expression" dxfId="82" priority="1">
      <formula>AND($F$162&lt;0,$K$64&gt;0)</formula>
    </cfRule>
    <cfRule type="expression" dxfId="81" priority="2">
      <formula>AND($F$162&gt;0,$K$64&lt;0)</formula>
    </cfRule>
    <cfRule type="expression" dxfId="80" priority="3">
      <formula xml:space="preserve"> ABS($F$162)&gt;ABS($K$64)</formula>
    </cfRule>
  </conditionalFormatting>
  <pageMargins left="0.23622047244094491" right="0.23622047244094491" top="0.19685039370078741" bottom="0.19685039370078741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imagensRelatorio">
                <anchor moveWithCells="1" sizeWithCells="1">
                  <from>
                    <xdr:col>14</xdr:col>
                    <xdr:colOff>9525</xdr:colOff>
                    <xdr:row>4</xdr:row>
                    <xdr:rowOff>161925</xdr:rowOff>
                  </from>
                  <to>
                    <xdr:col>16</xdr:col>
                    <xdr:colOff>609600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5" name="Button 3">
              <controlPr defaultSize="0" print="0" autoFill="0" autoPict="0" macro="[0]!Conclusao">
                <anchor moveWithCells="1" sizeWithCells="1">
                  <from>
                    <xdr:col>14</xdr:col>
                    <xdr:colOff>0</xdr:colOff>
                    <xdr:row>14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1" id="{E3088589-1EB5-48C9-93F8-643412254D6E}">
            <xm:f xml:space="preserve"> AND($D$138&gt;0,Esforços!$G$16&lt;0)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32" id="{87FC0390-2F03-4ECA-B194-01278823DF40}">
            <xm:f xml:space="preserve"> AND($D$138&lt;0,Esforços!$G$16&gt;0)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52" id="{75AF1E94-10C0-403F-AE62-1D370FB24C5F}">
            <xm:f>ABS($D$138)&gt;ABS(Esforços!$G$16)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D138:F139</xm:sqref>
        </x14:conditionalFormatting>
        <x14:conditionalFormatting xmlns:xm="http://schemas.microsoft.com/office/excel/2006/main">
          <x14:cfRule type="expression" priority="29" id="{2E2E22F5-BD42-4134-849F-F6F686E33ABB}">
            <xm:f xml:space="preserve"> AND($G$138&gt;0,Esforços!$G$14&lt;0)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30" id="{F34A9479-9714-48DD-BFEE-0D0535E4AD01}">
            <xm:f xml:space="preserve"> AND($G$138&lt;0,Esforços!$G$14&gt;0)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51" id="{3FFA1EBA-0A8C-425C-9C0C-0DB2BF67C608}">
            <xm:f xml:space="preserve"> ABS($G$138)&gt;ABS(Esforços!$G$14)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G138:I139</xm:sqref>
        </x14:conditionalFormatting>
        <x14:conditionalFormatting xmlns:xm="http://schemas.microsoft.com/office/excel/2006/main">
          <x14:cfRule type="expression" priority="40" id="{89760B93-1A1F-49A8-A451-B8C422B46429}">
            <xm:f xml:space="preserve"> AND($B$88&lt;0,Esforços!$G$11&gt;0)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41" id="{BB23492A-9426-4D46-913E-936F047A81DA}">
            <xm:f xml:space="preserve"> AND($B$88&gt;0,Esforços!$G$11&lt;0)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42" id="{666CACA1-57DE-4B34-B535-A6D9AC4682CA}">
            <xm:f xml:space="preserve"> ABS($B$88)&gt;ABS(Esforços!$G$11)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B88:E89</xm:sqref>
        </x14:conditionalFormatting>
        <x14:conditionalFormatting xmlns:xm="http://schemas.microsoft.com/office/excel/2006/main">
          <x14:cfRule type="expression" priority="37" id="{9FA330AC-6471-435C-B1AF-C189B65607F8}">
            <xm:f xml:space="preserve"> AND($F$88&gt;0,Esforços!$G$9&lt;0)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38" id="{59520F08-5F67-43EA-BBBC-60A39CE95149}">
            <xm:f xml:space="preserve"> AND($F$88&lt;0,Esforços!$G$9&gt;0)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39" id="{0FAC9A6A-A23F-469E-8350-0351D74B22D5}">
            <xm:f xml:space="preserve"> ABS($F$88)&gt;ABS(Esforços!$G$9)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F88:H89</xm:sqref>
        </x14:conditionalFormatting>
        <x14:conditionalFormatting xmlns:xm="http://schemas.microsoft.com/office/excel/2006/main">
          <x14:cfRule type="expression" priority="33" id="{13478B88-4CA9-4118-8E39-93564B880225}">
            <xm:f xml:space="preserve"> AND($I$88&gt;0,Esforços!$G$10&lt;0)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34" id="{347D1BF9-5353-451A-B734-C4E176EF8268}">
            <xm:f xml:space="preserve"> AND($I$88&lt;0,Esforços!$G$10&gt;0)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35" id="{8035E205-5002-45BC-9130-6891BEF1C66E}">
            <xm:f xml:space="preserve"> ABS($I$88)&gt;ABS(Esforços!$G$10)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I88:L89</xm:sqref>
        </x14:conditionalFormatting>
        <x14:conditionalFormatting xmlns:xm="http://schemas.microsoft.com/office/excel/2006/main">
          <x14:cfRule type="expression" priority="26" id="{93667F40-9F1E-4B9C-8F10-026917642D65}">
            <xm:f xml:space="preserve"> AND($J$138&gt;0,Esforços!$G$15&lt;0)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7" id="{6EBB8750-A516-4E44-9692-5FDA437D4EAB}">
            <xm:f xml:space="preserve"> AND($J$138&lt;0,Esforços!$G$15&gt;0)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8" id="{0EBEE34F-9FD3-46A4-B061-D358A9A1B86F}">
            <xm:f xml:space="preserve"> ABS($J$138)&gt;ABS(Esforços!$G$15)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J138:L139</xm:sqref>
        </x14:conditionalFormatting>
        <x14:conditionalFormatting xmlns:xm="http://schemas.microsoft.com/office/excel/2006/main">
          <x14:cfRule type="expression" priority="16" id="{4D5FBC03-85B3-478F-9D32-EC303FA38FF0}">
            <xm:f xml:space="preserve"> AND($J$140&gt;0,Esforços!$G$18&lt;0)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17" id="{0A589A4F-13BF-45EF-842C-9D35AEC66541}">
            <xm:f xml:space="preserve"> AND($J$140&lt;0,Esforços!$G$18&gt;0)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18" id="{8F643BF6-0FC1-428E-A362-D02BD1AC6DEC}">
            <xm:f xml:space="preserve"> ABS($J$140)&gt;ABS(Esforços!$G$18)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J140:L141</xm:sqref>
        </x14:conditionalFormatting>
        <x14:conditionalFormatting xmlns:xm="http://schemas.microsoft.com/office/excel/2006/main">
          <x14:cfRule type="expression" priority="19" id="{7A890622-083A-4F36-9FDA-9B25BF507FE2}">
            <xm:f xml:space="preserve"> AND($G$140&gt;0,Esforços!$G$17&lt;0)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0" id="{1ABB8992-4228-42B9-97A6-97BCEE95BCCB}">
            <xm:f xml:space="preserve"> AND($G$140&lt;0,Esforços!$G$17&gt;0)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1" id="{CB88ED40-1333-4E0B-8B73-674FACCDA7FE}">
            <xm:f xml:space="preserve"> ABS($G$140)&gt;ABS(Esforços!$G$17)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G140:I141</xm:sqref>
        </x14:conditionalFormatting>
        <x14:conditionalFormatting xmlns:xm="http://schemas.microsoft.com/office/excel/2006/main">
          <x14:cfRule type="expression" priority="22" id="{D76642B5-4254-4D6E-9688-E6A5C9F429AB}">
            <xm:f xml:space="preserve"> AND($D$140&gt;0,Esforços!$G$19&lt;0)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3" id="{36929E0F-91F3-462B-90BD-C3AC15970D4D}">
            <xm:f xml:space="preserve"> AND($D$140&lt;0,Esforços!$G$19&gt;0)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5" id="{F0F8DE9F-C67E-42E4-B2F6-34517D0B0CF5}">
            <xm:f xml:space="preserve"> ABS($D$140)&gt;ABS(Esforços!$G$19)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D140:F141</xm:sqref>
        </x14:conditionalFormatting>
        <x14:conditionalFormatting xmlns:xm="http://schemas.microsoft.com/office/excel/2006/main">
          <x14:cfRule type="expression" priority="13" id="{9044CC84-CE0F-4545-A7B5-E04C6B8DA8F3}">
            <xm:f xml:space="preserve"> AND($B$146&gt;0,Esforços!$G$24&lt;0)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14" id="{CC60A39F-465B-4F8E-BED2-FCBB95665E6B}">
            <xm:f xml:space="preserve"> AND($B$146&lt;0,Esforços!$G$24&gt;0)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15" id="{24B64A25-CB4D-446B-B9BF-46F3FD026CE3}">
            <xm:f xml:space="preserve"> ABS($B$146)&gt;ABS(Esforços!$G$24)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B146:D147</xm:sqref>
        </x14:conditionalFormatting>
        <x14:conditionalFormatting xmlns:xm="http://schemas.microsoft.com/office/excel/2006/main">
          <x14:cfRule type="expression" priority="10" id="{F7378969-E679-46B4-98EA-5524BCD93CDF}">
            <xm:f xml:space="preserve"> AND($E$146&gt;0,Esforços!$G$22&lt;0)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11" id="{A06A5CB9-5E73-4156-B2C5-9900C600B476}">
            <xm:f xml:space="preserve"> AND($E$146&lt;0,Esforços!$G$22&gt;0)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12" id="{326AED2C-2D13-482B-8E99-13D0E85127AB}">
            <xm:f xml:space="preserve"> ABS($E$146)&gt;ABS(Esforços!$G$22)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E146:H147</xm:sqref>
        </x14:conditionalFormatting>
        <x14:conditionalFormatting xmlns:xm="http://schemas.microsoft.com/office/excel/2006/main">
          <x14:cfRule type="expression" priority="7" id="{F4FD2630-2554-47A1-B98D-A9ECF6D63FD7}">
            <xm:f xml:space="preserve"> AND($I$146&gt;0,Esforços!$G$23&lt;0)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8" id="{25217B1E-970E-4CD4-8E54-68A299627D71}">
            <xm:f xml:space="preserve"> AND($I$146&lt;0,Esforços!$G$23&gt;0)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9" id="{A4E602ED-1245-42F5-940C-B6B6DF3CA7FC}">
            <xm:f xml:space="preserve"> ABS($I$146)&gt;ABS(Esforços!$G$23)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I146:L147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13102-726D-4A0B-8714-3C7DE112CB8D}">
  <sheetPr codeName="Sheet18">
    <tabColor rgb="FF512D6D"/>
  </sheetPr>
  <dimension ref="A1:AY213"/>
  <sheetViews>
    <sheetView zoomScale="80" zoomScaleNormal="80" workbookViewId="0"/>
  </sheetViews>
  <sheetFormatPr defaultColWidth="0" defaultRowHeight="12.75" outlineLevelRow="1" x14ac:dyDescent="0.2"/>
  <cols>
    <col min="1" max="1" width="1.7109375" style="62" customWidth="1"/>
    <col min="2" max="33" width="9.140625" style="62" customWidth="1"/>
    <col min="34" max="34" width="1.7109375" style="62" customWidth="1"/>
    <col min="35" max="51" width="0" style="62" hidden="1" customWidth="1"/>
    <col min="52" max="16384" width="9.140625" style="62" hidden="1"/>
  </cols>
  <sheetData>
    <row r="1" spans="1:37" s="4" customFormat="1" ht="13.5" thickBot="1" x14ac:dyDescent="0.25">
      <c r="A1" s="33"/>
      <c r="B1" s="74"/>
      <c r="C1" s="75"/>
      <c r="D1" s="75"/>
      <c r="E1" s="75"/>
      <c r="F1" s="75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8"/>
      <c r="AE1" s="8"/>
      <c r="AF1" s="8"/>
      <c r="AG1" s="8"/>
      <c r="AH1" s="8"/>
      <c r="AI1" s="8"/>
      <c r="AJ1" s="8"/>
      <c r="AK1" s="8"/>
    </row>
    <row r="2" spans="1:37" s="4" customFormat="1" ht="13.5" thickTop="1" x14ac:dyDescent="0.2">
      <c r="A2" s="10"/>
      <c r="B2" s="1231"/>
      <c r="C2" s="1231"/>
      <c r="D2" s="1231"/>
      <c r="E2" s="1231"/>
      <c r="F2" s="1239" t="str">
        <f xml:space="preserve"> IF(ISBLANK(estudo_edr),"",estudo_edr)</f>
        <v>S51956-RT-5801-IAS-661</v>
      </c>
      <c r="G2" s="1240"/>
      <c r="H2" s="1240"/>
      <c r="I2" s="1240"/>
      <c r="J2" s="1240"/>
      <c r="K2" s="1240"/>
      <c r="L2" s="1240"/>
      <c r="M2" s="1240"/>
      <c r="N2" s="1240"/>
      <c r="O2" s="1240"/>
      <c r="P2" s="1240"/>
      <c r="Q2" s="1240"/>
      <c r="R2" s="1240"/>
      <c r="S2" s="1240"/>
      <c r="T2" s="1240"/>
      <c r="U2" s="1240"/>
      <c r="V2" s="1240"/>
      <c r="W2" s="1240"/>
      <c r="X2" s="1240"/>
      <c r="Y2" s="1240"/>
      <c r="Z2" s="1240"/>
      <c r="AA2" s="1240"/>
      <c r="AB2" s="1241"/>
      <c r="AC2" s="8"/>
      <c r="AD2" s="8"/>
      <c r="AE2" s="8"/>
      <c r="AF2" s="8"/>
      <c r="AG2" s="8"/>
      <c r="AH2" s="8"/>
      <c r="AI2" s="8"/>
      <c r="AJ2" s="8"/>
      <c r="AK2" s="8"/>
    </row>
    <row r="3" spans="1:37" s="4" customFormat="1" x14ac:dyDescent="0.2">
      <c r="A3" s="10"/>
      <c r="B3" s="1234"/>
      <c r="C3" s="1234"/>
      <c r="D3" s="1234"/>
      <c r="E3" s="1234"/>
      <c r="F3" s="1242"/>
      <c r="G3" s="1243"/>
      <c r="H3" s="1243"/>
      <c r="I3" s="1243"/>
      <c r="J3" s="1243"/>
      <c r="K3" s="1243"/>
      <c r="L3" s="1243"/>
      <c r="M3" s="1243"/>
      <c r="N3" s="1243"/>
      <c r="O3" s="1243"/>
      <c r="P3" s="1243"/>
      <c r="Q3" s="1243"/>
      <c r="R3" s="1243"/>
      <c r="S3" s="1243"/>
      <c r="T3" s="1243"/>
      <c r="U3" s="1243"/>
      <c r="V3" s="1243"/>
      <c r="W3" s="1243"/>
      <c r="X3" s="1243"/>
      <c r="Y3" s="1243"/>
      <c r="Z3" s="1243"/>
      <c r="AA3" s="1243"/>
      <c r="AB3" s="1244"/>
      <c r="AC3" s="8"/>
      <c r="AD3" s="8"/>
      <c r="AE3" s="8"/>
      <c r="AF3" s="8"/>
      <c r="AG3" s="8"/>
      <c r="AH3" s="8"/>
      <c r="AI3" s="8"/>
      <c r="AJ3" s="8"/>
      <c r="AK3" s="8"/>
    </row>
    <row r="4" spans="1:37" s="4" customFormat="1" x14ac:dyDescent="0.2">
      <c r="A4" s="10"/>
      <c r="B4" s="1234"/>
      <c r="C4" s="1234"/>
      <c r="D4" s="1234"/>
      <c r="E4" s="1234"/>
      <c r="F4" s="1242"/>
      <c r="G4" s="1243"/>
      <c r="H4" s="1243"/>
      <c r="I4" s="1243"/>
      <c r="J4" s="1243"/>
      <c r="K4" s="1243"/>
      <c r="L4" s="1243"/>
      <c r="M4" s="1243"/>
      <c r="N4" s="1243"/>
      <c r="O4" s="1243"/>
      <c r="P4" s="1243"/>
      <c r="Q4" s="1243"/>
      <c r="R4" s="1243"/>
      <c r="S4" s="1243"/>
      <c r="T4" s="1243"/>
      <c r="U4" s="1243"/>
      <c r="V4" s="1243"/>
      <c r="W4" s="1243"/>
      <c r="X4" s="1243"/>
      <c r="Y4" s="1243"/>
      <c r="Z4" s="1243"/>
      <c r="AA4" s="1243"/>
      <c r="AB4" s="1244"/>
      <c r="AC4" s="8"/>
      <c r="AD4" s="8"/>
      <c r="AE4" s="8"/>
      <c r="AF4" s="8"/>
      <c r="AG4" s="8"/>
      <c r="AH4" s="8"/>
      <c r="AI4" s="8"/>
      <c r="AJ4" s="8"/>
      <c r="AK4" s="8"/>
    </row>
    <row r="5" spans="1:37" s="4" customFormat="1" x14ac:dyDescent="0.2">
      <c r="A5" s="10"/>
      <c r="B5" s="1234"/>
      <c r="C5" s="1234"/>
      <c r="D5" s="1234"/>
      <c r="E5" s="1234"/>
      <c r="F5" s="1242"/>
      <c r="G5" s="1243"/>
      <c r="H5" s="1243"/>
      <c r="I5" s="1243"/>
      <c r="J5" s="1243"/>
      <c r="K5" s="1243"/>
      <c r="L5" s="1243"/>
      <c r="M5" s="1243"/>
      <c r="N5" s="1243"/>
      <c r="O5" s="1243"/>
      <c r="P5" s="1243"/>
      <c r="Q5" s="1243"/>
      <c r="R5" s="1243"/>
      <c r="S5" s="1243"/>
      <c r="T5" s="1243"/>
      <c r="U5" s="1243"/>
      <c r="V5" s="1243"/>
      <c r="W5" s="1243"/>
      <c r="X5" s="1243"/>
      <c r="Y5" s="1243"/>
      <c r="Z5" s="1243"/>
      <c r="AA5" s="1243"/>
      <c r="AB5" s="1244"/>
      <c r="AC5" s="8"/>
      <c r="AD5" s="8"/>
      <c r="AE5" s="8"/>
      <c r="AF5" s="8"/>
      <c r="AG5" s="8"/>
      <c r="AH5" s="8"/>
      <c r="AI5" s="8"/>
      <c r="AJ5" s="8"/>
      <c r="AK5" s="8"/>
    </row>
    <row r="6" spans="1:37" s="4" customFormat="1" ht="13.5" thickBot="1" x14ac:dyDescent="0.25">
      <c r="A6" s="10"/>
      <c r="B6" s="1237"/>
      <c r="C6" s="1237"/>
      <c r="D6" s="1237"/>
      <c r="E6" s="1237"/>
      <c r="F6" s="1245"/>
      <c r="G6" s="1246"/>
      <c r="H6" s="1246"/>
      <c r="I6" s="1246"/>
      <c r="J6" s="1246"/>
      <c r="K6" s="1246"/>
      <c r="L6" s="1246"/>
      <c r="M6" s="1246"/>
      <c r="N6" s="1246"/>
      <c r="O6" s="1246"/>
      <c r="P6" s="1246"/>
      <c r="Q6" s="1246"/>
      <c r="R6" s="1246"/>
      <c r="S6" s="1246"/>
      <c r="T6" s="1246"/>
      <c r="U6" s="1246"/>
      <c r="V6" s="1246"/>
      <c r="W6" s="1246"/>
      <c r="X6" s="1246"/>
      <c r="Y6" s="1246"/>
      <c r="Z6" s="1246"/>
      <c r="AA6" s="1246"/>
      <c r="AB6" s="1247"/>
      <c r="AC6" s="8"/>
      <c r="AD6" s="8"/>
      <c r="AE6" s="8"/>
      <c r="AF6" s="8"/>
      <c r="AG6" s="8"/>
      <c r="AH6" s="8"/>
      <c r="AI6" s="8"/>
      <c r="AJ6" s="8"/>
      <c r="AK6" s="8"/>
    </row>
    <row r="7" spans="1:37" s="4" customFormat="1" ht="13.5" thickTop="1" x14ac:dyDescent="0.2">
      <c r="A7" s="8"/>
      <c r="B7" s="1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</row>
    <row r="8" spans="1:37" s="4" customFormat="1" ht="13.5" thickBot="1" x14ac:dyDescent="0.2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</row>
    <row r="9" spans="1:37" s="4" customFormat="1" ht="12.75" customHeight="1" thickBot="1" x14ac:dyDescent="0.25">
      <c r="A9" s="8"/>
      <c r="B9" s="1301" t="s">
        <v>1361</v>
      </c>
      <c r="C9" s="1301"/>
      <c r="D9" s="1301"/>
      <c r="E9" s="1301"/>
      <c r="F9" s="1301"/>
      <c r="G9" s="1301"/>
      <c r="H9" s="1301"/>
      <c r="I9" s="1301"/>
      <c r="J9" s="1301"/>
      <c r="K9" s="1301"/>
      <c r="L9" s="1301"/>
      <c r="M9" s="1301"/>
      <c r="N9" s="1301"/>
      <c r="O9" s="8"/>
      <c r="P9" s="1303" t="s">
        <v>1362</v>
      </c>
      <c r="Q9" s="1304"/>
      <c r="R9" s="1304"/>
      <c r="S9" s="1304"/>
      <c r="T9" s="1304"/>
      <c r="U9" s="1304"/>
      <c r="V9" s="1304"/>
      <c r="W9" s="1304"/>
      <c r="X9" s="1304"/>
      <c r="Y9" s="1304"/>
      <c r="Z9" s="1304"/>
      <c r="AA9" s="1304"/>
      <c r="AB9" s="1305"/>
      <c r="AC9" s="8"/>
      <c r="AD9" s="8"/>
      <c r="AE9" s="8"/>
      <c r="AF9" s="8"/>
      <c r="AG9" s="8"/>
      <c r="AH9" s="8"/>
      <c r="AI9" s="8"/>
      <c r="AJ9" s="8"/>
      <c r="AK9" s="8"/>
    </row>
    <row r="10" spans="1:37" s="4" customFormat="1" ht="12.75" customHeight="1" thickBot="1" x14ac:dyDescent="0.25">
      <c r="A10" s="8"/>
      <c r="B10" s="1301"/>
      <c r="C10" s="1301"/>
      <c r="D10" s="1301"/>
      <c r="E10" s="1301"/>
      <c r="F10" s="1301"/>
      <c r="G10" s="1301"/>
      <c r="H10" s="1301"/>
      <c r="I10" s="1301"/>
      <c r="J10" s="1301"/>
      <c r="K10" s="1301"/>
      <c r="L10" s="1301"/>
      <c r="M10" s="1301"/>
      <c r="N10" s="1301"/>
      <c r="O10" s="8"/>
      <c r="P10" s="1313" t="s">
        <v>1363</v>
      </c>
      <c r="Q10" s="1314"/>
      <c r="R10" s="1314"/>
      <c r="S10" s="1314"/>
      <c r="T10" s="1314"/>
      <c r="U10" s="1314"/>
      <c r="V10" s="1314"/>
      <c r="W10" s="1314"/>
      <c r="X10" s="1314"/>
      <c r="Y10" s="1314"/>
      <c r="Z10" s="1314"/>
      <c r="AA10" s="1314"/>
      <c r="AB10" s="1315"/>
      <c r="AC10" s="8"/>
      <c r="AD10" s="8"/>
      <c r="AE10" s="8"/>
      <c r="AF10" s="8"/>
      <c r="AG10" s="8"/>
      <c r="AH10" s="8"/>
      <c r="AI10" s="8"/>
      <c r="AJ10" s="8"/>
      <c r="AK10" s="8"/>
    </row>
    <row r="11" spans="1:37" s="4" customFormat="1" x14ac:dyDescent="0.2">
      <c r="A11" s="10"/>
      <c r="B11" s="66" t="s">
        <v>1364</v>
      </c>
      <c r="C11" s="1306" t="s">
        <v>1365</v>
      </c>
      <c r="D11" s="1307"/>
      <c r="E11" s="1308"/>
      <c r="F11" s="1309" t="s">
        <v>1366</v>
      </c>
      <c r="G11" s="1310"/>
      <c r="H11" s="1311"/>
      <c r="I11" s="1309" t="s">
        <v>1367</v>
      </c>
      <c r="J11" s="1310"/>
      <c r="K11" s="1311"/>
      <c r="L11" s="1309" t="s">
        <v>1368</v>
      </c>
      <c r="M11" s="1310"/>
      <c r="N11" s="1312"/>
      <c r="O11" s="8"/>
      <c r="P11" s="1064" t="s">
        <v>1369</v>
      </c>
      <c r="Q11" s="1175"/>
      <c r="R11" s="1175"/>
      <c r="S11" s="1175"/>
      <c r="T11" s="1175" t="s">
        <v>1370</v>
      </c>
      <c r="U11" s="1175"/>
      <c r="V11" s="1175"/>
      <c r="W11" s="1175"/>
      <c r="X11" s="1175" t="s">
        <v>1371</v>
      </c>
      <c r="Y11" s="1175"/>
      <c r="Z11" s="1175"/>
      <c r="AA11" s="1175"/>
      <c r="AB11" s="1066"/>
      <c r="AC11" s="8"/>
      <c r="AD11" s="8"/>
      <c r="AE11" s="8"/>
      <c r="AF11" s="8"/>
      <c r="AG11" s="8"/>
      <c r="AH11" s="8"/>
      <c r="AI11" s="8"/>
      <c r="AJ11" s="8"/>
      <c r="AK11" s="8"/>
    </row>
    <row r="12" spans="1:37" s="4" customFormat="1" ht="12.75" customHeight="1" x14ac:dyDescent="0.2">
      <c r="A12" s="10"/>
      <c r="B12" s="1188">
        <f>estudo_version_report</f>
        <v>0</v>
      </c>
      <c r="C12" s="1040">
        <f ca="1">TODAY()</f>
        <v>45712</v>
      </c>
      <c r="D12" s="997"/>
      <c r="E12" s="998"/>
      <c r="F12" s="1191" t="str">
        <f>estudo_initials_engineer</f>
        <v>YBN</v>
      </c>
      <c r="G12" s="1192"/>
      <c r="H12" s="1193"/>
      <c r="I12" s="1191" t="str">
        <f>estudo_initials_reviewer</f>
        <v>NSI</v>
      </c>
      <c r="J12" s="1192"/>
      <c r="K12" s="1193"/>
      <c r="L12" s="1197" t="str">
        <f>estudo_initials_aprover</f>
        <v>CFS</v>
      </c>
      <c r="M12" s="1198"/>
      <c r="N12" s="1199"/>
      <c r="O12" s="8"/>
      <c r="P12" s="1064"/>
      <c r="Q12" s="1175"/>
      <c r="R12" s="1175"/>
      <c r="S12" s="1175"/>
      <c r="T12" s="1175"/>
      <c r="U12" s="1175"/>
      <c r="V12" s="1175"/>
      <c r="W12" s="1175"/>
      <c r="X12" s="1175"/>
      <c r="Y12" s="1175"/>
      <c r="Z12" s="1175"/>
      <c r="AA12" s="1175"/>
      <c r="AB12" s="1066"/>
      <c r="AC12" s="8"/>
      <c r="AD12" s="8"/>
      <c r="AE12" s="8"/>
      <c r="AF12" s="8"/>
      <c r="AG12" s="8"/>
      <c r="AH12" s="8"/>
      <c r="AI12" s="8"/>
      <c r="AJ12" s="8"/>
      <c r="AK12" s="8"/>
    </row>
    <row r="13" spans="1:37" s="4" customFormat="1" ht="12.75" customHeight="1" x14ac:dyDescent="0.2">
      <c r="A13" s="10"/>
      <c r="B13" s="1189"/>
      <c r="C13" s="999"/>
      <c r="D13" s="1000"/>
      <c r="E13" s="1001"/>
      <c r="F13" s="1194"/>
      <c r="G13" s="1195"/>
      <c r="H13" s="1196"/>
      <c r="I13" s="1194"/>
      <c r="J13" s="1195"/>
      <c r="K13" s="1196"/>
      <c r="L13" s="1197"/>
      <c r="M13" s="1198"/>
      <c r="N13" s="1199"/>
      <c r="O13" s="8"/>
      <c r="P13" s="1067">
        <f>IF(ISBLANK(case3ii_toque_ey_moment_max),"",(case3ii_toque_ey_moment_max))</f>
        <v>0</v>
      </c>
      <c r="Q13" s="1068"/>
      <c r="R13" s="1068"/>
      <c r="S13" s="1068"/>
      <c r="T13" s="1068">
        <f>IF(ISBLANK(case3ii_toque_ez_axial_max),"",(case3ii_toque_ez_axial_max))</f>
        <v>0</v>
      </c>
      <c r="U13" s="1068"/>
      <c r="V13" s="1068"/>
      <c r="W13" s="1068"/>
      <c r="X13" s="1068">
        <f>IF(ISBLANK(case3ii_toque_ex_shear_force_max),"",(case3ii_toque_ex_shear_force_max))</f>
        <v>0</v>
      </c>
      <c r="Y13" s="1068"/>
      <c r="Z13" s="1068"/>
      <c r="AA13" s="1068"/>
      <c r="AB13" s="1071"/>
      <c r="AC13" s="8"/>
      <c r="AD13" s="8"/>
      <c r="AE13" s="8"/>
      <c r="AF13" s="8"/>
      <c r="AG13" s="8"/>
      <c r="AH13" s="8"/>
      <c r="AI13" s="8"/>
      <c r="AJ13" s="8"/>
      <c r="AK13" s="8"/>
    </row>
    <row r="14" spans="1:37" s="4" customFormat="1" x14ac:dyDescent="0.2">
      <c r="A14" s="10"/>
      <c r="B14" s="1190"/>
      <c r="C14" s="1200" t="s">
        <v>1372</v>
      </c>
      <c r="D14" s="1201"/>
      <c r="E14" s="1201"/>
      <c r="F14" s="1201"/>
      <c r="G14" s="1201"/>
      <c r="H14" s="1201"/>
      <c r="I14" s="1201"/>
      <c r="J14" s="1201"/>
      <c r="K14" s="1201"/>
      <c r="L14" s="1201"/>
      <c r="M14" s="1201"/>
      <c r="N14" s="1202"/>
      <c r="O14" s="8"/>
      <c r="P14" s="1067"/>
      <c r="Q14" s="1068"/>
      <c r="R14" s="1068"/>
      <c r="S14" s="1068"/>
      <c r="T14" s="1068"/>
      <c r="U14" s="1068"/>
      <c r="V14" s="1068"/>
      <c r="W14" s="1068"/>
      <c r="X14" s="1068"/>
      <c r="Y14" s="1068"/>
      <c r="Z14" s="1068"/>
      <c r="AA14" s="1068"/>
      <c r="AB14" s="1071"/>
      <c r="AC14" s="8"/>
      <c r="AD14" s="8"/>
      <c r="AE14" s="8"/>
      <c r="AF14" s="8"/>
      <c r="AG14" s="8"/>
      <c r="AH14" s="8"/>
      <c r="AI14" s="8"/>
      <c r="AJ14" s="8"/>
      <c r="AK14" s="8"/>
    </row>
    <row r="15" spans="1:37" s="4" customFormat="1" x14ac:dyDescent="0.2">
      <c r="A15" s="10"/>
      <c r="B15" s="1203" t="s">
        <v>1373</v>
      </c>
      <c r="C15" s="1206" t="str">
        <f>_xlfn.CONCAT("ESTUDO DE CVD DE 2ª EXTREMIDADE DA LINHA DE"," ",estudo_line_type," ","no"," ",estudo_connection_type," ",estudo_well_name)</f>
        <v>ESTUDO DE CVD DE 2ª EXTREMIDADE DA LINHA DE IG no Poço 8-LL-44-RJS</v>
      </c>
      <c r="D15" s="1207"/>
      <c r="E15" s="1207"/>
      <c r="F15" s="1207"/>
      <c r="G15" s="1207"/>
      <c r="H15" s="1207"/>
      <c r="I15" s="1207"/>
      <c r="J15" s="1207"/>
      <c r="K15" s="1207"/>
      <c r="L15" s="1207"/>
      <c r="M15" s="1207"/>
      <c r="N15" s="1208"/>
      <c r="O15" s="8"/>
      <c r="P15" s="1058" t="s">
        <v>1374</v>
      </c>
      <c r="Q15" s="1340"/>
      <c r="R15" s="1340"/>
      <c r="S15" s="1340"/>
      <c r="T15" s="1340"/>
      <c r="U15" s="1340"/>
      <c r="V15" s="1340"/>
      <c r="W15" s="1340"/>
      <c r="X15" s="1340"/>
      <c r="Y15" s="1340"/>
      <c r="Z15" s="1340"/>
      <c r="AA15" s="1340"/>
      <c r="AB15" s="1060"/>
      <c r="AC15" s="8"/>
      <c r="AD15" s="8"/>
      <c r="AE15" s="8"/>
      <c r="AF15" s="8"/>
      <c r="AG15" s="8"/>
      <c r="AH15" s="8"/>
      <c r="AI15" s="8"/>
      <c r="AJ15" s="8"/>
      <c r="AK15" s="8"/>
    </row>
    <row r="16" spans="1:37" s="4" customFormat="1" ht="12.75" customHeight="1" x14ac:dyDescent="0.2">
      <c r="A16" s="10"/>
      <c r="B16" s="1204"/>
      <c r="C16" s="1209"/>
      <c r="D16" s="1210"/>
      <c r="E16" s="1210"/>
      <c r="F16" s="1210"/>
      <c r="G16" s="1210"/>
      <c r="H16" s="1210"/>
      <c r="I16" s="1210"/>
      <c r="J16" s="1210"/>
      <c r="K16" s="1210"/>
      <c r="L16" s="1210"/>
      <c r="M16" s="1210"/>
      <c r="N16" s="1211"/>
      <c r="O16" s="8"/>
      <c r="P16" s="1098" t="s">
        <v>1375</v>
      </c>
      <c r="Q16" s="1156"/>
      <c r="R16" s="1156"/>
      <c r="S16" s="1156"/>
      <c r="T16" s="1156"/>
      <c r="U16" s="1156"/>
      <c r="V16" s="1156"/>
      <c r="W16" s="1156"/>
      <c r="X16" s="1156"/>
      <c r="Y16" s="1156"/>
      <c r="Z16" s="1156"/>
      <c r="AA16" s="1156"/>
      <c r="AB16" s="1100"/>
      <c r="AC16" s="8"/>
      <c r="AD16" s="8"/>
      <c r="AE16" s="8"/>
      <c r="AF16" s="8"/>
      <c r="AG16" s="8"/>
      <c r="AH16" s="8"/>
      <c r="AI16" s="8"/>
      <c r="AJ16" s="8"/>
      <c r="AK16" s="8"/>
    </row>
    <row r="17" spans="1:37" s="4" customFormat="1" x14ac:dyDescent="0.2">
      <c r="A17" s="10"/>
      <c r="B17" s="1205"/>
      <c r="C17" s="1212"/>
      <c r="D17" s="1213"/>
      <c r="E17" s="1213"/>
      <c r="F17" s="1213"/>
      <c r="G17" s="1213"/>
      <c r="H17" s="1213"/>
      <c r="I17" s="1213"/>
      <c r="J17" s="1213"/>
      <c r="K17" s="1213"/>
      <c r="L17" s="1213"/>
      <c r="M17" s="1213"/>
      <c r="N17" s="1214"/>
      <c r="O17" s="8"/>
      <c r="P17" s="1321" t="s">
        <v>1376</v>
      </c>
      <c r="Q17" s="1322"/>
      <c r="R17" s="1322" t="s">
        <v>1377</v>
      </c>
      <c r="S17" s="1322"/>
      <c r="T17" s="1322" t="s">
        <v>1378</v>
      </c>
      <c r="U17" s="1322"/>
      <c r="V17" s="1322" t="s">
        <v>1379</v>
      </c>
      <c r="W17" s="1322"/>
      <c r="X17" s="1322" t="s">
        <v>1380</v>
      </c>
      <c r="Y17" s="1322"/>
      <c r="Z17" s="1322" t="s">
        <v>1381</v>
      </c>
      <c r="AA17" s="1322"/>
      <c r="AB17" s="1101" t="s">
        <v>1382</v>
      </c>
      <c r="AC17" s="8"/>
      <c r="AD17" s="8"/>
      <c r="AE17" s="8"/>
      <c r="AF17" s="8"/>
      <c r="AG17" s="8"/>
      <c r="AH17" s="8"/>
      <c r="AI17" s="8"/>
      <c r="AJ17" s="8"/>
      <c r="AK17" s="8"/>
    </row>
    <row r="18" spans="1:37" s="4" customFormat="1" ht="13.5" customHeight="1" thickBot="1" x14ac:dyDescent="0.25">
      <c r="A18" s="10"/>
      <c r="B18" s="67" t="s">
        <v>1383</v>
      </c>
      <c r="C18" s="1215" t="str">
        <f xml:space="preserve"> IF(ISBLANK(estudo_requester),"",estudo_requester)</f>
        <v>Alef Nascimento; João Gabriel Santos</v>
      </c>
      <c r="D18" s="1216"/>
      <c r="E18" s="1216"/>
      <c r="F18" s="1216"/>
      <c r="G18" s="1216"/>
      <c r="H18" s="1216"/>
      <c r="I18" s="1216" t="str">
        <f>IF(ISBLANK(estudo_vessel_coordinator),"",estudo_vessel_coordinator)</f>
        <v>André Paulo</v>
      </c>
      <c r="J18" s="1216"/>
      <c r="K18" s="1216"/>
      <c r="L18" s="1216"/>
      <c r="M18" s="1216"/>
      <c r="N18" s="1219"/>
      <c r="O18" s="8"/>
      <c r="P18" s="1321"/>
      <c r="Q18" s="1322"/>
      <c r="R18" s="1322"/>
      <c r="S18" s="1322"/>
      <c r="T18" s="1322"/>
      <c r="U18" s="1322"/>
      <c r="V18" s="1322"/>
      <c r="W18" s="1322"/>
      <c r="X18" s="1322"/>
      <c r="Y18" s="1322"/>
      <c r="Z18" s="1322"/>
      <c r="AA18" s="1322"/>
      <c r="AB18" s="1101"/>
      <c r="AC18" s="8"/>
      <c r="AD18" s="8"/>
      <c r="AE18" s="8"/>
      <c r="AF18" s="8"/>
      <c r="AG18" s="8"/>
      <c r="AH18" s="8"/>
      <c r="AI18" s="8"/>
      <c r="AJ18" s="8"/>
      <c r="AK18" s="8"/>
    </row>
    <row r="19" spans="1:37" s="4" customFormat="1" x14ac:dyDescent="0.2">
      <c r="A19" s="8"/>
      <c r="B19" s="11"/>
      <c r="C19" s="8"/>
      <c r="D19" s="8"/>
      <c r="E19" s="8"/>
      <c r="F19" s="8"/>
      <c r="G19" s="8"/>
      <c r="H19" s="8"/>
      <c r="I19" s="8"/>
      <c r="J19" s="8"/>
      <c r="K19" s="8"/>
      <c r="L19" s="8"/>
      <c r="M19" s="11"/>
      <c r="N19" s="11"/>
      <c r="O19" s="8"/>
      <c r="P19" s="1321"/>
      <c r="Q19" s="1322"/>
      <c r="R19" s="1322"/>
      <c r="S19" s="1322"/>
      <c r="T19" s="1322"/>
      <c r="U19" s="1322"/>
      <c r="V19" s="1322"/>
      <c r="W19" s="1322"/>
      <c r="X19" s="1322"/>
      <c r="Y19" s="1322"/>
      <c r="Z19" s="1322"/>
      <c r="AA19" s="1322"/>
      <c r="AB19" s="1101"/>
      <c r="AC19" s="8"/>
      <c r="AD19" s="8"/>
      <c r="AE19" s="8"/>
      <c r="AF19" s="8"/>
      <c r="AG19" s="8"/>
      <c r="AH19" s="8"/>
      <c r="AI19" s="8"/>
      <c r="AJ19" s="8"/>
      <c r="AK19" s="8"/>
    </row>
    <row r="20" spans="1:37" s="4" customFormat="1" x14ac:dyDescent="0.2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1323" t="str">
        <f>hmax_dist_flange</f>
        <v/>
      </c>
      <c r="Q20" s="1068"/>
      <c r="R20" s="1324" t="str">
        <f>hmax_dist_tdp_flange</f>
        <v/>
      </c>
      <c r="S20" s="1068"/>
      <c r="T20" s="1324" t="str">
        <f>hmax_comp_susp</f>
        <v/>
      </c>
      <c r="U20" s="1068"/>
      <c r="V20" s="1324">
        <f>hmax_altura_corc</f>
        <v>0</v>
      </c>
      <c r="W20" s="1068"/>
      <c r="X20" s="1324">
        <f>hmax_inclinacao_mcv</f>
        <v>0</v>
      </c>
      <c r="Y20" s="1068"/>
      <c r="Z20" s="1324" t="str">
        <f>hmax_overlength</f>
        <v/>
      </c>
      <c r="AA20" s="1068"/>
      <c r="AB20" s="1325">
        <f>hmax_mbr_linha</f>
        <v>0</v>
      </c>
      <c r="AC20" s="8"/>
      <c r="AD20" s="8"/>
      <c r="AE20" s="8"/>
      <c r="AF20" s="8"/>
      <c r="AG20" s="8"/>
      <c r="AH20" s="8"/>
      <c r="AI20" s="8"/>
      <c r="AJ20" s="8"/>
      <c r="AK20" s="8"/>
    </row>
    <row r="21" spans="1:37" s="4" customFormat="1" ht="12.75" customHeight="1" x14ac:dyDescent="0.2">
      <c r="A21" s="8"/>
      <c r="B21" s="1301" t="s">
        <v>1384</v>
      </c>
      <c r="C21" s="1301"/>
      <c r="D21" s="1301"/>
      <c r="E21" s="1301"/>
      <c r="F21" s="1301"/>
      <c r="G21" s="1301"/>
      <c r="H21" s="1301"/>
      <c r="I21" s="1301"/>
      <c r="J21" s="1301"/>
      <c r="K21" s="1301"/>
      <c r="L21" s="1301"/>
      <c r="M21" s="1301"/>
      <c r="N21" s="1301"/>
      <c r="O21" s="8"/>
      <c r="P21" s="1067"/>
      <c r="Q21" s="1068"/>
      <c r="R21" s="1068"/>
      <c r="S21" s="1068"/>
      <c r="T21" s="1068"/>
      <c r="U21" s="1068"/>
      <c r="V21" s="1068"/>
      <c r="W21" s="1068"/>
      <c r="X21" s="1068"/>
      <c r="Y21" s="1068"/>
      <c r="Z21" s="1068"/>
      <c r="AA21" s="1068"/>
      <c r="AB21" s="1071"/>
      <c r="AC21" s="8"/>
      <c r="AD21" s="8"/>
      <c r="AE21" s="8"/>
      <c r="AF21" s="8"/>
      <c r="AG21" s="8"/>
      <c r="AH21" s="8"/>
      <c r="AI21" s="8"/>
      <c r="AJ21" s="8"/>
      <c r="AK21" s="8"/>
    </row>
    <row r="22" spans="1:37" s="4" customFormat="1" ht="12.75" customHeight="1" thickBot="1" x14ac:dyDescent="0.25">
      <c r="A22" s="8"/>
      <c r="B22" s="1301"/>
      <c r="C22" s="1301"/>
      <c r="D22" s="1301"/>
      <c r="E22" s="1301"/>
      <c r="F22" s="1301"/>
      <c r="G22" s="1301"/>
      <c r="H22" s="1301"/>
      <c r="I22" s="1301"/>
      <c r="J22" s="1301"/>
      <c r="K22" s="1301"/>
      <c r="L22" s="1301"/>
      <c r="M22" s="1301"/>
      <c r="N22" s="1301"/>
      <c r="O22" s="8"/>
      <c r="P22" s="1098" t="s">
        <v>1338</v>
      </c>
      <c r="Q22" s="1156"/>
      <c r="R22" s="1156"/>
      <c r="S22" s="1156"/>
      <c r="T22" s="1156"/>
      <c r="U22" s="1156"/>
      <c r="V22" s="1156"/>
      <c r="W22" s="1156"/>
      <c r="X22" s="1156"/>
      <c r="Y22" s="1156"/>
      <c r="Z22" s="1156"/>
      <c r="AA22" s="1156"/>
      <c r="AB22" s="1100"/>
      <c r="AC22" s="8"/>
      <c r="AD22" s="8"/>
      <c r="AE22" s="8"/>
      <c r="AF22" s="8"/>
      <c r="AG22" s="8"/>
      <c r="AH22" s="8"/>
      <c r="AI22" s="8"/>
      <c r="AJ22" s="8"/>
      <c r="AK22" s="8"/>
    </row>
    <row r="23" spans="1:37" s="4" customFormat="1" ht="12.75" customHeight="1" x14ac:dyDescent="0.2">
      <c r="A23" s="10"/>
      <c r="B23" s="1316" t="s">
        <v>1385</v>
      </c>
      <c r="C23" s="1317"/>
      <c r="D23" s="1317"/>
      <c r="E23" s="1317"/>
      <c r="F23" s="1317"/>
      <c r="G23" s="1317"/>
      <c r="H23" s="1318"/>
      <c r="I23" s="1319" t="s">
        <v>1386</v>
      </c>
      <c r="J23" s="1319"/>
      <c r="K23" s="1319"/>
      <c r="L23" s="1319"/>
      <c r="M23" s="1319"/>
      <c r="N23" s="1320"/>
      <c r="O23" s="8"/>
      <c r="P23" s="1073" t="s">
        <v>1387</v>
      </c>
      <c r="Q23" s="1150"/>
      <c r="R23" s="1150"/>
      <c r="S23" s="1150"/>
      <c r="T23" s="1150" t="s">
        <v>1388</v>
      </c>
      <c r="U23" s="1150"/>
      <c r="V23" s="1150"/>
      <c r="W23" s="1150"/>
      <c r="X23" s="1150"/>
      <c r="Y23" s="1150" t="s">
        <v>1389</v>
      </c>
      <c r="Z23" s="1150"/>
      <c r="AA23" s="1150"/>
      <c r="AB23" s="1101"/>
      <c r="AC23" s="8"/>
      <c r="AD23" s="8"/>
      <c r="AE23" s="8"/>
      <c r="AF23" s="8"/>
      <c r="AG23" s="8"/>
      <c r="AH23" s="8"/>
      <c r="AI23" s="8"/>
      <c r="AJ23" s="8"/>
      <c r="AK23" s="8"/>
    </row>
    <row r="24" spans="1:37" s="4" customFormat="1" x14ac:dyDescent="0.2">
      <c r="A24" s="10"/>
      <c r="B24" s="68" t="s">
        <v>1390</v>
      </c>
      <c r="C24" s="1088" t="s">
        <v>1391</v>
      </c>
      <c r="D24" s="1088"/>
      <c r="E24" s="1088"/>
      <c r="F24" s="1088"/>
      <c r="G24" s="1088"/>
      <c r="H24" s="1170"/>
      <c r="I24" s="32" t="s">
        <v>1392</v>
      </c>
      <c r="J24" s="1088" t="s">
        <v>1393</v>
      </c>
      <c r="K24" s="1088"/>
      <c r="L24" s="1088"/>
      <c r="M24" s="1088"/>
      <c r="N24" s="1089"/>
      <c r="O24" s="15"/>
      <c r="P24" s="1299"/>
      <c r="Q24" s="1300"/>
      <c r="R24" s="1300"/>
      <c r="S24" s="1300"/>
      <c r="T24" s="1119"/>
      <c r="U24" s="1290"/>
      <c r="V24" s="1290"/>
      <c r="W24" s="1290"/>
      <c r="X24" s="1291"/>
      <c r="Y24" s="1145">
        <f>hmax_mbr_vert</f>
        <v>0</v>
      </c>
      <c r="Z24" s="1055"/>
      <c r="AA24" s="1055"/>
      <c r="AB24" s="1051"/>
      <c r="AC24" s="8"/>
      <c r="AD24" s="8"/>
      <c r="AE24" s="8"/>
      <c r="AF24" s="8"/>
      <c r="AG24" s="8"/>
      <c r="AH24" s="8"/>
      <c r="AI24" s="8"/>
      <c r="AJ24" s="8"/>
      <c r="AK24" s="8"/>
    </row>
    <row r="25" spans="1:37" s="4" customFormat="1" x14ac:dyDescent="0.2">
      <c r="A25" s="10"/>
      <c r="B25" s="1217" t="s">
        <v>1394</v>
      </c>
      <c r="C25" s="1218"/>
      <c r="D25" s="1111" t="str">
        <f>_xlfn.CONCAT(estudo_connection_type,"  ",estudo_well_name)</f>
        <v>Poço  8-LL-44-RJS</v>
      </c>
      <c r="E25" s="1111"/>
      <c r="F25" s="1111"/>
      <c r="G25" s="1111"/>
      <c r="H25" s="1118"/>
      <c r="I25" s="69" t="str">
        <f>_xlfn.CONCAT(estudo_line_type,":")</f>
        <v>IG:</v>
      </c>
      <c r="J25" s="1111" t="s">
        <v>1395</v>
      </c>
      <c r="K25" s="1111"/>
      <c r="L25" s="1111"/>
      <c r="M25" s="1111"/>
      <c r="N25" s="1141"/>
      <c r="O25" s="15"/>
      <c r="P25" s="1299"/>
      <c r="Q25" s="1300"/>
      <c r="R25" s="1300"/>
      <c r="S25" s="1300"/>
      <c r="T25" s="1119"/>
      <c r="U25" s="1290"/>
      <c r="V25" s="1290"/>
      <c r="W25" s="1290"/>
      <c r="X25" s="1291"/>
      <c r="Y25" s="1145"/>
      <c r="Z25" s="1055"/>
      <c r="AA25" s="1055"/>
      <c r="AB25" s="1051"/>
      <c r="AC25" s="8"/>
      <c r="AD25" s="8"/>
      <c r="AE25" s="8"/>
      <c r="AF25" s="8"/>
      <c r="AG25" s="8"/>
      <c r="AH25" s="8"/>
      <c r="AI25" s="8"/>
      <c r="AJ25" s="8"/>
      <c r="AK25" s="8"/>
    </row>
    <row r="26" spans="1:37" s="4" customFormat="1" x14ac:dyDescent="0.2">
      <c r="A26" s="10"/>
      <c r="B26" s="1186" t="s">
        <v>1396</v>
      </c>
      <c r="C26" s="1187"/>
      <c r="D26" s="1111" t="str">
        <f>_xlfn.CONCAT(Values!C3," ","[m]")</f>
        <v>2240 [m]</v>
      </c>
      <c r="E26" s="1111"/>
      <c r="F26" s="1111"/>
      <c r="G26" s="1111"/>
      <c r="H26" s="1118"/>
      <c r="I26" s="36" t="s">
        <v>1397</v>
      </c>
      <c r="J26" s="1111" t="s">
        <v>1398</v>
      </c>
      <c r="K26" s="1111"/>
      <c r="L26" s="1111"/>
      <c r="M26" s="1111"/>
      <c r="N26" s="1141"/>
      <c r="O26" s="8"/>
      <c r="P26" s="1098" t="s">
        <v>1399</v>
      </c>
      <c r="Q26" s="1156"/>
      <c r="R26" s="1156"/>
      <c r="S26" s="1156"/>
      <c r="T26" s="1156"/>
      <c r="U26" s="1156"/>
      <c r="V26" s="1156"/>
      <c r="W26" s="1156"/>
      <c r="X26" s="1156"/>
      <c r="Y26" s="1156"/>
      <c r="Z26" s="1156"/>
      <c r="AA26" s="1156"/>
      <c r="AB26" s="1100"/>
      <c r="AC26" s="8"/>
      <c r="AD26" s="8"/>
      <c r="AE26" s="8"/>
      <c r="AF26" s="8"/>
      <c r="AG26" s="8"/>
      <c r="AH26" s="8"/>
      <c r="AI26" s="8"/>
      <c r="AJ26" s="8"/>
      <c r="AK26" s="8"/>
    </row>
    <row r="27" spans="1:37" s="4" customFormat="1" x14ac:dyDescent="0.2">
      <c r="A27" s="10"/>
      <c r="B27" s="1186" t="s">
        <v>1400</v>
      </c>
      <c r="C27" s="1187"/>
      <c r="D27" s="1111" t="str">
        <f xml:space="preserve"> IF(ISBLANK(estudo_vessel_name)," ",estudo_vessel_name)</f>
        <v>Skandi Açu</v>
      </c>
      <c r="E27" s="1111"/>
      <c r="F27" s="1111"/>
      <c r="G27" s="1111"/>
      <c r="H27" s="1118"/>
      <c r="I27" s="69" t="s">
        <v>1401</v>
      </c>
      <c r="J27" s="1111" t="s">
        <v>1402</v>
      </c>
      <c r="K27" s="1111"/>
      <c r="L27" s="1111"/>
      <c r="M27" s="1111"/>
      <c r="N27" s="1141"/>
      <c r="O27" s="8"/>
      <c r="P27" s="1292"/>
      <c r="Q27" s="1293"/>
      <c r="R27" s="1293"/>
      <c r="S27" s="1293"/>
      <c r="T27" s="1293"/>
      <c r="U27" s="1293"/>
      <c r="V27" s="1293"/>
      <c r="W27" s="1293"/>
      <c r="X27" s="1293"/>
      <c r="Y27" s="1293"/>
      <c r="Z27" s="1293"/>
      <c r="AA27" s="1293"/>
      <c r="AB27" s="1294"/>
      <c r="AC27" s="8"/>
      <c r="AD27" s="8"/>
      <c r="AE27" s="8"/>
      <c r="AF27" s="8"/>
      <c r="AG27" s="8"/>
      <c r="AH27" s="8"/>
      <c r="AI27" s="8"/>
      <c r="AJ27" s="8"/>
      <c r="AK27" s="8"/>
    </row>
    <row r="28" spans="1:37" s="4" customFormat="1" x14ac:dyDescent="0.2">
      <c r="A28" s="10"/>
      <c r="B28" s="70" t="s">
        <v>1403</v>
      </c>
      <c r="C28" s="1111" t="str">
        <f>IF(ISBLANK(estudo_field_name),"",estudo_field_name)</f>
        <v>Lula</v>
      </c>
      <c r="D28" s="1111"/>
      <c r="E28" s="1111"/>
      <c r="F28" s="1111"/>
      <c r="G28" s="1111"/>
      <c r="H28" s="1118"/>
      <c r="I28" s="69" t="s">
        <v>1404</v>
      </c>
      <c r="J28" s="1111" t="s">
        <v>1405</v>
      </c>
      <c r="K28" s="1111"/>
      <c r="L28" s="1111"/>
      <c r="M28" s="1111"/>
      <c r="N28" s="1141"/>
      <c r="O28" s="8"/>
      <c r="P28" s="1292"/>
      <c r="Q28" s="1293"/>
      <c r="R28" s="1293"/>
      <c r="S28" s="1293"/>
      <c r="T28" s="1293"/>
      <c r="U28" s="1293"/>
      <c r="V28" s="1293"/>
      <c r="W28" s="1293"/>
      <c r="X28" s="1293"/>
      <c r="Y28" s="1293"/>
      <c r="Z28" s="1293"/>
      <c r="AA28" s="1293"/>
      <c r="AB28" s="1294"/>
      <c r="AC28" s="8"/>
      <c r="AD28" s="8"/>
      <c r="AE28" s="8"/>
      <c r="AF28" s="8"/>
      <c r="AG28" s="8"/>
      <c r="AH28" s="8"/>
      <c r="AI28" s="8"/>
      <c r="AJ28" s="8"/>
      <c r="AK28" s="8"/>
    </row>
    <row r="29" spans="1:37" s="4" customFormat="1" x14ac:dyDescent="0.2">
      <c r="A29" s="10"/>
      <c r="B29" s="12" t="s">
        <v>1406</v>
      </c>
      <c r="C29" s="1111" t="str">
        <f>_xlfn.CONCAT("ORCAFLEX versão"," ", postproc_orcaflex_version)</f>
        <v>ORCAFLEX versão 0</v>
      </c>
      <c r="D29" s="1111"/>
      <c r="E29" s="1111"/>
      <c r="F29" s="1111"/>
      <c r="G29" s="1111"/>
      <c r="H29" s="1118"/>
      <c r="I29" s="69" t="s">
        <v>1407</v>
      </c>
      <c r="J29" s="1081" t="s">
        <v>1408</v>
      </c>
      <c r="K29" s="1081"/>
      <c r="L29" s="1081"/>
      <c r="M29" s="1081"/>
      <c r="N29" s="1082"/>
      <c r="O29" s="8"/>
      <c r="P29" s="1292"/>
      <c r="Q29" s="1293"/>
      <c r="R29" s="1293"/>
      <c r="S29" s="1293"/>
      <c r="T29" s="1293"/>
      <c r="U29" s="1293"/>
      <c r="V29" s="1293"/>
      <c r="W29" s="1293"/>
      <c r="X29" s="1293"/>
      <c r="Y29" s="1293"/>
      <c r="Z29" s="1293"/>
      <c r="AA29" s="1293"/>
      <c r="AB29" s="1294"/>
      <c r="AC29" s="8"/>
      <c r="AD29" s="8"/>
      <c r="AE29" s="8"/>
      <c r="AF29" s="8"/>
      <c r="AG29" s="8"/>
      <c r="AH29" s="8"/>
      <c r="AI29" s="8"/>
      <c r="AJ29" s="8"/>
      <c r="AK29" s="8"/>
    </row>
    <row r="30" spans="1:37" s="4" customFormat="1" x14ac:dyDescent="0.2">
      <c r="A30" s="10"/>
      <c r="B30" s="1224" t="s">
        <v>1409</v>
      </c>
      <c r="C30" s="1225"/>
      <c r="D30" s="1225"/>
      <c r="E30" s="1225"/>
      <c r="F30" s="1225"/>
      <c r="G30" s="1225"/>
      <c r="H30" s="1225"/>
      <c r="I30" s="1225"/>
      <c r="J30" s="1225"/>
      <c r="K30" s="1225"/>
      <c r="L30" s="1225"/>
      <c r="M30" s="1225"/>
      <c r="N30" s="1226"/>
      <c r="O30" s="8"/>
      <c r="P30" s="1292"/>
      <c r="Q30" s="1293"/>
      <c r="R30" s="1293"/>
      <c r="S30" s="1293"/>
      <c r="T30" s="1293"/>
      <c r="U30" s="1293"/>
      <c r="V30" s="1293"/>
      <c r="W30" s="1293"/>
      <c r="X30" s="1293"/>
      <c r="Y30" s="1293"/>
      <c r="Z30" s="1293"/>
      <c r="AA30" s="1293"/>
      <c r="AB30" s="1294"/>
      <c r="AC30" s="8"/>
      <c r="AD30" s="8"/>
      <c r="AE30" s="8"/>
      <c r="AF30" s="8"/>
      <c r="AG30" s="8"/>
      <c r="AH30" s="8"/>
      <c r="AI30" s="8"/>
      <c r="AJ30" s="8"/>
      <c r="AK30" s="8"/>
    </row>
    <row r="31" spans="1:37" s="4" customFormat="1" x14ac:dyDescent="0.2">
      <c r="A31" s="10"/>
      <c r="B31" s="71" t="s">
        <v>1410</v>
      </c>
      <c r="C31" s="1227" t="s">
        <v>1411</v>
      </c>
      <c r="D31" s="1228"/>
      <c r="E31" s="1229"/>
      <c r="F31" s="13" t="s">
        <v>1412</v>
      </c>
      <c r="G31" s="1179" t="s">
        <v>1413</v>
      </c>
      <c r="H31" s="1180"/>
      <c r="I31" s="1180"/>
      <c r="J31" s="1180"/>
      <c r="K31" s="1180"/>
      <c r="L31" s="1180"/>
      <c r="M31" s="1180"/>
      <c r="N31" s="1181"/>
      <c r="O31" s="8"/>
      <c r="P31" s="1292"/>
      <c r="Q31" s="1293"/>
      <c r="R31" s="1293"/>
      <c r="S31" s="1293"/>
      <c r="T31" s="1293"/>
      <c r="U31" s="1293"/>
      <c r="V31" s="1293"/>
      <c r="W31" s="1293"/>
      <c r="X31" s="1293"/>
      <c r="Y31" s="1293"/>
      <c r="Z31" s="1293"/>
      <c r="AA31" s="1293"/>
      <c r="AB31" s="1294"/>
      <c r="AC31" s="8"/>
      <c r="AD31" s="8"/>
      <c r="AE31" s="8"/>
      <c r="AF31" s="8"/>
      <c r="AG31" s="8"/>
      <c r="AH31" s="8"/>
      <c r="AI31" s="8"/>
      <c r="AJ31" s="8"/>
      <c r="AK31" s="8"/>
    </row>
    <row r="32" spans="1:37" s="4" customFormat="1" ht="12.75" customHeight="1" x14ac:dyDescent="0.2">
      <c r="A32" s="10"/>
      <c r="B32" s="1168" t="s">
        <v>1414</v>
      </c>
      <c r="C32" s="1169" t="str">
        <f xml:space="preserve"> IF(ISBLANK(estudo_rl_doc),"",estudo_rl_doc)</f>
        <v/>
      </c>
      <c r="D32" s="1088"/>
      <c r="E32" s="1170"/>
      <c r="F32" s="1173">
        <f xml:space="preserve"> estudo_rl_rev</f>
        <v>0</v>
      </c>
      <c r="G32" s="1169" t="str">
        <f xml:space="preserve"> IF(ISBLANK(estudo_rl_titulo),"",estudo_rl_titulo)</f>
        <v/>
      </c>
      <c r="H32" s="1088"/>
      <c r="I32" s="1088"/>
      <c r="J32" s="1088"/>
      <c r="K32" s="1088"/>
      <c r="L32" s="1088"/>
      <c r="M32" s="1088"/>
      <c r="N32" s="1089"/>
      <c r="O32" s="8"/>
      <c r="P32" s="1292"/>
      <c r="Q32" s="1293"/>
      <c r="R32" s="1293"/>
      <c r="S32" s="1293"/>
      <c r="T32" s="1293"/>
      <c r="U32" s="1293"/>
      <c r="V32" s="1293"/>
      <c r="W32" s="1293"/>
      <c r="X32" s="1293"/>
      <c r="Y32" s="1293"/>
      <c r="Z32" s="1293"/>
      <c r="AA32" s="1293"/>
      <c r="AB32" s="1294"/>
      <c r="AC32" s="8"/>
      <c r="AD32" s="8"/>
      <c r="AE32" s="8"/>
      <c r="AF32" s="8"/>
      <c r="AG32" s="8"/>
      <c r="AH32" s="8"/>
      <c r="AI32" s="8"/>
      <c r="AJ32" s="8"/>
      <c r="AK32" s="8"/>
    </row>
    <row r="33" spans="1:51" s="4" customFormat="1" x14ac:dyDescent="0.2">
      <c r="A33" s="10"/>
      <c r="B33" s="1182"/>
      <c r="C33" s="1183"/>
      <c r="D33" s="1081"/>
      <c r="E33" s="1184"/>
      <c r="F33" s="1185"/>
      <c r="G33" s="1183"/>
      <c r="H33" s="1081"/>
      <c r="I33" s="1081"/>
      <c r="J33" s="1081"/>
      <c r="K33" s="1081"/>
      <c r="L33" s="1081"/>
      <c r="M33" s="1081"/>
      <c r="N33" s="1082"/>
      <c r="O33" s="8"/>
      <c r="P33" s="1292"/>
      <c r="Q33" s="1293"/>
      <c r="R33" s="1293"/>
      <c r="S33" s="1293"/>
      <c r="T33" s="1293"/>
      <c r="U33" s="1293"/>
      <c r="V33" s="1293"/>
      <c r="W33" s="1293"/>
      <c r="X33" s="1293"/>
      <c r="Y33" s="1293"/>
      <c r="Z33" s="1293"/>
      <c r="AA33" s="1293"/>
      <c r="AB33" s="1294"/>
      <c r="AC33" s="8"/>
      <c r="AD33" s="8"/>
      <c r="AE33" s="8"/>
      <c r="AF33" s="8"/>
      <c r="AG33" s="8"/>
      <c r="AH33" s="8"/>
      <c r="AI33" s="8"/>
      <c r="AJ33" s="8"/>
      <c r="AK33" s="8"/>
    </row>
    <row r="34" spans="1:51" s="4" customFormat="1" outlineLevel="1" x14ac:dyDescent="0.2">
      <c r="A34" s="10"/>
      <c r="B34" s="1168" t="s">
        <v>1415</v>
      </c>
      <c r="C34" s="1169" t="str">
        <f xml:space="preserve"> IF(ISBLANK(estudo_rt_doc),"",estudo_rt_doc)</f>
        <v>RT-2691</v>
      </c>
      <c r="D34" s="1088"/>
      <c r="E34" s="1170"/>
      <c r="F34" s="1173">
        <f xml:space="preserve"> estudo_rt_rev</f>
        <v>0</v>
      </c>
      <c r="G34" s="1169" t="str">
        <f xml:space="preserve"> IF(ISBLANK(estudo_rt_titulo),"",estudo_rt_titulo)</f>
        <v>CVD de 1ª da linha de IG do MSIAG-01 do FPSO Cidade de Itaguaí</v>
      </c>
      <c r="H34" s="1088"/>
      <c r="I34" s="1088"/>
      <c r="J34" s="1088"/>
      <c r="K34" s="1088"/>
      <c r="L34" s="1088"/>
      <c r="M34" s="1088"/>
      <c r="N34" s="1089"/>
      <c r="O34" s="8"/>
      <c r="P34" s="1292"/>
      <c r="Q34" s="1293"/>
      <c r="R34" s="1293"/>
      <c r="S34" s="1293"/>
      <c r="T34" s="1293"/>
      <c r="U34" s="1293"/>
      <c r="V34" s="1293"/>
      <c r="W34" s="1293"/>
      <c r="X34" s="1293"/>
      <c r="Y34" s="1293"/>
      <c r="Z34" s="1293"/>
      <c r="AA34" s="1293"/>
      <c r="AB34" s="1294"/>
      <c r="AC34" s="8"/>
      <c r="AD34" s="8"/>
      <c r="AE34" s="8"/>
      <c r="AF34" s="8"/>
      <c r="AG34" s="8"/>
      <c r="AH34" s="8"/>
      <c r="AI34" s="8"/>
      <c r="AJ34" s="8"/>
      <c r="AK34" s="8"/>
    </row>
    <row r="35" spans="1:51" s="4" customFormat="1" ht="13.5" outlineLevel="1" thickBot="1" x14ac:dyDescent="0.25">
      <c r="A35" s="10"/>
      <c r="B35" s="1069"/>
      <c r="C35" s="1171"/>
      <c r="D35" s="1151"/>
      <c r="E35" s="1172"/>
      <c r="F35" s="1174"/>
      <c r="G35" s="1171"/>
      <c r="H35" s="1151"/>
      <c r="I35" s="1151"/>
      <c r="J35" s="1151"/>
      <c r="K35" s="1151"/>
      <c r="L35" s="1151"/>
      <c r="M35" s="1151"/>
      <c r="N35" s="1152"/>
      <c r="O35" s="8"/>
      <c r="P35" s="1292"/>
      <c r="Q35" s="1293"/>
      <c r="R35" s="1293"/>
      <c r="S35" s="1293"/>
      <c r="T35" s="1293"/>
      <c r="U35" s="1293"/>
      <c r="V35" s="1293"/>
      <c r="W35" s="1293"/>
      <c r="X35" s="1293"/>
      <c r="Y35" s="1293"/>
      <c r="Z35" s="1293"/>
      <c r="AA35" s="1293"/>
      <c r="AB35" s="1294"/>
      <c r="AC35" s="8"/>
      <c r="AD35" s="8"/>
      <c r="AE35" s="8"/>
      <c r="AF35" s="8"/>
      <c r="AG35" s="8"/>
      <c r="AH35" s="8"/>
      <c r="AI35" s="8"/>
      <c r="AJ35" s="8"/>
      <c r="AK35" s="8"/>
    </row>
    <row r="36" spans="1:51" s="4" customFormat="1" x14ac:dyDescent="0.2">
      <c r="A36" s="8"/>
      <c r="B36" s="11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1292"/>
      <c r="Q36" s="1293"/>
      <c r="R36" s="1293"/>
      <c r="S36" s="1293"/>
      <c r="T36" s="1293"/>
      <c r="U36" s="1293"/>
      <c r="V36" s="1293"/>
      <c r="W36" s="1293"/>
      <c r="X36" s="1293"/>
      <c r="Y36" s="1293"/>
      <c r="Z36" s="1293"/>
      <c r="AA36" s="1293"/>
      <c r="AB36" s="1294"/>
      <c r="AC36" s="8"/>
      <c r="AD36" s="8"/>
      <c r="AE36" s="8"/>
      <c r="AF36" s="8"/>
      <c r="AG36" s="8"/>
      <c r="AH36" s="8"/>
      <c r="AI36" s="8"/>
      <c r="AJ36" s="8"/>
      <c r="AK36" s="8"/>
    </row>
    <row r="37" spans="1:51" s="4" customFormat="1" x14ac:dyDescent="0.2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1292"/>
      <c r="Q37" s="1293"/>
      <c r="R37" s="1293"/>
      <c r="S37" s="1293"/>
      <c r="T37" s="1293"/>
      <c r="U37" s="1293"/>
      <c r="V37" s="1293"/>
      <c r="W37" s="1293"/>
      <c r="X37" s="1293"/>
      <c r="Y37" s="1293"/>
      <c r="Z37" s="1293"/>
      <c r="AA37" s="1293"/>
      <c r="AB37" s="1294"/>
      <c r="AC37" s="8"/>
      <c r="AD37" s="8"/>
      <c r="AE37" s="8"/>
      <c r="AF37" s="8"/>
      <c r="AG37" s="8"/>
      <c r="AH37" s="8"/>
      <c r="AI37" s="8"/>
      <c r="AJ37" s="8"/>
      <c r="AK37" s="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</row>
    <row r="38" spans="1:51" s="4" customFormat="1" x14ac:dyDescent="0.2">
      <c r="A38" s="8"/>
      <c r="B38" s="1301" t="s">
        <v>1416</v>
      </c>
      <c r="C38" s="1301"/>
      <c r="D38" s="1301"/>
      <c r="E38" s="1301"/>
      <c r="F38" s="1301"/>
      <c r="G38" s="1301"/>
      <c r="H38" s="1301"/>
      <c r="I38" s="1301"/>
      <c r="J38" s="1301"/>
      <c r="K38" s="1301"/>
      <c r="L38" s="1301"/>
      <c r="M38" s="1301"/>
      <c r="N38" s="1301"/>
      <c r="O38" s="8"/>
      <c r="P38" s="1292"/>
      <c r="Q38" s="1293"/>
      <c r="R38" s="1293"/>
      <c r="S38" s="1293"/>
      <c r="T38" s="1293"/>
      <c r="U38" s="1293"/>
      <c r="V38" s="1293"/>
      <c r="W38" s="1293"/>
      <c r="X38" s="1293"/>
      <c r="Y38" s="1293"/>
      <c r="Z38" s="1293"/>
      <c r="AA38" s="1293"/>
      <c r="AB38" s="1294"/>
      <c r="AC38" s="8"/>
      <c r="AD38" s="8"/>
      <c r="AE38" s="8"/>
      <c r="AF38" s="8"/>
      <c r="AG38" s="8"/>
      <c r="AH38" s="8"/>
      <c r="AI38" s="8"/>
      <c r="AJ38" s="8"/>
      <c r="AK38" s="8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</row>
    <row r="39" spans="1:51" s="4" customFormat="1" ht="13.5" thickBot="1" x14ac:dyDescent="0.25">
      <c r="A39" s="8"/>
      <c r="B39" s="1301"/>
      <c r="C39" s="1301"/>
      <c r="D39" s="1301"/>
      <c r="E39" s="1301"/>
      <c r="F39" s="1301"/>
      <c r="G39" s="1301"/>
      <c r="H39" s="1301"/>
      <c r="I39" s="1301"/>
      <c r="J39" s="1301"/>
      <c r="K39" s="1301"/>
      <c r="L39" s="1301"/>
      <c r="M39" s="1301"/>
      <c r="N39" s="1301"/>
      <c r="O39" s="8"/>
      <c r="P39" s="1292"/>
      <c r="Q39" s="1293"/>
      <c r="R39" s="1293"/>
      <c r="S39" s="1293"/>
      <c r="T39" s="1293"/>
      <c r="U39" s="1293"/>
      <c r="V39" s="1293"/>
      <c r="W39" s="1293"/>
      <c r="X39" s="1293"/>
      <c r="Y39" s="1293"/>
      <c r="Z39" s="1293"/>
      <c r="AA39" s="1293"/>
      <c r="AB39" s="1294"/>
      <c r="AC39" s="8"/>
      <c r="AD39" s="8"/>
      <c r="AE39" s="8"/>
      <c r="AF39" s="8"/>
      <c r="AG39" s="8"/>
      <c r="AH39" s="8"/>
      <c r="AI39" s="8"/>
      <c r="AJ39" s="8"/>
      <c r="AK39" s="8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</row>
    <row r="40" spans="1:51" s="4" customFormat="1" ht="12.75" customHeight="1" x14ac:dyDescent="0.2">
      <c r="A40" s="10"/>
      <c r="B40" s="1316" t="s">
        <v>1417</v>
      </c>
      <c r="C40" s="1317"/>
      <c r="D40" s="1317"/>
      <c r="E40" s="1317"/>
      <c r="F40" s="1317"/>
      <c r="G40" s="1318"/>
      <c r="H40" s="1326" t="s">
        <v>1418</v>
      </c>
      <c r="I40" s="1317"/>
      <c r="J40" s="1317"/>
      <c r="K40" s="1317"/>
      <c r="L40" s="1317"/>
      <c r="M40" s="1317"/>
      <c r="N40" s="1327"/>
      <c r="O40" s="8"/>
      <c r="P40" s="1292"/>
      <c r="Q40" s="1293"/>
      <c r="R40" s="1293"/>
      <c r="S40" s="1293"/>
      <c r="T40" s="1293"/>
      <c r="U40" s="1293"/>
      <c r="V40" s="1293"/>
      <c r="W40" s="1293"/>
      <c r="X40" s="1293"/>
      <c r="Y40" s="1293"/>
      <c r="Z40" s="1293"/>
      <c r="AA40" s="1293"/>
      <c r="AB40" s="1294"/>
      <c r="AC40" s="8"/>
      <c r="AD40" s="8"/>
      <c r="AE40" s="8"/>
      <c r="AF40" s="8"/>
      <c r="AG40" s="8"/>
      <c r="AH40" s="8"/>
      <c r="AI40" s="8"/>
      <c r="AJ40" s="8"/>
      <c r="AK40" s="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  <c r="AX40" s="28"/>
      <c r="AY40" s="28"/>
    </row>
    <row r="41" spans="1:51" s="4" customFormat="1" x14ac:dyDescent="0.2">
      <c r="A41" s="10"/>
      <c r="B41" s="1328" t="s">
        <v>1419</v>
      </c>
      <c r="C41" s="977"/>
      <c r="D41" s="977"/>
      <c r="E41" s="977"/>
      <c r="F41" s="977"/>
      <c r="G41" s="978"/>
      <c r="H41" s="1169"/>
      <c r="I41" s="1088"/>
      <c r="J41" s="1088"/>
      <c r="K41" s="1088"/>
      <c r="L41" s="1088"/>
      <c r="M41" s="1088"/>
      <c r="N41" s="1089"/>
      <c r="O41" s="8"/>
      <c r="P41" s="1292"/>
      <c r="Q41" s="1293"/>
      <c r="R41" s="1293"/>
      <c r="S41" s="1293"/>
      <c r="T41" s="1293"/>
      <c r="U41" s="1293"/>
      <c r="V41" s="1293"/>
      <c r="W41" s="1293"/>
      <c r="X41" s="1293"/>
      <c r="Y41" s="1293"/>
      <c r="Z41" s="1293"/>
      <c r="AA41" s="1293"/>
      <c r="AB41" s="1294"/>
      <c r="AC41" s="8"/>
      <c r="AD41" s="8"/>
      <c r="AE41" s="8"/>
      <c r="AF41" s="8"/>
      <c r="AG41" s="8"/>
      <c r="AH41" s="8"/>
      <c r="AI41" s="8"/>
      <c r="AJ41" s="8"/>
      <c r="AK41" s="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  <c r="AX41" s="28"/>
      <c r="AY41" s="21"/>
    </row>
    <row r="42" spans="1:51" s="4" customFormat="1" x14ac:dyDescent="0.2">
      <c r="A42" s="10"/>
      <c r="B42" s="1329"/>
      <c r="C42" s="980"/>
      <c r="D42" s="980"/>
      <c r="E42" s="980"/>
      <c r="F42" s="980"/>
      <c r="G42" s="981"/>
      <c r="H42" s="1116"/>
      <c r="I42" s="1111"/>
      <c r="J42" s="1111"/>
      <c r="K42" s="1111"/>
      <c r="L42" s="1111"/>
      <c r="M42" s="1111"/>
      <c r="N42" s="1141"/>
      <c r="O42" s="8"/>
      <c r="P42" s="1292"/>
      <c r="Q42" s="1293"/>
      <c r="R42" s="1293"/>
      <c r="S42" s="1293"/>
      <c r="T42" s="1293"/>
      <c r="U42" s="1293"/>
      <c r="V42" s="1293"/>
      <c r="W42" s="1293"/>
      <c r="X42" s="1293"/>
      <c r="Y42" s="1293"/>
      <c r="Z42" s="1293"/>
      <c r="AA42" s="1293"/>
      <c r="AB42" s="1294"/>
      <c r="AC42" s="8"/>
      <c r="AD42" s="8"/>
      <c r="AE42" s="8"/>
      <c r="AF42" s="8"/>
      <c r="AG42" s="8"/>
      <c r="AH42" s="8"/>
      <c r="AI42" s="8"/>
      <c r="AJ42" s="8"/>
      <c r="AK42" s="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  <c r="AX42" s="28"/>
      <c r="AY42" s="21"/>
    </row>
    <row r="43" spans="1:51" s="4" customFormat="1" ht="12.75" customHeight="1" x14ac:dyDescent="0.2">
      <c r="A43" s="10"/>
      <c r="B43" s="1329"/>
      <c r="C43" s="980"/>
      <c r="D43" s="980"/>
      <c r="E43" s="980"/>
      <c r="F43" s="980"/>
      <c r="G43" s="981"/>
      <c r="H43" s="1116"/>
      <c r="I43" s="1111"/>
      <c r="J43" s="1111"/>
      <c r="K43" s="1111"/>
      <c r="L43" s="1111"/>
      <c r="M43" s="1111"/>
      <c r="N43" s="1141"/>
      <c r="O43" s="8"/>
      <c r="P43" s="1292"/>
      <c r="Q43" s="1293"/>
      <c r="R43" s="1293"/>
      <c r="S43" s="1293"/>
      <c r="T43" s="1293"/>
      <c r="U43" s="1293"/>
      <c r="V43" s="1293"/>
      <c r="W43" s="1293"/>
      <c r="X43" s="1293"/>
      <c r="Y43" s="1293"/>
      <c r="Z43" s="1293"/>
      <c r="AA43" s="1293"/>
      <c r="AB43" s="1294"/>
      <c r="AC43" s="8"/>
      <c r="AD43" s="8"/>
      <c r="AE43" s="8"/>
      <c r="AF43" s="8"/>
      <c r="AG43" s="8"/>
      <c r="AH43" s="8"/>
      <c r="AI43" s="8"/>
      <c r="AJ43" s="8"/>
      <c r="AK43" s="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  <c r="AX43" s="28"/>
      <c r="AY43" s="21"/>
    </row>
    <row r="44" spans="1:51" s="4" customFormat="1" ht="12.75" customHeight="1" x14ac:dyDescent="0.2">
      <c r="A44" s="10"/>
      <c r="B44" s="1329"/>
      <c r="C44" s="980"/>
      <c r="D44" s="980"/>
      <c r="E44" s="980"/>
      <c r="F44" s="980"/>
      <c r="G44" s="981"/>
      <c r="H44" s="1116"/>
      <c r="I44" s="1111"/>
      <c r="J44" s="1111"/>
      <c r="K44" s="1111"/>
      <c r="L44" s="1111"/>
      <c r="M44" s="1111"/>
      <c r="N44" s="1141"/>
      <c r="O44" s="8"/>
      <c r="P44" s="1292"/>
      <c r="Q44" s="1293"/>
      <c r="R44" s="1293"/>
      <c r="S44" s="1293"/>
      <c r="T44" s="1293"/>
      <c r="U44" s="1293"/>
      <c r="V44" s="1293"/>
      <c r="W44" s="1293"/>
      <c r="X44" s="1293"/>
      <c r="Y44" s="1293"/>
      <c r="Z44" s="1293"/>
      <c r="AA44" s="1293"/>
      <c r="AB44" s="1294"/>
      <c r="AC44" s="8"/>
      <c r="AD44" s="8"/>
      <c r="AE44" s="8"/>
      <c r="AF44" s="8"/>
      <c r="AG44" s="8"/>
      <c r="AH44" s="8"/>
      <c r="AI44" s="8"/>
      <c r="AJ44" s="8"/>
      <c r="AK44" s="8"/>
      <c r="AM44" s="30"/>
      <c r="AN44" s="21"/>
      <c r="AO44" s="30"/>
      <c r="AP44" s="21"/>
      <c r="AQ44" s="30"/>
      <c r="AR44" s="21"/>
      <c r="AS44" s="30"/>
      <c r="AT44" s="21"/>
      <c r="AU44" s="30"/>
      <c r="AV44" s="21"/>
      <c r="AW44" s="30"/>
      <c r="AX44" s="21"/>
      <c r="AY44" s="30"/>
    </row>
    <row r="45" spans="1:51" s="4" customFormat="1" x14ac:dyDescent="0.2">
      <c r="A45" s="10"/>
      <c r="B45" s="1329"/>
      <c r="C45" s="980"/>
      <c r="D45" s="980"/>
      <c r="E45" s="980"/>
      <c r="F45" s="980"/>
      <c r="G45" s="981"/>
      <c r="H45" s="1116"/>
      <c r="I45" s="1111"/>
      <c r="J45" s="1111"/>
      <c r="K45" s="1111"/>
      <c r="L45" s="1111"/>
      <c r="M45" s="1111"/>
      <c r="N45" s="1141"/>
      <c r="O45" s="8"/>
      <c r="P45" s="1292"/>
      <c r="Q45" s="1293"/>
      <c r="R45" s="1293"/>
      <c r="S45" s="1293"/>
      <c r="T45" s="1293"/>
      <c r="U45" s="1293"/>
      <c r="V45" s="1293"/>
      <c r="W45" s="1293"/>
      <c r="X45" s="1293"/>
      <c r="Y45" s="1293"/>
      <c r="Z45" s="1293"/>
      <c r="AA45" s="1293"/>
      <c r="AB45" s="1294"/>
      <c r="AC45" s="8"/>
      <c r="AD45" s="8"/>
      <c r="AE45" s="8"/>
      <c r="AF45" s="8"/>
      <c r="AG45" s="8"/>
      <c r="AH45" s="8"/>
      <c r="AI45" s="8"/>
      <c r="AJ45" s="8"/>
      <c r="AK45" s="8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</row>
    <row r="46" spans="1:51" s="4" customFormat="1" x14ac:dyDescent="0.2">
      <c r="A46" s="10"/>
      <c r="B46" s="1329"/>
      <c r="C46" s="980"/>
      <c r="D46" s="980"/>
      <c r="E46" s="980"/>
      <c r="F46" s="980"/>
      <c r="G46" s="981"/>
      <c r="H46" s="1116"/>
      <c r="I46" s="1111"/>
      <c r="J46" s="1111"/>
      <c r="K46" s="1111"/>
      <c r="L46" s="1111"/>
      <c r="M46" s="1111"/>
      <c r="N46" s="1141"/>
      <c r="O46" s="8"/>
      <c r="P46" s="1292"/>
      <c r="Q46" s="1293"/>
      <c r="R46" s="1293"/>
      <c r="S46" s="1293"/>
      <c r="T46" s="1293"/>
      <c r="U46" s="1293"/>
      <c r="V46" s="1293"/>
      <c r="W46" s="1293"/>
      <c r="X46" s="1293"/>
      <c r="Y46" s="1293"/>
      <c r="Z46" s="1293"/>
      <c r="AA46" s="1293"/>
      <c r="AB46" s="1294"/>
      <c r="AC46" s="8"/>
      <c r="AD46" s="8"/>
      <c r="AE46" s="8"/>
      <c r="AF46" s="8"/>
      <c r="AG46" s="8"/>
      <c r="AH46" s="8"/>
      <c r="AI46" s="8"/>
      <c r="AJ46" s="8"/>
      <c r="AK46" s="8"/>
      <c r="AM46" s="28"/>
      <c r="AN46" s="28"/>
      <c r="AO46" s="28"/>
      <c r="AP46" s="28"/>
      <c r="AQ46" s="28"/>
      <c r="AR46" s="28"/>
      <c r="AS46" s="28"/>
      <c r="AT46" s="28"/>
      <c r="AU46" s="28"/>
      <c r="AV46" s="28"/>
      <c r="AW46" s="28"/>
      <c r="AX46" s="28"/>
      <c r="AY46" s="28"/>
    </row>
    <row r="47" spans="1:51" s="4" customFormat="1" x14ac:dyDescent="0.2">
      <c r="A47" s="10"/>
      <c r="B47" s="1329"/>
      <c r="C47" s="980"/>
      <c r="D47" s="980"/>
      <c r="E47" s="980"/>
      <c r="F47" s="980"/>
      <c r="G47" s="981"/>
      <c r="H47" s="1116"/>
      <c r="I47" s="1111"/>
      <c r="J47" s="1111"/>
      <c r="K47" s="1111"/>
      <c r="L47" s="1111"/>
      <c r="M47" s="1111"/>
      <c r="N47" s="1141"/>
      <c r="O47" s="12"/>
      <c r="P47" s="1292"/>
      <c r="Q47" s="1293"/>
      <c r="R47" s="1293"/>
      <c r="S47" s="1293"/>
      <c r="T47" s="1293"/>
      <c r="U47" s="1293"/>
      <c r="V47" s="1293"/>
      <c r="W47" s="1293"/>
      <c r="X47" s="1293"/>
      <c r="Y47" s="1293"/>
      <c r="Z47" s="1293"/>
      <c r="AA47" s="1293"/>
      <c r="AB47" s="1294"/>
      <c r="AC47" s="8"/>
      <c r="AD47" s="8"/>
      <c r="AE47" s="8"/>
      <c r="AF47" s="8"/>
      <c r="AG47" s="8"/>
      <c r="AH47" s="8"/>
      <c r="AI47" s="8"/>
      <c r="AJ47" s="8"/>
      <c r="AK47" s="8"/>
    </row>
    <row r="48" spans="1:51" s="4" customFormat="1" ht="12.75" customHeight="1" x14ac:dyDescent="0.2">
      <c r="A48" s="10"/>
      <c r="B48" s="1329"/>
      <c r="C48" s="980"/>
      <c r="D48" s="980"/>
      <c r="E48" s="980"/>
      <c r="F48" s="980"/>
      <c r="G48" s="981"/>
      <c r="H48" s="1116"/>
      <c r="I48" s="1111"/>
      <c r="J48" s="1111"/>
      <c r="K48" s="1111"/>
      <c r="L48" s="1111"/>
      <c r="M48" s="1111"/>
      <c r="N48" s="1141"/>
      <c r="O48" s="12"/>
      <c r="P48" s="1292"/>
      <c r="Q48" s="1293"/>
      <c r="R48" s="1293"/>
      <c r="S48" s="1293"/>
      <c r="T48" s="1293"/>
      <c r="U48" s="1293"/>
      <c r="V48" s="1293"/>
      <c r="W48" s="1293"/>
      <c r="X48" s="1293"/>
      <c r="Y48" s="1293"/>
      <c r="Z48" s="1293"/>
      <c r="AA48" s="1293"/>
      <c r="AB48" s="1294"/>
      <c r="AC48" s="8"/>
      <c r="AD48" s="8"/>
      <c r="AE48" s="8"/>
      <c r="AF48" s="8"/>
      <c r="AG48" s="8"/>
      <c r="AH48" s="8"/>
      <c r="AI48" s="8"/>
      <c r="AJ48" s="8"/>
      <c r="AK48" s="8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</row>
    <row r="49" spans="1:50" s="4" customFormat="1" ht="12.75" customHeight="1" x14ac:dyDescent="0.2">
      <c r="A49" s="10"/>
      <c r="B49" s="1329"/>
      <c r="C49" s="980"/>
      <c r="D49" s="980"/>
      <c r="E49" s="980"/>
      <c r="F49" s="980"/>
      <c r="G49" s="981"/>
      <c r="H49" s="1116"/>
      <c r="I49" s="1111"/>
      <c r="J49" s="1111"/>
      <c r="K49" s="1111"/>
      <c r="L49" s="1111"/>
      <c r="M49" s="1111"/>
      <c r="N49" s="1141"/>
      <c r="O49" s="12"/>
      <c r="P49" s="1292"/>
      <c r="Q49" s="1293"/>
      <c r="R49" s="1293"/>
      <c r="S49" s="1293"/>
      <c r="T49" s="1293"/>
      <c r="U49" s="1293"/>
      <c r="V49" s="1293"/>
      <c r="W49" s="1293"/>
      <c r="X49" s="1293"/>
      <c r="Y49" s="1293"/>
      <c r="Z49" s="1293"/>
      <c r="AA49" s="1293"/>
      <c r="AB49" s="1294"/>
      <c r="AC49" s="8"/>
      <c r="AD49" s="8"/>
      <c r="AE49" s="8"/>
      <c r="AF49" s="8"/>
      <c r="AG49" s="8"/>
      <c r="AH49" s="8"/>
      <c r="AI49" s="8"/>
      <c r="AJ49" s="8"/>
      <c r="AK49" s="8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</row>
    <row r="50" spans="1:50" s="4" customFormat="1" ht="13.5" thickBot="1" x14ac:dyDescent="0.25">
      <c r="A50" s="10"/>
      <c r="B50" s="1329"/>
      <c r="C50" s="980"/>
      <c r="D50" s="980"/>
      <c r="E50" s="980"/>
      <c r="F50" s="980"/>
      <c r="G50" s="981"/>
      <c r="H50" s="1116"/>
      <c r="I50" s="1111"/>
      <c r="J50" s="1111"/>
      <c r="K50" s="1111"/>
      <c r="L50" s="1111"/>
      <c r="M50" s="1111"/>
      <c r="N50" s="1141"/>
      <c r="O50" s="12"/>
      <c r="P50" s="1295"/>
      <c r="Q50" s="1296"/>
      <c r="R50" s="1296"/>
      <c r="S50" s="1296"/>
      <c r="T50" s="1296"/>
      <c r="U50" s="1296"/>
      <c r="V50" s="1296"/>
      <c r="W50" s="1296"/>
      <c r="X50" s="1296"/>
      <c r="Y50" s="1296"/>
      <c r="Z50" s="1296"/>
      <c r="AA50" s="1296"/>
      <c r="AB50" s="1297"/>
      <c r="AC50" s="8"/>
      <c r="AD50" s="8"/>
      <c r="AE50" s="8"/>
      <c r="AF50" s="8"/>
      <c r="AG50" s="8"/>
      <c r="AH50" s="8"/>
      <c r="AI50" s="8"/>
      <c r="AJ50" s="8"/>
      <c r="AK50" s="8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</row>
    <row r="51" spans="1:50" s="4" customFormat="1" x14ac:dyDescent="0.2">
      <c r="A51" s="10"/>
      <c r="B51" s="1329"/>
      <c r="C51" s="980"/>
      <c r="D51" s="980"/>
      <c r="E51" s="980"/>
      <c r="F51" s="980"/>
      <c r="G51" s="981"/>
      <c r="H51" s="1116"/>
      <c r="I51" s="1111"/>
      <c r="J51" s="1111"/>
      <c r="K51" s="1111"/>
      <c r="L51" s="1111"/>
      <c r="M51" s="1111"/>
      <c r="N51" s="1141"/>
      <c r="O51" s="12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8"/>
      <c r="AD51" s="8"/>
      <c r="AE51" s="8"/>
      <c r="AF51" s="8"/>
      <c r="AG51" s="8"/>
      <c r="AH51" s="8"/>
      <c r="AI51" s="8"/>
      <c r="AJ51" s="8"/>
      <c r="AK51" s="8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</row>
    <row r="52" spans="1:50" s="4" customFormat="1" x14ac:dyDescent="0.2">
      <c r="A52" s="10"/>
      <c r="B52" s="1329"/>
      <c r="C52" s="980"/>
      <c r="D52" s="980"/>
      <c r="E52" s="980"/>
      <c r="F52" s="980"/>
      <c r="G52" s="981"/>
      <c r="H52" s="1116"/>
      <c r="I52" s="1111"/>
      <c r="J52" s="1111"/>
      <c r="K52" s="1111"/>
      <c r="L52" s="1111"/>
      <c r="M52" s="1111"/>
      <c r="N52" s="1141"/>
      <c r="O52" s="12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8"/>
      <c r="AD52" s="8"/>
      <c r="AE52" s="8"/>
      <c r="AF52" s="8"/>
      <c r="AG52" s="8"/>
      <c r="AH52" s="8"/>
      <c r="AI52" s="8"/>
      <c r="AJ52" s="8"/>
      <c r="AK52" s="8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</row>
    <row r="53" spans="1:50" s="4" customFormat="1" x14ac:dyDescent="0.2">
      <c r="A53" s="10"/>
      <c r="B53" s="1329"/>
      <c r="C53" s="980"/>
      <c r="D53" s="980"/>
      <c r="E53" s="980"/>
      <c r="F53" s="980"/>
      <c r="G53" s="981"/>
      <c r="H53" s="1116"/>
      <c r="I53" s="1111"/>
      <c r="J53" s="1111"/>
      <c r="K53" s="1111"/>
      <c r="L53" s="1111"/>
      <c r="M53" s="1111"/>
      <c r="N53" s="1141"/>
      <c r="O53" s="8"/>
      <c r="P53" s="1301" t="s">
        <v>1420</v>
      </c>
      <c r="Q53" s="1301"/>
      <c r="R53" s="1301"/>
      <c r="S53" s="1301"/>
      <c r="T53" s="1301"/>
      <c r="U53" s="1301"/>
      <c r="V53" s="1301"/>
      <c r="W53" s="1301"/>
      <c r="X53" s="1301"/>
      <c r="Y53" s="1301"/>
      <c r="Z53" s="1301"/>
      <c r="AA53" s="1301"/>
      <c r="AB53" s="1301"/>
      <c r="AC53" s="8"/>
      <c r="AD53" s="40"/>
      <c r="AE53" s="14"/>
      <c r="AF53" s="14"/>
      <c r="AG53" s="14"/>
      <c r="AH53" s="14"/>
      <c r="AI53" s="14"/>
      <c r="AJ53" s="14"/>
      <c r="AK53" s="8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</row>
    <row r="54" spans="1:50" s="4" customFormat="1" ht="12.75" customHeight="1" thickBot="1" x14ac:dyDescent="0.25">
      <c r="A54" s="10"/>
      <c r="B54" s="1329"/>
      <c r="C54" s="980"/>
      <c r="D54" s="980"/>
      <c r="E54" s="980"/>
      <c r="F54" s="980"/>
      <c r="G54" s="981"/>
      <c r="H54" s="1116"/>
      <c r="I54" s="1111"/>
      <c r="J54" s="1111"/>
      <c r="K54" s="1111"/>
      <c r="L54" s="1111"/>
      <c r="M54" s="1111"/>
      <c r="N54" s="1141"/>
      <c r="O54" s="8"/>
      <c r="P54" s="1301"/>
      <c r="Q54" s="1301"/>
      <c r="R54" s="1301"/>
      <c r="S54" s="1301"/>
      <c r="T54" s="1301"/>
      <c r="U54" s="1301"/>
      <c r="V54" s="1301"/>
      <c r="W54" s="1301"/>
      <c r="X54" s="1301"/>
      <c r="Y54" s="1301"/>
      <c r="Z54" s="1301"/>
      <c r="AA54" s="1301"/>
      <c r="AB54" s="1301"/>
      <c r="AC54" s="8"/>
      <c r="AD54" s="14"/>
      <c r="AE54" s="14"/>
      <c r="AF54" s="14"/>
      <c r="AG54" s="14"/>
      <c r="AH54" s="14"/>
      <c r="AI54" s="14"/>
      <c r="AJ54" s="14"/>
      <c r="AK54" s="8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</row>
    <row r="55" spans="1:50" s="4" customFormat="1" ht="12.75" customHeight="1" x14ac:dyDescent="0.2">
      <c r="A55" s="10"/>
      <c r="B55" s="1329"/>
      <c r="C55" s="980"/>
      <c r="D55" s="980"/>
      <c r="E55" s="980"/>
      <c r="F55" s="980"/>
      <c r="G55" s="981"/>
      <c r="H55" s="1116"/>
      <c r="I55" s="1111"/>
      <c r="J55" s="1111"/>
      <c r="K55" s="1111"/>
      <c r="L55" s="1111"/>
      <c r="M55" s="1111"/>
      <c r="N55" s="1141"/>
      <c r="O55" s="8"/>
      <c r="P55" s="1302" t="s">
        <v>1421</v>
      </c>
      <c r="Q55" s="1176"/>
      <c r="R55" s="1176"/>
      <c r="S55" s="1176"/>
      <c r="T55" s="1176"/>
      <c r="U55" s="1176"/>
      <c r="V55" s="1176"/>
      <c r="W55" s="1176"/>
      <c r="X55" s="1176"/>
      <c r="Y55" s="1176"/>
      <c r="Z55" s="1176"/>
      <c r="AA55" s="1176"/>
      <c r="AB55" s="1178"/>
      <c r="AC55" s="8"/>
      <c r="AD55" s="14"/>
      <c r="AE55" s="14"/>
      <c r="AF55" s="14"/>
      <c r="AG55" s="14"/>
      <c r="AH55" s="14"/>
      <c r="AI55" s="14"/>
      <c r="AJ55" s="14"/>
      <c r="AK55" s="8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</row>
    <row r="56" spans="1:50" s="4" customFormat="1" ht="13.5" thickBot="1" x14ac:dyDescent="0.25">
      <c r="A56" s="10"/>
      <c r="B56" s="1329"/>
      <c r="C56" s="980"/>
      <c r="D56" s="980"/>
      <c r="E56" s="980"/>
      <c r="F56" s="980"/>
      <c r="G56" s="981"/>
      <c r="H56" s="1116"/>
      <c r="I56" s="1111"/>
      <c r="J56" s="1111"/>
      <c r="K56" s="1111"/>
      <c r="L56" s="1111"/>
      <c r="M56" s="1111"/>
      <c r="N56" s="1141"/>
      <c r="O56" s="8"/>
      <c r="P56" s="1050"/>
      <c r="Q56" s="1146"/>
      <c r="R56" s="1146"/>
      <c r="S56" s="1146"/>
      <c r="T56" s="1146"/>
      <c r="U56" s="1146"/>
      <c r="V56" s="1146"/>
      <c r="W56" s="1146"/>
      <c r="X56" s="1146"/>
      <c r="Y56" s="1146"/>
      <c r="Z56" s="1146"/>
      <c r="AA56" s="1146"/>
      <c r="AB56" s="1051"/>
      <c r="AC56" s="8"/>
      <c r="AD56" s="14"/>
      <c r="AE56" s="14"/>
      <c r="AF56" s="14"/>
      <c r="AG56" s="14"/>
      <c r="AH56" s="14"/>
      <c r="AI56" s="14"/>
      <c r="AJ56" s="14"/>
      <c r="AK56" s="8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</row>
    <row r="57" spans="1:50" s="4" customFormat="1" ht="12.75" customHeight="1" x14ac:dyDescent="0.2">
      <c r="A57" s="10"/>
      <c r="B57" s="1302" t="s">
        <v>1248</v>
      </c>
      <c r="C57" s="1177"/>
      <c r="D57" s="1177"/>
      <c r="E57" s="1177"/>
      <c r="F57" s="1177"/>
      <c r="G57" s="1177"/>
      <c r="H57" s="1176" t="s">
        <v>1422</v>
      </c>
      <c r="I57" s="1176"/>
      <c r="J57" s="1176"/>
      <c r="K57" s="1176"/>
      <c r="L57" s="1176"/>
      <c r="M57" s="1176"/>
      <c r="N57" s="1178"/>
      <c r="O57" s="8"/>
      <c r="P57" s="1050"/>
      <c r="Q57" s="1146"/>
      <c r="R57" s="1146"/>
      <c r="S57" s="1146"/>
      <c r="T57" s="1146"/>
      <c r="U57" s="1146"/>
      <c r="V57" s="1146"/>
      <c r="W57" s="1146"/>
      <c r="X57" s="1146"/>
      <c r="Y57" s="1146"/>
      <c r="Z57" s="1146"/>
      <c r="AA57" s="1146"/>
      <c r="AB57" s="1051"/>
      <c r="AC57" s="8"/>
      <c r="AD57" s="14"/>
      <c r="AE57" s="14"/>
      <c r="AF57" s="14"/>
      <c r="AG57" s="14"/>
      <c r="AH57" s="14"/>
      <c r="AI57" s="14"/>
      <c r="AJ57" s="14"/>
      <c r="AK57" s="8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</row>
    <row r="58" spans="1:50" s="4" customFormat="1" ht="12.75" customHeight="1" x14ac:dyDescent="0.2">
      <c r="A58" s="10"/>
      <c r="B58" s="72" t="s">
        <v>1423</v>
      </c>
      <c r="C58" s="1150" t="s">
        <v>6</v>
      </c>
      <c r="D58" s="1150"/>
      <c r="E58" s="1150"/>
      <c r="F58" s="1150"/>
      <c r="G58" s="1150"/>
      <c r="H58" s="1150" t="s">
        <v>1424</v>
      </c>
      <c r="I58" s="1150"/>
      <c r="J58" s="1150"/>
      <c r="K58" s="43" t="s">
        <v>1425</v>
      </c>
      <c r="L58" s="1150" t="s">
        <v>1426</v>
      </c>
      <c r="M58" s="1150"/>
      <c r="N58" s="44" t="s">
        <v>1427</v>
      </c>
      <c r="O58" s="12"/>
      <c r="P58" s="1050"/>
      <c r="Q58" s="1146"/>
      <c r="R58" s="1146"/>
      <c r="S58" s="1146"/>
      <c r="T58" s="1146"/>
      <c r="U58" s="1146"/>
      <c r="V58" s="1146"/>
      <c r="W58" s="1146"/>
      <c r="X58" s="1146"/>
      <c r="Y58" s="1146"/>
      <c r="Z58" s="1146"/>
      <c r="AA58" s="1146"/>
      <c r="AB58" s="1051"/>
      <c r="AC58" s="8"/>
      <c r="AD58" s="14"/>
      <c r="AE58" s="14"/>
      <c r="AF58" s="14"/>
      <c r="AG58" s="14"/>
      <c r="AH58" s="14"/>
      <c r="AI58" s="14"/>
      <c r="AJ58" s="14"/>
      <c r="AK58" s="8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</row>
    <row r="59" spans="1:50" s="4" customFormat="1" ht="12.75" customHeight="1" x14ac:dyDescent="0.2">
      <c r="A59" s="10"/>
      <c r="B59" s="1330" t="s">
        <v>1428</v>
      </c>
      <c r="C59" s="1111" t="str">
        <f xml:space="preserve"> IF(ISBLANK(data_nome_estrutura),"",data_nome_estrutura)</f>
        <v>WSI 152.2553-RD-4042-6 Rev. 1</v>
      </c>
      <c r="D59" s="1111"/>
      <c r="E59" s="1111"/>
      <c r="F59" s="1111"/>
      <c r="G59" s="1111"/>
      <c r="H59" s="980" t="s">
        <v>1429</v>
      </c>
      <c r="I59" s="980"/>
      <c r="J59" s="980"/>
      <c r="K59" s="1111" t="s">
        <v>1255</v>
      </c>
      <c r="L59" s="1111" t="s">
        <v>1430</v>
      </c>
      <c r="M59" s="1111"/>
      <c r="N59" s="1141" t="s">
        <v>1431</v>
      </c>
      <c r="O59" s="12"/>
      <c r="P59" s="1050"/>
      <c r="Q59" s="1146"/>
      <c r="R59" s="1146"/>
      <c r="S59" s="1146"/>
      <c r="T59" s="1146"/>
      <c r="U59" s="1146"/>
      <c r="V59" s="1146"/>
      <c r="W59" s="1146"/>
      <c r="X59" s="1146"/>
      <c r="Y59" s="1146"/>
      <c r="Z59" s="1146"/>
      <c r="AA59" s="1146"/>
      <c r="AB59" s="1051"/>
      <c r="AC59" s="8"/>
      <c r="AD59" s="14"/>
      <c r="AE59" s="14"/>
      <c r="AF59" s="14"/>
      <c r="AG59" s="14"/>
      <c r="AH59" s="14"/>
      <c r="AI59" s="14"/>
      <c r="AJ59" s="14"/>
      <c r="AK59" s="8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</row>
    <row r="60" spans="1:50" s="4" customFormat="1" x14ac:dyDescent="0.2">
      <c r="A60" s="10"/>
      <c r="B60" s="1330"/>
      <c r="C60" s="1111"/>
      <c r="D60" s="1111"/>
      <c r="E60" s="1111"/>
      <c r="F60" s="1111"/>
      <c r="G60" s="1111"/>
      <c r="H60" s="980"/>
      <c r="I60" s="980"/>
      <c r="J60" s="980"/>
      <c r="K60" s="1111"/>
      <c r="L60" s="1111"/>
      <c r="M60" s="1111"/>
      <c r="N60" s="1141"/>
      <c r="O60" s="12"/>
      <c r="P60" s="1050"/>
      <c r="Q60" s="1146"/>
      <c r="R60" s="1146"/>
      <c r="S60" s="1146"/>
      <c r="T60" s="1146"/>
      <c r="U60" s="1146"/>
      <c r="V60" s="1146"/>
      <c r="W60" s="1146"/>
      <c r="X60" s="1146"/>
      <c r="Y60" s="1146"/>
      <c r="Z60" s="1146"/>
      <c r="AA60" s="1146"/>
      <c r="AB60" s="1051"/>
      <c r="AC60" s="8"/>
      <c r="AD60" s="14"/>
      <c r="AE60" s="14"/>
      <c r="AF60" s="14"/>
      <c r="AG60" s="14"/>
      <c r="AH60" s="14"/>
      <c r="AI60" s="14"/>
      <c r="AJ60" s="14"/>
      <c r="AK60" s="8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</row>
    <row r="61" spans="1:50" s="4" customFormat="1" ht="12.75" customHeight="1" x14ac:dyDescent="0.2">
      <c r="A61" s="10"/>
      <c r="B61" s="1330" t="s">
        <v>1432</v>
      </c>
      <c r="C61" s="1111" t="str">
        <f xml:space="preserve">  IF(ISBLANK(data_nome_vertebra),"",data_nome_vertebra)</f>
        <v>CB-BR1522553-00-01 Rev. 1</v>
      </c>
      <c r="D61" s="1111"/>
      <c r="E61" s="1111"/>
      <c r="F61" s="1111"/>
      <c r="G61" s="1111"/>
      <c r="H61" s="980" t="s">
        <v>1433</v>
      </c>
      <c r="I61" s="980"/>
      <c r="J61" s="980"/>
      <c r="K61" s="1111" t="s">
        <v>1255</v>
      </c>
      <c r="L61" s="1111">
        <v>0.5</v>
      </c>
      <c r="M61" s="1111"/>
      <c r="N61" s="1141" t="s">
        <v>1434</v>
      </c>
      <c r="O61" s="12"/>
      <c r="P61" s="1050"/>
      <c r="Q61" s="1146"/>
      <c r="R61" s="1146"/>
      <c r="S61" s="1146"/>
      <c r="T61" s="1146"/>
      <c r="U61" s="1146"/>
      <c r="V61" s="1146"/>
      <c r="W61" s="1146"/>
      <c r="X61" s="1146"/>
      <c r="Y61" s="1146"/>
      <c r="Z61" s="1146"/>
      <c r="AA61" s="1146"/>
      <c r="AB61" s="1051"/>
      <c r="AC61" s="8"/>
      <c r="AD61" s="14"/>
      <c r="AE61" s="14"/>
      <c r="AF61" s="14"/>
      <c r="AG61" s="14"/>
      <c r="AH61" s="14"/>
      <c r="AI61" s="14"/>
      <c r="AJ61" s="14"/>
      <c r="AK61" s="8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</row>
    <row r="62" spans="1:50" s="4" customFormat="1" x14ac:dyDescent="0.2">
      <c r="A62" s="10"/>
      <c r="B62" s="1330"/>
      <c r="C62" s="1111"/>
      <c r="D62" s="1111"/>
      <c r="E62" s="1111"/>
      <c r="F62" s="1111"/>
      <c r="G62" s="1111"/>
      <c r="H62" s="980"/>
      <c r="I62" s="980"/>
      <c r="J62" s="980"/>
      <c r="K62" s="1111"/>
      <c r="L62" s="1111"/>
      <c r="M62" s="1111"/>
      <c r="N62" s="1141"/>
      <c r="O62" s="12"/>
      <c r="P62" s="1050"/>
      <c r="Q62" s="1146"/>
      <c r="R62" s="1146"/>
      <c r="S62" s="1146"/>
      <c r="T62" s="1146"/>
      <c r="U62" s="1146"/>
      <c r="V62" s="1146"/>
      <c r="W62" s="1146"/>
      <c r="X62" s="1146"/>
      <c r="Y62" s="1146"/>
      <c r="Z62" s="1146"/>
      <c r="AA62" s="1146"/>
      <c r="AB62" s="1051"/>
      <c r="AC62" s="8"/>
      <c r="AD62" s="14"/>
      <c r="AE62" s="14"/>
      <c r="AF62" s="14"/>
      <c r="AG62" s="14"/>
      <c r="AH62" s="14"/>
      <c r="AI62" s="14"/>
      <c r="AJ62" s="14"/>
      <c r="AK62" s="8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</row>
    <row r="63" spans="1:50" s="4" customFormat="1" ht="12.75" customHeight="1" x14ac:dyDescent="0.2">
      <c r="A63" s="10"/>
      <c r="B63" s="1330" t="s">
        <v>1435</v>
      </c>
      <c r="C63" s="1111" t="str">
        <f xml:space="preserve"> IF(ISBLANK(data_nome_conector),"",data_nome_conector)</f>
        <v>CB-EF1522540-00-05 Rev. 4</v>
      </c>
      <c r="D63" s="1111"/>
      <c r="E63" s="1111"/>
      <c r="F63" s="1111"/>
      <c r="G63" s="1111"/>
      <c r="H63" s="980" t="s">
        <v>1436</v>
      </c>
      <c r="I63" s="980"/>
      <c r="J63" s="980"/>
      <c r="K63" s="1111" t="s">
        <v>1414</v>
      </c>
      <c r="L63" s="1111">
        <f>IF(ISBLANK(('MCV e Guindaste'!B8)*10^-3),"",('MCV e Guindaste'!B8)*10^-3)</f>
        <v>3.81</v>
      </c>
      <c r="M63" s="1111"/>
      <c r="N63" s="1141" t="s">
        <v>1434</v>
      </c>
      <c r="O63" s="12"/>
      <c r="P63" s="1050"/>
      <c r="Q63" s="1146"/>
      <c r="R63" s="1146"/>
      <c r="S63" s="1146"/>
      <c r="T63" s="1146"/>
      <c r="U63" s="1146"/>
      <c r="V63" s="1146"/>
      <c r="W63" s="1146"/>
      <c r="X63" s="1146"/>
      <c r="Y63" s="1146"/>
      <c r="Z63" s="1146"/>
      <c r="AA63" s="1146"/>
      <c r="AB63" s="1051"/>
      <c r="AC63" s="8"/>
      <c r="AD63" s="14"/>
      <c r="AE63" s="33"/>
      <c r="AF63" s="33"/>
      <c r="AG63" s="33"/>
      <c r="AH63" s="33"/>
      <c r="AI63" s="33"/>
      <c r="AJ63" s="33"/>
      <c r="AK63" s="33"/>
      <c r="AL63" s="21"/>
      <c r="AM63" s="21"/>
      <c r="AN63" s="21"/>
      <c r="AO63" s="21"/>
      <c r="AP63" s="21"/>
      <c r="AQ63" s="21"/>
      <c r="AR63" s="31"/>
      <c r="AS63" s="31"/>
      <c r="AT63" s="31"/>
      <c r="AU63" s="31"/>
      <c r="AV63" s="31"/>
      <c r="AW63" s="31"/>
      <c r="AX63" s="31"/>
    </row>
    <row r="64" spans="1:50" s="4" customFormat="1" x14ac:dyDescent="0.2">
      <c r="A64" s="10"/>
      <c r="B64" s="1330"/>
      <c r="C64" s="1111"/>
      <c r="D64" s="1111"/>
      <c r="E64" s="1111"/>
      <c r="F64" s="1111"/>
      <c r="G64" s="1111"/>
      <c r="H64" s="980"/>
      <c r="I64" s="980"/>
      <c r="J64" s="980"/>
      <c r="K64" s="1111"/>
      <c r="L64" s="1111"/>
      <c r="M64" s="1111"/>
      <c r="N64" s="1141"/>
      <c r="O64" s="12"/>
      <c r="P64" s="1050"/>
      <c r="Q64" s="1146"/>
      <c r="R64" s="1146"/>
      <c r="S64" s="1146"/>
      <c r="T64" s="1146"/>
      <c r="U64" s="1146"/>
      <c r="V64" s="1146"/>
      <c r="W64" s="1146"/>
      <c r="X64" s="1146"/>
      <c r="Y64" s="1146"/>
      <c r="Z64" s="1146"/>
      <c r="AA64" s="1146"/>
      <c r="AB64" s="1051"/>
      <c r="AC64" s="8"/>
      <c r="AD64" s="14"/>
      <c r="AE64" s="33"/>
      <c r="AF64" s="33"/>
      <c r="AG64" s="33"/>
      <c r="AH64" s="33"/>
      <c r="AI64" s="33"/>
      <c r="AJ64" s="33"/>
      <c r="AK64" s="33"/>
      <c r="AL64" s="21"/>
      <c r="AM64" s="21"/>
      <c r="AN64" s="21"/>
      <c r="AO64" s="21"/>
      <c r="AP64" s="21"/>
      <c r="AQ64" s="21"/>
      <c r="AR64" s="31"/>
      <c r="AS64" s="31"/>
      <c r="AT64" s="31"/>
      <c r="AU64" s="31"/>
      <c r="AV64" s="31"/>
      <c r="AW64" s="31"/>
      <c r="AX64" s="31"/>
    </row>
    <row r="65" spans="1:51" s="4" customFormat="1" ht="12.75" customHeight="1" x14ac:dyDescent="0.2">
      <c r="A65" s="10"/>
      <c r="B65" s="1330" t="s">
        <v>1437</v>
      </c>
      <c r="C65" s="1111" t="str">
        <f>IF(ISBLANK(data_nome_mcv),"",data_nome_mcv)</f>
        <v>TechnipFMC / D</v>
      </c>
      <c r="D65" s="1111"/>
      <c r="E65" s="1111"/>
      <c r="F65" s="1111"/>
      <c r="G65" s="1111"/>
      <c r="H65" s="980" t="s">
        <v>1438</v>
      </c>
      <c r="I65" s="980"/>
      <c r="J65" s="980"/>
      <c r="K65" s="1111" t="s">
        <v>1414</v>
      </c>
      <c r="L65" s="1111">
        <f>IF(ISBLANK(Values!C27),"",(Values!C27))</f>
        <v>4.1399999999999997</v>
      </c>
      <c r="M65" s="1111"/>
      <c r="N65" s="1141" t="s">
        <v>1434</v>
      </c>
      <c r="O65" s="12"/>
      <c r="P65" s="1050"/>
      <c r="Q65" s="1146"/>
      <c r="R65" s="1146"/>
      <c r="S65" s="1146"/>
      <c r="T65" s="1146"/>
      <c r="U65" s="1146"/>
      <c r="V65" s="1146"/>
      <c r="W65" s="1146"/>
      <c r="X65" s="1146"/>
      <c r="Y65" s="1146"/>
      <c r="Z65" s="1146"/>
      <c r="AA65" s="1146"/>
      <c r="AB65" s="1051"/>
      <c r="AC65" s="8"/>
      <c r="AD65" s="14"/>
      <c r="AE65" s="34"/>
      <c r="AF65" s="34"/>
      <c r="AG65" s="34"/>
      <c r="AH65" s="34"/>
      <c r="AI65" s="34"/>
      <c r="AJ65" s="34"/>
      <c r="AK65" s="34"/>
      <c r="AL65" s="28"/>
      <c r="AM65" s="28"/>
      <c r="AN65" s="28"/>
      <c r="AO65" s="28"/>
      <c r="AP65" s="28"/>
      <c r="AQ65" s="28"/>
      <c r="AR65" s="31"/>
      <c r="AS65" s="31"/>
      <c r="AT65" s="31"/>
      <c r="AU65" s="31"/>
      <c r="AV65" s="31"/>
      <c r="AW65" s="31"/>
      <c r="AX65" s="31"/>
    </row>
    <row r="66" spans="1:51" s="4" customFormat="1" x14ac:dyDescent="0.2">
      <c r="A66" s="10"/>
      <c r="B66" s="1330"/>
      <c r="C66" s="1111"/>
      <c r="D66" s="1111"/>
      <c r="E66" s="1111"/>
      <c r="F66" s="1111"/>
      <c r="G66" s="1111"/>
      <c r="H66" s="980"/>
      <c r="I66" s="980"/>
      <c r="J66" s="980"/>
      <c r="K66" s="1111"/>
      <c r="L66" s="1111"/>
      <c r="M66" s="1111"/>
      <c r="N66" s="1141"/>
      <c r="O66" s="8"/>
      <c r="P66" s="1050"/>
      <c r="Q66" s="1146"/>
      <c r="R66" s="1146"/>
      <c r="S66" s="1146"/>
      <c r="T66" s="1146"/>
      <c r="U66" s="1146"/>
      <c r="V66" s="1146"/>
      <c r="W66" s="1146"/>
      <c r="X66" s="1146"/>
      <c r="Y66" s="1146"/>
      <c r="Z66" s="1146"/>
      <c r="AA66" s="1146"/>
      <c r="AB66" s="1051"/>
      <c r="AC66" s="8"/>
      <c r="AD66" s="14"/>
      <c r="AE66" s="34"/>
      <c r="AF66" s="34"/>
      <c r="AG66" s="34"/>
      <c r="AH66" s="34"/>
      <c r="AI66" s="34"/>
      <c r="AJ66" s="34"/>
      <c r="AK66" s="34"/>
      <c r="AL66" s="28"/>
      <c r="AM66" s="28"/>
      <c r="AN66" s="28"/>
      <c r="AO66" s="28"/>
      <c r="AP66" s="28"/>
      <c r="AQ66" s="28"/>
      <c r="AR66" s="31"/>
      <c r="AS66" s="31"/>
      <c r="AT66" s="31"/>
      <c r="AU66" s="31"/>
      <c r="AV66" s="31"/>
      <c r="AW66" s="31"/>
      <c r="AX66" s="31"/>
    </row>
    <row r="67" spans="1:51" s="4" customFormat="1" ht="12.75" customHeight="1" x14ac:dyDescent="0.2">
      <c r="A67" s="10"/>
      <c r="B67" s="1148"/>
      <c r="C67" s="1149"/>
      <c r="D67" s="1149"/>
      <c r="E67" s="1149"/>
      <c r="F67" s="1149"/>
      <c r="G67" s="1149"/>
      <c r="H67" s="980" t="s">
        <v>1439</v>
      </c>
      <c r="I67" s="980"/>
      <c r="J67" s="980"/>
      <c r="K67" s="1111" t="s">
        <v>1414</v>
      </c>
      <c r="L67" s="1142">
        <f>IF(ISBLANK(Values!C13),"",(Values!C13))</f>
        <v>2.4</v>
      </c>
      <c r="M67" s="1142"/>
      <c r="N67" s="1141" t="s">
        <v>1434</v>
      </c>
      <c r="O67" s="8"/>
      <c r="P67" s="1050"/>
      <c r="Q67" s="1146"/>
      <c r="R67" s="1146"/>
      <c r="S67" s="1146"/>
      <c r="T67" s="1146"/>
      <c r="U67" s="1146"/>
      <c r="V67" s="1146"/>
      <c r="W67" s="1146"/>
      <c r="X67" s="1146"/>
      <c r="Y67" s="1146"/>
      <c r="Z67" s="1146"/>
      <c r="AA67" s="1146"/>
      <c r="AB67" s="1051"/>
      <c r="AC67" s="8"/>
      <c r="AD67" s="14"/>
      <c r="AE67" s="14"/>
      <c r="AF67" s="14"/>
      <c r="AG67" s="14"/>
      <c r="AH67" s="14"/>
      <c r="AI67" s="14"/>
      <c r="AJ67" s="14"/>
      <c r="AK67" s="8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</row>
    <row r="68" spans="1:51" s="4" customFormat="1" x14ac:dyDescent="0.2">
      <c r="A68" s="10"/>
      <c r="B68" s="1148"/>
      <c r="C68" s="1149"/>
      <c r="D68" s="1149"/>
      <c r="E68" s="1149"/>
      <c r="F68" s="1149"/>
      <c r="G68" s="1149"/>
      <c r="H68" s="980"/>
      <c r="I68" s="980"/>
      <c r="J68" s="980"/>
      <c r="K68" s="1111"/>
      <c r="L68" s="1142"/>
      <c r="M68" s="1142"/>
      <c r="N68" s="1141"/>
      <c r="O68" s="8"/>
      <c r="P68" s="1050"/>
      <c r="Q68" s="1146"/>
      <c r="R68" s="1146"/>
      <c r="S68" s="1146"/>
      <c r="T68" s="1146"/>
      <c r="U68" s="1146"/>
      <c r="V68" s="1146"/>
      <c r="W68" s="1146"/>
      <c r="X68" s="1146"/>
      <c r="Y68" s="1146"/>
      <c r="Z68" s="1146"/>
      <c r="AA68" s="1146"/>
      <c r="AB68" s="1051"/>
      <c r="AC68" s="8"/>
      <c r="AD68" s="14"/>
      <c r="AE68" s="14"/>
      <c r="AF68" s="14"/>
      <c r="AG68" s="14"/>
      <c r="AH68" s="14"/>
      <c r="AI68" s="14"/>
      <c r="AJ68" s="14"/>
      <c r="AK68" s="8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</row>
    <row r="69" spans="1:51" s="4" customFormat="1" x14ac:dyDescent="0.2">
      <c r="A69" s="10"/>
      <c r="B69" s="1148"/>
      <c r="C69" s="1149"/>
      <c r="D69" s="1149"/>
      <c r="E69" s="1149"/>
      <c r="F69" s="1149"/>
      <c r="G69" s="1149"/>
      <c r="H69" s="980" t="s">
        <v>1440</v>
      </c>
      <c r="I69" s="980"/>
      <c r="J69" s="980"/>
      <c r="K69" s="1111" t="s">
        <v>1414</v>
      </c>
      <c r="L69" s="1142">
        <f>IF(ISBLANK(Values!C28),"N/A",(Values!C28))</f>
        <v>70</v>
      </c>
      <c r="M69" s="1142"/>
      <c r="N69" s="1141" t="s">
        <v>1265</v>
      </c>
      <c r="O69" s="8"/>
      <c r="P69" s="1050"/>
      <c r="Q69" s="1146"/>
      <c r="R69" s="1146"/>
      <c r="S69" s="1146"/>
      <c r="T69" s="1146"/>
      <c r="U69" s="1146"/>
      <c r="V69" s="1146"/>
      <c r="W69" s="1146"/>
      <c r="X69" s="1146"/>
      <c r="Y69" s="1146"/>
      <c r="Z69" s="1146"/>
      <c r="AA69" s="1146"/>
      <c r="AB69" s="1051"/>
      <c r="AC69" s="8"/>
      <c r="AD69" s="14"/>
      <c r="AE69" s="14"/>
      <c r="AF69" s="14"/>
      <c r="AG69" s="14"/>
      <c r="AH69" s="14"/>
      <c r="AI69" s="14"/>
      <c r="AJ69" s="14"/>
      <c r="AK69" s="8"/>
    </row>
    <row r="70" spans="1:51" s="4" customFormat="1" x14ac:dyDescent="0.2">
      <c r="A70" s="10"/>
      <c r="B70" s="1148"/>
      <c r="C70" s="1149"/>
      <c r="D70" s="1149"/>
      <c r="E70" s="1149"/>
      <c r="F70" s="1149"/>
      <c r="G70" s="1149"/>
      <c r="H70" s="980"/>
      <c r="I70" s="980"/>
      <c r="J70" s="980"/>
      <c r="K70" s="1111"/>
      <c r="L70" s="1142"/>
      <c r="M70" s="1142"/>
      <c r="N70" s="1141"/>
      <c r="O70" s="8"/>
      <c r="P70" s="1050"/>
      <c r="Q70" s="1146"/>
      <c r="R70" s="1146"/>
      <c r="S70" s="1146"/>
      <c r="T70" s="1146"/>
      <c r="U70" s="1146"/>
      <c r="V70" s="1146"/>
      <c r="W70" s="1146"/>
      <c r="X70" s="1146"/>
      <c r="Y70" s="1146"/>
      <c r="Z70" s="1146"/>
      <c r="AA70" s="1146"/>
      <c r="AB70" s="1051"/>
      <c r="AC70" s="8"/>
      <c r="AD70" s="14"/>
      <c r="AE70" s="14"/>
      <c r="AF70" s="14"/>
      <c r="AG70" s="14"/>
      <c r="AH70" s="14"/>
      <c r="AI70" s="14"/>
      <c r="AJ70" s="14"/>
      <c r="AK70" s="8"/>
    </row>
    <row r="71" spans="1:51" s="4" customFormat="1" x14ac:dyDescent="0.2">
      <c r="A71" s="10"/>
      <c r="B71" s="1148"/>
      <c r="C71" s="1149"/>
      <c r="D71" s="1149"/>
      <c r="E71" s="1149"/>
      <c r="F71" s="1149"/>
      <c r="G71" s="1149"/>
      <c r="H71" s="980" t="s">
        <v>1441</v>
      </c>
      <c r="I71" s="980"/>
      <c r="J71" s="980"/>
      <c r="K71" s="1111" t="s">
        <v>1414</v>
      </c>
      <c r="L71" s="1142">
        <f xml:space="preserve"> IF( ISBLANK(Values!C29),"N/A",(Values!C29))</f>
        <v>34</v>
      </c>
      <c r="M71" s="1142"/>
      <c r="N71" s="1141" t="s">
        <v>1268</v>
      </c>
      <c r="O71" s="8"/>
      <c r="P71" s="1050"/>
      <c r="Q71" s="1146"/>
      <c r="R71" s="1146"/>
      <c r="S71" s="1146"/>
      <c r="T71" s="1146"/>
      <c r="U71" s="1146"/>
      <c r="V71" s="1146"/>
      <c r="W71" s="1146"/>
      <c r="X71" s="1146"/>
      <c r="Y71" s="1146"/>
      <c r="Z71" s="1146"/>
      <c r="AA71" s="1146"/>
      <c r="AB71" s="1051"/>
      <c r="AC71" s="8"/>
      <c r="AD71" s="14"/>
      <c r="AE71" s="14"/>
      <c r="AF71" s="14"/>
      <c r="AG71" s="14"/>
      <c r="AH71" s="14"/>
      <c r="AI71" s="14"/>
      <c r="AJ71" s="14"/>
      <c r="AK71" s="8"/>
      <c r="AM71" s="28"/>
      <c r="AN71" s="28"/>
      <c r="AO71" s="28"/>
      <c r="AP71" s="28"/>
      <c r="AQ71" s="28"/>
      <c r="AR71" s="28"/>
      <c r="AS71" s="28"/>
      <c r="AT71" s="28"/>
      <c r="AU71" s="28"/>
      <c r="AV71" s="28"/>
      <c r="AW71" s="28"/>
      <c r="AX71" s="28"/>
      <c r="AY71" s="28"/>
    </row>
    <row r="72" spans="1:51" s="4" customFormat="1" x14ac:dyDescent="0.2">
      <c r="A72" s="10"/>
      <c r="B72" s="1148"/>
      <c r="C72" s="1149"/>
      <c r="D72" s="1149"/>
      <c r="E72" s="1149"/>
      <c r="F72" s="1149"/>
      <c r="G72" s="1149"/>
      <c r="H72" s="980"/>
      <c r="I72" s="980"/>
      <c r="J72" s="980"/>
      <c r="K72" s="1111"/>
      <c r="L72" s="1142"/>
      <c r="M72" s="1142"/>
      <c r="N72" s="1141"/>
      <c r="O72" s="8"/>
      <c r="P72" s="1050"/>
      <c r="Q72" s="1146"/>
      <c r="R72" s="1146"/>
      <c r="S72" s="1146"/>
      <c r="T72" s="1146"/>
      <c r="U72" s="1146"/>
      <c r="V72" s="1146"/>
      <c r="W72" s="1146"/>
      <c r="X72" s="1146"/>
      <c r="Y72" s="1146"/>
      <c r="Z72" s="1146"/>
      <c r="AA72" s="1146"/>
      <c r="AB72" s="1051"/>
      <c r="AC72" s="8"/>
      <c r="AD72" s="14"/>
      <c r="AE72" s="14"/>
      <c r="AF72" s="14"/>
      <c r="AG72" s="14"/>
      <c r="AH72" s="14"/>
      <c r="AI72" s="14"/>
      <c r="AJ72" s="14"/>
      <c r="AK72" s="8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</row>
    <row r="73" spans="1:51" s="4" customFormat="1" ht="13.5" thickBot="1" x14ac:dyDescent="0.25">
      <c r="A73" s="10"/>
      <c r="B73" s="1344" t="s">
        <v>1442</v>
      </c>
      <c r="C73" s="1143"/>
      <c r="D73" s="1143"/>
      <c r="E73" s="1143"/>
      <c r="F73" s="1143"/>
      <c r="G73" s="1143"/>
      <c r="H73" s="1143"/>
      <c r="I73" s="1143"/>
      <c r="J73" s="1143"/>
      <c r="K73" s="1143"/>
      <c r="L73" s="1143"/>
      <c r="M73" s="1143"/>
      <c r="N73" s="1144"/>
      <c r="O73" s="8"/>
      <c r="P73" s="1050"/>
      <c r="Q73" s="1146"/>
      <c r="R73" s="1146"/>
      <c r="S73" s="1146"/>
      <c r="T73" s="1146"/>
      <c r="U73" s="1146"/>
      <c r="V73" s="1146"/>
      <c r="W73" s="1146"/>
      <c r="X73" s="1146"/>
      <c r="Y73" s="1146"/>
      <c r="Z73" s="1146"/>
      <c r="AA73" s="1146"/>
      <c r="AB73" s="1051"/>
      <c r="AC73" s="8"/>
      <c r="AD73" s="14"/>
      <c r="AE73" s="14"/>
      <c r="AF73" s="14"/>
      <c r="AG73" s="14"/>
      <c r="AH73" s="14"/>
      <c r="AI73" s="14"/>
      <c r="AJ73" s="14"/>
      <c r="AK73" s="8"/>
      <c r="AM73" s="24"/>
      <c r="AN73" s="24"/>
      <c r="AO73" s="24"/>
      <c r="AP73" s="24"/>
      <c r="AQ73" s="24"/>
      <c r="AR73" s="24"/>
      <c r="AS73" s="24"/>
      <c r="AT73" s="24"/>
      <c r="AU73" s="24"/>
      <c r="AV73" s="24"/>
      <c r="AW73" s="24"/>
      <c r="AX73" s="24"/>
      <c r="AY73" s="24"/>
    </row>
    <row r="74" spans="1:51" s="4" customFormat="1" ht="12.75" customHeight="1" x14ac:dyDescent="0.2">
      <c r="A74" s="10"/>
      <c r="B74" s="1331" t="s">
        <v>1443</v>
      </c>
      <c r="C74" s="980"/>
      <c r="D74" s="980"/>
      <c r="E74" s="980"/>
      <c r="F74" s="980"/>
      <c r="G74" s="980"/>
      <c r="H74" s="980"/>
      <c r="I74" s="980"/>
      <c r="J74" s="980"/>
      <c r="K74" s="980"/>
      <c r="L74" s="980"/>
      <c r="M74" s="980"/>
      <c r="N74" s="1123"/>
      <c r="O74" s="8"/>
      <c r="P74" s="1050"/>
      <c r="Q74" s="1146"/>
      <c r="R74" s="1146"/>
      <c r="S74" s="1146"/>
      <c r="T74" s="1146"/>
      <c r="U74" s="1146"/>
      <c r="V74" s="1146"/>
      <c r="W74" s="1146"/>
      <c r="X74" s="1146"/>
      <c r="Y74" s="1146"/>
      <c r="Z74" s="1146"/>
      <c r="AA74" s="1146"/>
      <c r="AB74" s="1051"/>
      <c r="AC74" s="8"/>
      <c r="AD74" s="14"/>
      <c r="AE74" s="14"/>
      <c r="AF74" s="14"/>
      <c r="AG74" s="14"/>
      <c r="AH74" s="14"/>
      <c r="AI74" s="14"/>
      <c r="AJ74" s="14"/>
      <c r="AK74" s="8"/>
      <c r="AM74" s="24"/>
      <c r="AN74" s="24"/>
      <c r="AO74" s="24"/>
      <c r="AP74" s="24"/>
      <c r="AQ74" s="24"/>
      <c r="AR74" s="24"/>
      <c r="AS74" s="24"/>
      <c r="AT74" s="24"/>
      <c r="AU74" s="24"/>
      <c r="AV74" s="24"/>
      <c r="AW74" s="24"/>
      <c r="AX74" s="24"/>
      <c r="AY74" s="24"/>
    </row>
    <row r="75" spans="1:51" s="4" customFormat="1" x14ac:dyDescent="0.2">
      <c r="A75" s="10"/>
      <c r="B75" s="1329"/>
      <c r="C75" s="980"/>
      <c r="D75" s="980"/>
      <c r="E75" s="980"/>
      <c r="F75" s="980"/>
      <c r="G75" s="980"/>
      <c r="H75" s="980"/>
      <c r="I75" s="980"/>
      <c r="J75" s="980"/>
      <c r="K75" s="980"/>
      <c r="L75" s="980"/>
      <c r="M75" s="980"/>
      <c r="N75" s="1123"/>
      <c r="O75" s="8"/>
      <c r="P75" s="1050"/>
      <c r="Q75" s="1146"/>
      <c r="R75" s="1146"/>
      <c r="S75" s="1146"/>
      <c r="T75" s="1146"/>
      <c r="U75" s="1146"/>
      <c r="V75" s="1146"/>
      <c r="W75" s="1146"/>
      <c r="X75" s="1146"/>
      <c r="Y75" s="1146"/>
      <c r="Z75" s="1146"/>
      <c r="AA75" s="1146"/>
      <c r="AB75" s="1051"/>
      <c r="AC75" s="8"/>
      <c r="AD75" s="14"/>
      <c r="AE75" s="14"/>
      <c r="AF75" s="14"/>
      <c r="AG75" s="14"/>
      <c r="AH75" s="14"/>
      <c r="AI75" s="14"/>
      <c r="AJ75" s="14"/>
      <c r="AK75" s="8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</row>
    <row r="76" spans="1:51" s="4" customFormat="1" x14ac:dyDescent="0.2">
      <c r="A76" s="10"/>
      <c r="B76" s="1329"/>
      <c r="C76" s="980"/>
      <c r="D76" s="980"/>
      <c r="E76" s="980"/>
      <c r="F76" s="980"/>
      <c r="G76" s="980"/>
      <c r="H76" s="980"/>
      <c r="I76" s="980"/>
      <c r="J76" s="980"/>
      <c r="K76" s="980"/>
      <c r="L76" s="980"/>
      <c r="M76" s="980"/>
      <c r="N76" s="1123"/>
      <c r="O76" s="8"/>
      <c r="P76" s="1050"/>
      <c r="Q76" s="1146"/>
      <c r="R76" s="1146"/>
      <c r="S76" s="1146"/>
      <c r="T76" s="1146"/>
      <c r="U76" s="1146"/>
      <c r="V76" s="1146"/>
      <c r="W76" s="1146"/>
      <c r="X76" s="1146"/>
      <c r="Y76" s="1146"/>
      <c r="Z76" s="1146"/>
      <c r="AA76" s="1146"/>
      <c r="AB76" s="1051"/>
      <c r="AC76" s="8"/>
      <c r="AD76" s="14"/>
      <c r="AE76" s="14"/>
      <c r="AF76" s="14"/>
      <c r="AG76" s="14"/>
      <c r="AH76" s="14"/>
      <c r="AI76" s="14"/>
      <c r="AJ76" s="14"/>
      <c r="AK76" s="8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</row>
    <row r="77" spans="1:51" s="4" customFormat="1" x14ac:dyDescent="0.2">
      <c r="A77" s="10"/>
      <c r="B77" s="1329"/>
      <c r="C77" s="980"/>
      <c r="D77" s="980"/>
      <c r="E77" s="980"/>
      <c r="F77" s="980"/>
      <c r="G77" s="980"/>
      <c r="H77" s="980"/>
      <c r="I77" s="980"/>
      <c r="J77" s="980"/>
      <c r="K77" s="980"/>
      <c r="L77" s="980"/>
      <c r="M77" s="980"/>
      <c r="N77" s="1123"/>
      <c r="O77" s="8"/>
      <c r="P77" s="1064" t="s">
        <v>1444</v>
      </c>
      <c r="Q77" s="1065"/>
      <c r="R77" s="1065" t="s">
        <v>1389</v>
      </c>
      <c r="S77" s="1065"/>
      <c r="T77" s="1065" t="s">
        <v>1445</v>
      </c>
      <c r="U77" s="1065"/>
      <c r="V77" s="1065" t="s">
        <v>1446</v>
      </c>
      <c r="W77" s="1065"/>
      <c r="X77" s="1065" t="s">
        <v>1447</v>
      </c>
      <c r="Y77" s="1065"/>
      <c r="Z77" s="1065" t="s">
        <v>1448</v>
      </c>
      <c r="AA77" s="1065"/>
      <c r="AB77" s="1066"/>
      <c r="AC77" s="8"/>
      <c r="AD77" s="14"/>
      <c r="AE77" s="14"/>
      <c r="AF77" s="14"/>
      <c r="AG77" s="14"/>
      <c r="AH77" s="14"/>
      <c r="AI77" s="14"/>
      <c r="AJ77" s="14"/>
      <c r="AK77" s="8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</row>
    <row r="78" spans="1:51" s="4" customFormat="1" x14ac:dyDescent="0.2">
      <c r="A78" s="10"/>
      <c r="B78" s="1329"/>
      <c r="C78" s="980"/>
      <c r="D78" s="980"/>
      <c r="E78" s="980"/>
      <c r="F78" s="980"/>
      <c r="G78" s="980"/>
      <c r="H78" s="980"/>
      <c r="I78" s="980"/>
      <c r="J78" s="980"/>
      <c r="K78" s="980"/>
      <c r="L78" s="980"/>
      <c r="M78" s="980"/>
      <c r="N78" s="1123"/>
      <c r="O78" s="8"/>
      <c r="P78" s="1064"/>
      <c r="Q78" s="1065"/>
      <c r="R78" s="1065"/>
      <c r="S78" s="1065"/>
      <c r="T78" s="1065"/>
      <c r="U78" s="1065"/>
      <c r="V78" s="1065"/>
      <c r="W78" s="1065"/>
      <c r="X78" s="1065"/>
      <c r="Y78" s="1065"/>
      <c r="Z78" s="1065"/>
      <c r="AA78" s="1065"/>
      <c r="AB78" s="1066"/>
      <c r="AC78" s="8"/>
      <c r="AD78" s="14"/>
      <c r="AE78" s="14"/>
      <c r="AF78" s="14"/>
      <c r="AG78" s="14"/>
      <c r="AH78" s="14"/>
      <c r="AI78" s="14"/>
      <c r="AJ78" s="14"/>
      <c r="AK78" s="8"/>
      <c r="AM78" s="28"/>
      <c r="AN78" s="28"/>
      <c r="AO78" s="28"/>
      <c r="AP78" s="28"/>
      <c r="AQ78" s="28"/>
      <c r="AR78" s="28"/>
      <c r="AS78" s="28"/>
      <c r="AT78" s="28"/>
      <c r="AU78" s="28"/>
      <c r="AV78" s="28"/>
      <c r="AW78" s="28"/>
      <c r="AX78" s="28"/>
      <c r="AY78" s="28"/>
    </row>
    <row r="79" spans="1:51" s="4" customFormat="1" ht="14.25" customHeight="1" thickBot="1" x14ac:dyDescent="0.25">
      <c r="A79" s="10"/>
      <c r="B79" s="1332"/>
      <c r="C79" s="1124"/>
      <c r="D79" s="1124"/>
      <c r="E79" s="1124"/>
      <c r="F79" s="1124"/>
      <c r="G79" s="1124"/>
      <c r="H79" s="1124"/>
      <c r="I79" s="1124"/>
      <c r="J79" s="1124"/>
      <c r="K79" s="1124"/>
      <c r="L79" s="1124"/>
      <c r="M79" s="1124"/>
      <c r="N79" s="1125"/>
      <c r="O79" s="8"/>
      <c r="P79" s="1050">
        <f>cont1_mbr_linha</f>
        <v>0</v>
      </c>
      <c r="Q79" s="1146"/>
      <c r="R79" s="1145">
        <f>cont1_mbr_vert</f>
        <v>0</v>
      </c>
      <c r="S79" s="1265"/>
      <c r="T79" s="1145">
        <f>cont1_bm_vert</f>
        <v>0</v>
      </c>
      <c r="U79" s="1265"/>
      <c r="V79" s="1145">
        <f>cont1_sf_vert</f>
        <v>0</v>
      </c>
      <c r="W79" s="1265"/>
      <c r="X79" s="1145">
        <f>cont1_ey_moment</f>
        <v>0</v>
      </c>
      <c r="Y79" s="1265"/>
      <c r="Z79" s="1068">
        <f>cont1_sf_line_endb</f>
        <v>0</v>
      </c>
      <c r="AA79" s="1068"/>
      <c r="AB79" s="1071"/>
      <c r="AC79" s="8"/>
      <c r="AD79" s="14"/>
      <c r="AE79" s="14"/>
      <c r="AF79" s="14"/>
      <c r="AG79" s="14"/>
      <c r="AH79" s="14"/>
      <c r="AI79" s="14"/>
      <c r="AJ79" s="14"/>
      <c r="AK79" s="14"/>
      <c r="AL79" s="16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</row>
    <row r="80" spans="1:51" s="4" customFormat="1" ht="14.25" customHeight="1" x14ac:dyDescent="0.2">
      <c r="A80" s="8"/>
      <c r="B80" s="40"/>
      <c r="C80" s="40"/>
      <c r="D80" s="40"/>
      <c r="E80" s="40"/>
      <c r="F80" s="40"/>
      <c r="G80" s="40"/>
      <c r="H80" s="40"/>
      <c r="I80" s="40"/>
      <c r="J80" s="40"/>
      <c r="K80" s="40"/>
      <c r="L80" s="40"/>
      <c r="M80" s="40"/>
      <c r="N80" s="40"/>
      <c r="O80" s="8"/>
      <c r="P80" s="1050"/>
      <c r="Q80" s="1146"/>
      <c r="R80" s="1145"/>
      <c r="S80" s="1265"/>
      <c r="T80" s="1145"/>
      <c r="U80" s="1265"/>
      <c r="V80" s="1145"/>
      <c r="W80" s="1265"/>
      <c r="X80" s="1145"/>
      <c r="Y80" s="1265"/>
      <c r="Z80" s="1068"/>
      <c r="AA80" s="1068"/>
      <c r="AB80" s="1071"/>
      <c r="AC80" s="8"/>
      <c r="AD80" s="14"/>
      <c r="AE80" s="14"/>
      <c r="AF80" s="14"/>
      <c r="AG80" s="14"/>
      <c r="AH80" s="14"/>
      <c r="AI80" s="14"/>
      <c r="AJ80" s="14"/>
      <c r="AK80" s="14"/>
      <c r="AL80" s="16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</row>
    <row r="81" spans="1:51" s="4" customFormat="1" x14ac:dyDescent="0.2">
      <c r="A81" s="8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8"/>
      <c r="O81" s="8"/>
      <c r="P81" s="1098" t="s">
        <v>1449</v>
      </c>
      <c r="Q81" s="1099"/>
      <c r="R81" s="1099"/>
      <c r="S81" s="1099"/>
      <c r="T81" s="1099"/>
      <c r="U81" s="1099"/>
      <c r="V81" s="1099"/>
      <c r="W81" s="1099"/>
      <c r="X81" s="1099"/>
      <c r="Y81" s="1099"/>
      <c r="Z81" s="1099"/>
      <c r="AA81" s="1099"/>
      <c r="AB81" s="1100"/>
      <c r="AC81" s="8"/>
      <c r="AD81" s="14"/>
      <c r="AE81" s="14"/>
      <c r="AF81" s="14"/>
      <c r="AG81" s="14"/>
      <c r="AH81" s="14"/>
      <c r="AI81" s="14"/>
      <c r="AJ81" s="14"/>
      <c r="AK81" s="14"/>
      <c r="AL81" s="16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</row>
    <row r="82" spans="1:51" s="4" customFormat="1" x14ac:dyDescent="0.2">
      <c r="A82" s="8"/>
      <c r="B82" s="1301" t="s">
        <v>1450</v>
      </c>
      <c r="C82" s="1301"/>
      <c r="D82" s="1301"/>
      <c r="E82" s="1301"/>
      <c r="F82" s="1301"/>
      <c r="G82" s="1301"/>
      <c r="H82" s="1301"/>
      <c r="I82" s="1301"/>
      <c r="J82" s="1301"/>
      <c r="K82" s="1301"/>
      <c r="L82" s="1301"/>
      <c r="M82" s="1301"/>
      <c r="N82" s="1301"/>
      <c r="O82" s="8"/>
      <c r="P82" s="1158"/>
      <c r="Q82" s="1346"/>
      <c r="R82" s="1346"/>
      <c r="S82" s="1346"/>
      <c r="T82" s="1346"/>
      <c r="U82" s="1346"/>
      <c r="V82" s="1346"/>
      <c r="W82" s="1346"/>
      <c r="X82" s="1346"/>
      <c r="Y82" s="1346"/>
      <c r="Z82" s="1346"/>
      <c r="AA82" s="1346"/>
      <c r="AB82" s="1160"/>
      <c r="AC82" s="8"/>
      <c r="AD82" s="14"/>
      <c r="AE82" s="14"/>
      <c r="AF82" s="14"/>
      <c r="AG82" s="14"/>
      <c r="AH82" s="14"/>
      <c r="AI82" s="14"/>
      <c r="AJ82" s="14"/>
      <c r="AK82" s="14"/>
      <c r="AL82" s="16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</row>
    <row r="83" spans="1:51" s="4" customFormat="1" ht="13.5" thickBot="1" x14ac:dyDescent="0.25">
      <c r="A83" s="8"/>
      <c r="B83" s="1301"/>
      <c r="C83" s="1301"/>
      <c r="D83" s="1301"/>
      <c r="E83" s="1301"/>
      <c r="F83" s="1301"/>
      <c r="G83" s="1301"/>
      <c r="H83" s="1301"/>
      <c r="I83" s="1301"/>
      <c r="J83" s="1301"/>
      <c r="K83" s="1301"/>
      <c r="L83" s="1301"/>
      <c r="M83" s="1301"/>
      <c r="N83" s="1301"/>
      <c r="O83" s="8"/>
      <c r="P83" s="1158"/>
      <c r="Q83" s="1346"/>
      <c r="R83" s="1346"/>
      <c r="S83" s="1346"/>
      <c r="T83" s="1346"/>
      <c r="U83" s="1346"/>
      <c r="V83" s="1346"/>
      <c r="W83" s="1346"/>
      <c r="X83" s="1346"/>
      <c r="Y83" s="1346"/>
      <c r="Z83" s="1346"/>
      <c r="AA83" s="1346"/>
      <c r="AB83" s="1160"/>
      <c r="AC83" s="8"/>
      <c r="AD83" s="8"/>
      <c r="AE83" s="8"/>
      <c r="AF83" s="8"/>
      <c r="AG83" s="8"/>
      <c r="AH83" s="8"/>
      <c r="AI83" s="8"/>
      <c r="AJ83" s="8"/>
      <c r="AK83" s="8"/>
      <c r="AM83" s="28"/>
      <c r="AN83" s="28"/>
      <c r="AO83" s="28"/>
      <c r="AP83" s="28"/>
      <c r="AQ83" s="28"/>
      <c r="AR83" s="28"/>
      <c r="AS83" s="28"/>
      <c r="AT83" s="28"/>
      <c r="AU83" s="28"/>
      <c r="AV83" s="28"/>
      <c r="AW83" s="28"/>
      <c r="AX83" s="28"/>
      <c r="AY83" s="28"/>
    </row>
    <row r="84" spans="1:51" s="4" customFormat="1" ht="13.5" customHeight="1" x14ac:dyDescent="0.2">
      <c r="A84" s="8"/>
      <c r="B84" s="1138" t="s">
        <v>1451</v>
      </c>
      <c r="C84" s="1139"/>
      <c r="D84" s="1139"/>
      <c r="E84" s="1139"/>
      <c r="F84" s="1139"/>
      <c r="G84" s="1139"/>
      <c r="H84" s="1139"/>
      <c r="I84" s="1139"/>
      <c r="J84" s="1139"/>
      <c r="K84" s="1139"/>
      <c r="L84" s="1139"/>
      <c r="M84" s="1139"/>
      <c r="N84" s="1140"/>
      <c r="O84" s="8"/>
      <c r="P84" s="1158"/>
      <c r="Q84" s="1346"/>
      <c r="R84" s="1346"/>
      <c r="S84" s="1346"/>
      <c r="T84" s="1346"/>
      <c r="U84" s="1346"/>
      <c r="V84" s="1346"/>
      <c r="W84" s="1346"/>
      <c r="X84" s="1346"/>
      <c r="Y84" s="1346"/>
      <c r="Z84" s="1346"/>
      <c r="AA84" s="1346"/>
      <c r="AB84" s="1160"/>
      <c r="AC84" s="8"/>
      <c r="AD84" s="8"/>
      <c r="AE84" s="8"/>
      <c r="AF84" s="8"/>
      <c r="AG84" s="8"/>
      <c r="AH84" s="8"/>
      <c r="AI84" s="8"/>
      <c r="AJ84" s="8"/>
      <c r="AK84" s="8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</row>
    <row r="85" spans="1:51" s="4" customFormat="1" ht="12.75" customHeight="1" x14ac:dyDescent="0.2">
      <c r="A85" s="8"/>
      <c r="B85" s="1098" t="s">
        <v>1452</v>
      </c>
      <c r="C85" s="1156"/>
      <c r="D85" s="1156"/>
      <c r="E85" s="1156"/>
      <c r="F85" s="1156"/>
      <c r="G85" s="1156"/>
      <c r="H85" s="1156"/>
      <c r="I85" s="1156"/>
      <c r="J85" s="1156"/>
      <c r="K85" s="1156"/>
      <c r="L85" s="1156"/>
      <c r="M85" s="1156"/>
      <c r="N85" s="1100"/>
      <c r="O85" s="8"/>
      <c r="P85" s="1158"/>
      <c r="Q85" s="1346"/>
      <c r="R85" s="1346"/>
      <c r="S85" s="1346"/>
      <c r="T85" s="1346"/>
      <c r="U85" s="1346"/>
      <c r="V85" s="1346"/>
      <c r="W85" s="1346"/>
      <c r="X85" s="1346"/>
      <c r="Y85" s="1346"/>
      <c r="Z85" s="1346"/>
      <c r="AA85" s="1346"/>
      <c r="AB85" s="1160"/>
      <c r="AC85" s="8"/>
      <c r="AD85" s="8"/>
      <c r="AE85" s="8"/>
      <c r="AF85" s="8"/>
      <c r="AG85" s="8"/>
      <c r="AH85" s="8"/>
      <c r="AI85" s="8"/>
      <c r="AJ85" s="8"/>
      <c r="AK85" s="8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</row>
    <row r="86" spans="1:51" s="4" customFormat="1" ht="12.75" customHeight="1" x14ac:dyDescent="0.2">
      <c r="A86" s="8"/>
      <c r="B86" s="1073" t="s">
        <v>1453</v>
      </c>
      <c r="C86" s="1150"/>
      <c r="D86" s="1150"/>
      <c r="E86" s="1150" t="s">
        <v>1454</v>
      </c>
      <c r="F86" s="1150"/>
      <c r="G86" s="1150"/>
      <c r="H86" s="1150" t="s">
        <v>1380</v>
      </c>
      <c r="I86" s="1150"/>
      <c r="J86" s="1150" t="s">
        <v>1455</v>
      </c>
      <c r="K86" s="1150"/>
      <c r="L86" s="1150" t="s">
        <v>1389</v>
      </c>
      <c r="M86" s="1150"/>
      <c r="N86" s="1101"/>
      <c r="O86" s="8"/>
      <c r="P86" s="1158"/>
      <c r="Q86" s="1346"/>
      <c r="R86" s="1346"/>
      <c r="S86" s="1346"/>
      <c r="T86" s="1346"/>
      <c r="U86" s="1346"/>
      <c r="V86" s="1346"/>
      <c r="W86" s="1346"/>
      <c r="X86" s="1346"/>
      <c r="Y86" s="1346"/>
      <c r="Z86" s="1346"/>
      <c r="AA86" s="1346"/>
      <c r="AB86" s="1160"/>
      <c r="AC86" s="8"/>
      <c r="AD86" s="8"/>
      <c r="AE86" s="8"/>
      <c r="AF86" s="8"/>
      <c r="AG86" s="8"/>
      <c r="AH86" s="8"/>
      <c r="AI86" s="8"/>
      <c r="AJ86" s="8"/>
      <c r="AK86" s="8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</row>
    <row r="87" spans="1:51" s="4" customFormat="1" x14ac:dyDescent="0.2">
      <c r="A87" s="8"/>
      <c r="B87" s="1073"/>
      <c r="C87" s="1150"/>
      <c r="D87" s="1150"/>
      <c r="E87" s="1150"/>
      <c r="F87" s="1150"/>
      <c r="G87" s="1150"/>
      <c r="H87" s="1150"/>
      <c r="I87" s="1150"/>
      <c r="J87" s="1150"/>
      <c r="K87" s="1150"/>
      <c r="L87" s="1150"/>
      <c r="M87" s="1150"/>
      <c r="N87" s="1101"/>
      <c r="O87" s="8"/>
      <c r="P87" s="1158"/>
      <c r="Q87" s="1346"/>
      <c r="R87" s="1346"/>
      <c r="S87" s="1346"/>
      <c r="T87" s="1346"/>
      <c r="U87" s="1346"/>
      <c r="V87" s="1346"/>
      <c r="W87" s="1346"/>
      <c r="X87" s="1346"/>
      <c r="Y87" s="1346"/>
      <c r="Z87" s="1346"/>
      <c r="AA87" s="1346"/>
      <c r="AB87" s="1160"/>
      <c r="AC87" s="8"/>
      <c r="AD87" s="8"/>
      <c r="AE87" s="8"/>
      <c r="AF87" s="8"/>
      <c r="AG87" s="8"/>
      <c r="AH87" s="8"/>
      <c r="AI87" s="8"/>
      <c r="AJ87" s="8"/>
      <c r="AK87" s="8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</row>
    <row r="88" spans="1:51" s="4" customFormat="1" ht="12.75" customHeight="1" x14ac:dyDescent="0.2">
      <c r="A88" s="8"/>
      <c r="B88" s="1182">
        <f>IF(ISBLANK(case2_est_dist_flange),"",(case2_est_dist_flange))</f>
        <v>0</v>
      </c>
      <c r="C88" s="1094"/>
      <c r="D88" s="1094"/>
      <c r="E88" s="1116">
        <f>IF(ISBLANK(case2_est_sbed_clear_linha),"",(case2_est_sbed_clear_linha))</f>
        <v>0</v>
      </c>
      <c r="F88" s="1111"/>
      <c r="G88" s="1118"/>
      <c r="H88" s="1094">
        <f>IF(ISBLANK(case2_est_inclinacao_mcv),"",(case2_est_inclinacao_mcv))</f>
        <v>0</v>
      </c>
      <c r="I88" s="1094"/>
      <c r="J88" s="1094">
        <f>IF(ISBLANK(case2_est_mbr_linha), "", (case2_est_mbr_linha))</f>
        <v>0</v>
      </c>
      <c r="K88" s="1094"/>
      <c r="L88" s="1119" t="str">
        <f>IF(case2_est_mbr_vert&lt;=K58,_xlfn.CONCAT(K58," ","(*Vértebra Travada)"),case2_est_mbr_vert)</f>
        <v>Ref (*Vértebra Travada)</v>
      </c>
      <c r="M88" s="1290"/>
      <c r="N88" s="1121"/>
      <c r="O88" s="1111"/>
      <c r="P88" s="1158"/>
      <c r="Q88" s="1346"/>
      <c r="R88" s="1346"/>
      <c r="S88" s="1346"/>
      <c r="T88" s="1346"/>
      <c r="U88" s="1346"/>
      <c r="V88" s="1346"/>
      <c r="W88" s="1346"/>
      <c r="X88" s="1346"/>
      <c r="Y88" s="1346"/>
      <c r="Z88" s="1346"/>
      <c r="AA88" s="1346"/>
      <c r="AB88" s="1160"/>
      <c r="AC88" s="8"/>
      <c r="AD88" s="8"/>
      <c r="AE88" s="8"/>
      <c r="AF88" s="8"/>
      <c r="AG88" s="8"/>
      <c r="AH88" s="8"/>
      <c r="AI88" s="8"/>
      <c r="AJ88" s="8"/>
      <c r="AK88" s="8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</row>
    <row r="89" spans="1:51" s="4" customFormat="1" ht="12.75" customHeight="1" x14ac:dyDescent="0.2">
      <c r="A89" s="8"/>
      <c r="B89" s="1168"/>
      <c r="C89" s="1096"/>
      <c r="D89" s="1096"/>
      <c r="E89" s="1116"/>
      <c r="F89" s="1111"/>
      <c r="G89" s="1118"/>
      <c r="H89" s="1096"/>
      <c r="I89" s="1096"/>
      <c r="J89" s="1096"/>
      <c r="K89" s="1096"/>
      <c r="L89" s="1119"/>
      <c r="M89" s="1290"/>
      <c r="N89" s="1121"/>
      <c r="O89" s="1111"/>
      <c r="P89" s="1158"/>
      <c r="Q89" s="1346"/>
      <c r="R89" s="1346"/>
      <c r="S89" s="1346"/>
      <c r="T89" s="1346"/>
      <c r="U89" s="1346"/>
      <c r="V89" s="1346"/>
      <c r="W89" s="1346"/>
      <c r="X89" s="1346"/>
      <c r="Y89" s="1346"/>
      <c r="Z89" s="1346"/>
      <c r="AA89" s="1346"/>
      <c r="AB89" s="1160"/>
      <c r="AC89" s="8"/>
      <c r="AD89" s="8"/>
      <c r="AE89" s="8"/>
      <c r="AF89" s="8"/>
      <c r="AG89" s="8"/>
      <c r="AH89" s="8"/>
      <c r="AI89" s="8"/>
      <c r="AJ89" s="8"/>
      <c r="AK89" s="8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</row>
    <row r="90" spans="1:51" s="4" customFormat="1" x14ac:dyDescent="0.2">
      <c r="A90" s="8"/>
      <c r="B90" s="1098" t="s">
        <v>1456</v>
      </c>
      <c r="C90" s="1156"/>
      <c r="D90" s="1156"/>
      <c r="E90" s="1156"/>
      <c r="F90" s="1156"/>
      <c r="G90" s="1156"/>
      <c r="H90" s="1156"/>
      <c r="I90" s="1156"/>
      <c r="J90" s="1156"/>
      <c r="K90" s="1156"/>
      <c r="L90" s="1156"/>
      <c r="M90" s="1156"/>
      <c r="N90" s="1100"/>
      <c r="O90" s="8"/>
      <c r="P90" s="1158"/>
      <c r="Q90" s="1346"/>
      <c r="R90" s="1346"/>
      <c r="S90" s="1346"/>
      <c r="T90" s="1346"/>
      <c r="U90" s="1346"/>
      <c r="V90" s="1346"/>
      <c r="W90" s="1346"/>
      <c r="X90" s="1346"/>
      <c r="Y90" s="1346"/>
      <c r="Z90" s="1346"/>
      <c r="AA90" s="1346"/>
      <c r="AB90" s="1160"/>
      <c r="AC90" s="8"/>
      <c r="AD90" s="8"/>
      <c r="AE90" s="8"/>
      <c r="AF90" s="8"/>
      <c r="AG90" s="8"/>
      <c r="AH90" s="8"/>
      <c r="AI90" s="8"/>
      <c r="AJ90" s="8"/>
      <c r="AK90" s="8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</row>
    <row r="91" spans="1:51" s="4" customFormat="1" ht="12.75" customHeight="1" x14ac:dyDescent="0.2">
      <c r="A91" s="8"/>
      <c r="B91" s="1073" t="s">
        <v>1377</v>
      </c>
      <c r="C91" s="1150"/>
      <c r="D91" s="1150"/>
      <c r="E91" s="1150" t="s">
        <v>1457</v>
      </c>
      <c r="F91" s="1150"/>
      <c r="G91" s="1150"/>
      <c r="H91" s="1150"/>
      <c r="I91" s="1150" t="s">
        <v>1458</v>
      </c>
      <c r="J91" s="1150"/>
      <c r="K91" s="1150"/>
      <c r="L91" s="1150" t="s">
        <v>1379</v>
      </c>
      <c r="M91" s="1150"/>
      <c r="N91" s="1101"/>
      <c r="O91" s="8"/>
      <c r="P91" s="1158"/>
      <c r="Q91" s="1346"/>
      <c r="R91" s="1346"/>
      <c r="S91" s="1346"/>
      <c r="T91" s="1346"/>
      <c r="U91" s="1346"/>
      <c r="V91" s="1346"/>
      <c r="W91" s="1346"/>
      <c r="X91" s="1346"/>
      <c r="Y91" s="1346"/>
      <c r="Z91" s="1346"/>
      <c r="AA91" s="1346"/>
      <c r="AB91" s="1160"/>
      <c r="AC91" s="8"/>
      <c r="AD91" s="8"/>
      <c r="AE91" s="8"/>
      <c r="AF91" s="8"/>
      <c r="AG91" s="8"/>
      <c r="AH91" s="8"/>
      <c r="AI91" s="8"/>
      <c r="AJ91" s="8"/>
      <c r="AK91" s="8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</row>
    <row r="92" spans="1:51" s="4" customFormat="1" x14ac:dyDescent="0.2">
      <c r="A92" s="8"/>
      <c r="B92" s="1073"/>
      <c r="C92" s="1150"/>
      <c r="D92" s="1150"/>
      <c r="E92" s="1150"/>
      <c r="F92" s="1150"/>
      <c r="G92" s="1150"/>
      <c r="H92" s="1150"/>
      <c r="I92" s="1150"/>
      <c r="J92" s="1150"/>
      <c r="K92" s="1150"/>
      <c r="L92" s="1150"/>
      <c r="M92" s="1150"/>
      <c r="N92" s="1101"/>
      <c r="O92" s="8"/>
      <c r="P92" s="1158"/>
      <c r="Q92" s="1346"/>
      <c r="R92" s="1346"/>
      <c r="S92" s="1346"/>
      <c r="T92" s="1346"/>
      <c r="U92" s="1346"/>
      <c r="V92" s="1346"/>
      <c r="W92" s="1346"/>
      <c r="X92" s="1346"/>
      <c r="Y92" s="1346"/>
      <c r="Z92" s="1346"/>
      <c r="AA92" s="1346"/>
      <c r="AB92" s="1160"/>
      <c r="AC92" s="8"/>
      <c r="AD92" s="8"/>
      <c r="AE92" s="8"/>
      <c r="AF92" s="8"/>
      <c r="AG92" s="8"/>
      <c r="AH92" s="8"/>
      <c r="AI92" s="8"/>
      <c r="AJ92" s="8"/>
      <c r="AK92" s="8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</row>
    <row r="93" spans="1:51" s="4" customFormat="1" x14ac:dyDescent="0.2">
      <c r="A93" s="8"/>
      <c r="B93" s="1112" t="str">
        <f>case2_est_dist_tdp_flange</f>
        <v>IGNORAR</v>
      </c>
      <c r="C93" s="1094"/>
      <c r="D93" s="1094"/>
      <c r="E93" s="1094" t="str">
        <f>_xlfn.CONCAT("[",case2_est_comp_lingada1,";",case2_est_comp_lingada2,"]")</f>
        <v>[0;0]</v>
      </c>
      <c r="F93" s="1094"/>
      <c r="G93" s="1094"/>
      <c r="H93" s="1094"/>
      <c r="I93" s="1113" t="str">
        <f>case2_est_comp_susp</f>
        <v>IGNORAR</v>
      </c>
      <c r="J93" s="1094"/>
      <c r="K93" s="1094"/>
      <c r="L93" s="1113" t="str">
        <f>case2_est_altura_corc</f>
        <v>IGNORAR</v>
      </c>
      <c r="M93" s="1094"/>
      <c r="N93" s="1095"/>
      <c r="O93" s="8"/>
      <c r="P93" s="1158"/>
      <c r="Q93" s="1346"/>
      <c r="R93" s="1346"/>
      <c r="S93" s="1346"/>
      <c r="T93" s="1346"/>
      <c r="U93" s="1346"/>
      <c r="V93" s="1346"/>
      <c r="W93" s="1346"/>
      <c r="X93" s="1346"/>
      <c r="Y93" s="1346"/>
      <c r="Z93" s="1346"/>
      <c r="AA93" s="1346"/>
      <c r="AB93" s="1160"/>
      <c r="AC93" s="8"/>
      <c r="AD93" s="8"/>
      <c r="AE93" s="8"/>
      <c r="AF93" s="8"/>
      <c r="AG93" s="8"/>
      <c r="AH93" s="8"/>
      <c r="AI93" s="8"/>
      <c r="AJ93" s="8"/>
      <c r="AK93" s="8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</row>
    <row r="94" spans="1:51" s="4" customFormat="1" ht="12.75" customHeight="1" x14ac:dyDescent="0.2">
      <c r="A94" s="8"/>
      <c r="B94" s="1168"/>
      <c r="C94" s="1096"/>
      <c r="D94" s="1096"/>
      <c r="E94" s="1096"/>
      <c r="F94" s="1096"/>
      <c r="G94" s="1096"/>
      <c r="H94" s="1096"/>
      <c r="I94" s="1096"/>
      <c r="J94" s="1096"/>
      <c r="K94" s="1096"/>
      <c r="L94" s="1096"/>
      <c r="M94" s="1096"/>
      <c r="N94" s="1097"/>
      <c r="O94" s="8"/>
      <c r="P94" s="1158"/>
      <c r="Q94" s="1346"/>
      <c r="R94" s="1346"/>
      <c r="S94" s="1346"/>
      <c r="T94" s="1346"/>
      <c r="U94" s="1346"/>
      <c r="V94" s="1346"/>
      <c r="W94" s="1346"/>
      <c r="X94" s="1346"/>
      <c r="Y94" s="1346"/>
      <c r="Z94" s="1346"/>
      <c r="AA94" s="1346"/>
      <c r="AB94" s="1160"/>
      <c r="AC94" s="8"/>
      <c r="AD94" s="8"/>
      <c r="AE94" s="8"/>
      <c r="AF94" s="8"/>
      <c r="AG94" s="8"/>
      <c r="AH94" s="8"/>
      <c r="AI94" s="8"/>
      <c r="AJ94" s="8"/>
      <c r="AK94" s="8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</row>
    <row r="95" spans="1:51" s="4" customFormat="1" ht="12.75" customHeight="1" x14ac:dyDescent="0.2">
      <c r="A95" s="8"/>
      <c r="B95" s="1098" t="s">
        <v>1459</v>
      </c>
      <c r="C95" s="1156"/>
      <c r="D95" s="1156"/>
      <c r="E95" s="1156"/>
      <c r="F95" s="1156"/>
      <c r="G95" s="1156"/>
      <c r="H95" s="1156"/>
      <c r="I95" s="1156"/>
      <c r="J95" s="1156"/>
      <c r="K95" s="1156"/>
      <c r="L95" s="1156"/>
      <c r="M95" s="1156"/>
      <c r="N95" s="1100"/>
      <c r="O95" s="8"/>
      <c r="P95" s="1158"/>
      <c r="Q95" s="1346"/>
      <c r="R95" s="1346"/>
      <c r="S95" s="1346"/>
      <c r="T95" s="1346"/>
      <c r="U95" s="1346"/>
      <c r="V95" s="1346"/>
      <c r="W95" s="1346"/>
      <c r="X95" s="1346"/>
      <c r="Y95" s="1346"/>
      <c r="Z95" s="1346"/>
      <c r="AA95" s="1346"/>
      <c r="AB95" s="1160"/>
      <c r="AC95" s="8"/>
      <c r="AD95" s="8"/>
      <c r="AE95" s="8"/>
      <c r="AF95" s="8"/>
      <c r="AG95" s="8"/>
      <c r="AH95" s="8"/>
      <c r="AI95" s="8"/>
      <c r="AJ95" s="8"/>
      <c r="AK95" s="8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</row>
    <row r="96" spans="1:51" s="4" customFormat="1" ht="12.75" customHeight="1" x14ac:dyDescent="0.2">
      <c r="A96" s="8"/>
      <c r="B96" s="1105" t="s">
        <v>1387</v>
      </c>
      <c r="C96" s="1345"/>
      <c r="D96" s="1345"/>
      <c r="E96" s="1345"/>
      <c r="F96" s="1345"/>
      <c r="G96" s="1345"/>
      <c r="H96" s="1345"/>
      <c r="I96" s="1345" t="s">
        <v>1388</v>
      </c>
      <c r="J96" s="1345"/>
      <c r="K96" s="1345"/>
      <c r="L96" s="1345"/>
      <c r="M96" s="1345"/>
      <c r="N96" s="1107"/>
      <c r="O96" s="8"/>
      <c r="P96" s="1158"/>
      <c r="Q96" s="1346"/>
      <c r="R96" s="1346"/>
      <c r="S96" s="1346"/>
      <c r="T96" s="1346"/>
      <c r="U96" s="1346"/>
      <c r="V96" s="1346"/>
      <c r="W96" s="1346"/>
      <c r="X96" s="1346"/>
      <c r="Y96" s="1346"/>
      <c r="Z96" s="1346"/>
      <c r="AA96" s="1346"/>
      <c r="AB96" s="1160"/>
      <c r="AC96" s="8"/>
      <c r="AD96" s="8"/>
      <c r="AE96" s="8"/>
      <c r="AF96" s="8"/>
      <c r="AG96" s="8"/>
      <c r="AH96" s="8"/>
      <c r="AI96" s="8"/>
      <c r="AJ96" s="8"/>
      <c r="AK96" s="8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</row>
    <row r="97" spans="1:51" s="4" customFormat="1" ht="12.75" customHeight="1" x14ac:dyDescent="0.2">
      <c r="A97" s="8"/>
      <c r="B97" s="1067">
        <f>case2_est_bm_vert</f>
        <v>0</v>
      </c>
      <c r="C97" s="1068"/>
      <c r="D97" s="1068"/>
      <c r="E97" s="1068"/>
      <c r="F97" s="1068"/>
      <c r="G97" s="1068"/>
      <c r="H97" s="1068"/>
      <c r="I97" s="1068">
        <f>case2_est_sf_vert</f>
        <v>0</v>
      </c>
      <c r="J97" s="1068"/>
      <c r="K97" s="1068"/>
      <c r="L97" s="1068"/>
      <c r="M97" s="1068"/>
      <c r="N97" s="1071"/>
      <c r="O97" s="8"/>
      <c r="P97" s="1158"/>
      <c r="Q97" s="1346"/>
      <c r="R97" s="1346"/>
      <c r="S97" s="1346"/>
      <c r="T97" s="1346"/>
      <c r="U97" s="1346"/>
      <c r="V97" s="1346"/>
      <c r="W97" s="1346"/>
      <c r="X97" s="1346"/>
      <c r="Y97" s="1346"/>
      <c r="Z97" s="1346"/>
      <c r="AA97" s="1346"/>
      <c r="AB97" s="1160"/>
      <c r="AC97" s="8"/>
      <c r="AD97" s="8"/>
      <c r="AE97" s="8"/>
      <c r="AF97" s="8"/>
      <c r="AG97" s="8"/>
      <c r="AH97" s="8"/>
      <c r="AI97" s="8"/>
      <c r="AJ97" s="8"/>
      <c r="AK97" s="8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</row>
    <row r="98" spans="1:51" s="4" customFormat="1" ht="12.75" customHeight="1" x14ac:dyDescent="0.2">
      <c r="A98" s="8"/>
      <c r="B98" s="1067"/>
      <c r="C98" s="1068"/>
      <c r="D98" s="1068"/>
      <c r="E98" s="1068"/>
      <c r="F98" s="1068"/>
      <c r="G98" s="1068"/>
      <c r="H98" s="1068"/>
      <c r="I98" s="1068"/>
      <c r="J98" s="1068"/>
      <c r="K98" s="1068"/>
      <c r="L98" s="1068"/>
      <c r="M98" s="1068"/>
      <c r="N98" s="1071"/>
      <c r="O98" s="8"/>
      <c r="P98" s="1158"/>
      <c r="Q98" s="1346"/>
      <c r="R98" s="1346"/>
      <c r="S98" s="1346"/>
      <c r="T98" s="1346"/>
      <c r="U98" s="1346"/>
      <c r="V98" s="1346"/>
      <c r="W98" s="1346"/>
      <c r="X98" s="1346"/>
      <c r="Y98" s="1346"/>
      <c r="Z98" s="1346"/>
      <c r="AA98" s="1346"/>
      <c r="AB98" s="1160"/>
      <c r="AC98" s="8"/>
      <c r="AD98" s="34"/>
      <c r="AE98" s="34"/>
      <c r="AF98" s="34"/>
      <c r="AG98" s="34"/>
      <c r="AH98" s="34"/>
      <c r="AI98" s="34"/>
      <c r="AJ98" s="34"/>
      <c r="AK98" s="34"/>
      <c r="AL98" s="28"/>
      <c r="AM98" s="28"/>
      <c r="AN98" s="28"/>
      <c r="AO98" s="28"/>
      <c r="AP98" s="28"/>
      <c r="AQ98" s="21"/>
      <c r="AR98" s="21"/>
      <c r="AS98" s="21"/>
      <c r="AT98" s="21"/>
      <c r="AU98" s="21"/>
      <c r="AV98" s="21"/>
      <c r="AW98" s="21"/>
      <c r="AX98" s="21"/>
      <c r="AY98" s="21"/>
    </row>
    <row r="99" spans="1:51" s="4" customFormat="1" ht="12.75" customHeight="1" x14ac:dyDescent="0.2">
      <c r="A99" s="8"/>
      <c r="B99" s="1098" t="s">
        <v>1460</v>
      </c>
      <c r="C99" s="1156"/>
      <c r="D99" s="1156"/>
      <c r="E99" s="1156"/>
      <c r="F99" s="1156"/>
      <c r="G99" s="1156"/>
      <c r="H99" s="1156"/>
      <c r="I99" s="1156"/>
      <c r="J99" s="1156"/>
      <c r="K99" s="1156"/>
      <c r="L99" s="1156"/>
      <c r="M99" s="1156"/>
      <c r="N99" s="1100"/>
      <c r="O99" s="8"/>
      <c r="P99" s="1158"/>
      <c r="Q99" s="1346"/>
      <c r="R99" s="1346"/>
      <c r="S99" s="1346"/>
      <c r="T99" s="1346"/>
      <c r="U99" s="1346"/>
      <c r="V99" s="1346"/>
      <c r="W99" s="1346"/>
      <c r="X99" s="1346"/>
      <c r="Y99" s="1346"/>
      <c r="Z99" s="1346"/>
      <c r="AA99" s="1346"/>
      <c r="AB99" s="1160"/>
      <c r="AC99" s="8"/>
      <c r="AD99" s="34"/>
      <c r="AE99" s="34"/>
      <c r="AF99" s="34"/>
      <c r="AG99" s="34"/>
      <c r="AH99" s="34"/>
      <c r="AI99" s="34"/>
      <c r="AJ99" s="34"/>
      <c r="AK99" s="34"/>
      <c r="AL99" s="28"/>
      <c r="AM99" s="28"/>
      <c r="AN99" s="28"/>
      <c r="AO99" s="28"/>
      <c r="AP99" s="21"/>
      <c r="AQ99" s="21"/>
      <c r="AR99" s="21"/>
      <c r="AS99" s="21"/>
      <c r="AT99" s="21"/>
      <c r="AU99" s="21"/>
      <c r="AV99" s="21"/>
      <c r="AW99" s="21"/>
      <c r="AX99" s="21"/>
      <c r="AY99" s="21"/>
    </row>
    <row r="100" spans="1:51" s="4" customFormat="1" ht="12.75" customHeight="1" x14ac:dyDescent="0.2">
      <c r="A100" s="8"/>
      <c r="B100" s="1105" t="s">
        <v>1369</v>
      </c>
      <c r="C100" s="1345"/>
      <c r="D100" s="1345"/>
      <c r="E100" s="1345"/>
      <c r="F100" s="1345" t="s">
        <v>1461</v>
      </c>
      <c r="G100" s="1345"/>
      <c r="H100" s="1345"/>
      <c r="I100" s="1345"/>
      <c r="J100" s="1345"/>
      <c r="K100" s="1345" t="s">
        <v>1462</v>
      </c>
      <c r="L100" s="1345"/>
      <c r="M100" s="1345"/>
      <c r="N100" s="1107"/>
      <c r="O100" s="8"/>
      <c r="P100" s="1158"/>
      <c r="Q100" s="1346"/>
      <c r="R100" s="1346"/>
      <c r="S100" s="1346"/>
      <c r="T100" s="1346"/>
      <c r="U100" s="1346"/>
      <c r="V100" s="1346"/>
      <c r="W100" s="1346"/>
      <c r="X100" s="1346"/>
      <c r="Y100" s="1346"/>
      <c r="Z100" s="1346"/>
      <c r="AA100" s="1346"/>
      <c r="AB100" s="1160"/>
      <c r="AC100" s="8"/>
      <c r="AD100" s="34"/>
      <c r="AE100" s="34"/>
      <c r="AF100" s="34"/>
      <c r="AG100" s="34"/>
      <c r="AH100" s="34"/>
      <c r="AI100" s="34"/>
      <c r="AJ100" s="34"/>
      <c r="AK100" s="34"/>
      <c r="AL100" s="28"/>
      <c r="AM100" s="28"/>
      <c r="AN100" s="28"/>
      <c r="AO100" s="28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</row>
    <row r="101" spans="1:51" s="4" customFormat="1" ht="12.75" customHeight="1" x14ac:dyDescent="0.2">
      <c r="A101" s="8"/>
      <c r="B101" s="1323">
        <f>case2_est_ey_moment</f>
        <v>0</v>
      </c>
      <c r="C101" s="1324"/>
      <c r="D101" s="1324"/>
      <c r="E101" s="1324"/>
      <c r="F101" s="1068">
        <f>case2_est_ez_axial</f>
        <v>0</v>
      </c>
      <c r="G101" s="1068"/>
      <c r="H101" s="1068"/>
      <c r="I101" s="1068"/>
      <c r="J101" s="1068"/>
      <c r="K101" s="1068">
        <f>case2_est_ex_shear_force</f>
        <v>0</v>
      </c>
      <c r="L101" s="1068"/>
      <c r="M101" s="1068"/>
      <c r="N101" s="1071"/>
      <c r="O101" s="8"/>
      <c r="P101" s="1158"/>
      <c r="Q101" s="1346"/>
      <c r="R101" s="1346"/>
      <c r="S101" s="1346"/>
      <c r="T101" s="1346"/>
      <c r="U101" s="1346"/>
      <c r="V101" s="1346"/>
      <c r="W101" s="1346"/>
      <c r="X101" s="1346"/>
      <c r="Y101" s="1346"/>
      <c r="Z101" s="1346"/>
      <c r="AA101" s="1346"/>
      <c r="AB101" s="1160"/>
      <c r="AC101" s="8"/>
      <c r="AD101" s="34"/>
      <c r="AE101" s="34"/>
      <c r="AF101" s="34"/>
      <c r="AG101" s="34"/>
      <c r="AH101" s="34"/>
      <c r="AI101" s="34"/>
      <c r="AJ101" s="34"/>
      <c r="AK101" s="34"/>
      <c r="AL101" s="28"/>
      <c r="AM101" s="28"/>
      <c r="AN101" s="28"/>
      <c r="AO101" s="28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</row>
    <row r="102" spans="1:51" s="4" customFormat="1" ht="12.75" customHeight="1" x14ac:dyDescent="0.2">
      <c r="A102" s="8"/>
      <c r="B102" s="1323"/>
      <c r="C102" s="1324"/>
      <c r="D102" s="1324"/>
      <c r="E102" s="1324"/>
      <c r="F102" s="1068"/>
      <c r="G102" s="1068"/>
      <c r="H102" s="1068"/>
      <c r="I102" s="1068"/>
      <c r="J102" s="1068"/>
      <c r="K102" s="1068"/>
      <c r="L102" s="1068"/>
      <c r="M102" s="1068"/>
      <c r="N102" s="1071"/>
      <c r="O102" s="8"/>
      <c r="P102" s="1158"/>
      <c r="Q102" s="1346"/>
      <c r="R102" s="1346"/>
      <c r="S102" s="1346"/>
      <c r="T102" s="1346"/>
      <c r="U102" s="1346"/>
      <c r="V102" s="1346"/>
      <c r="W102" s="1346"/>
      <c r="X102" s="1346"/>
      <c r="Y102" s="1346"/>
      <c r="Z102" s="1346"/>
      <c r="AA102" s="1346"/>
      <c r="AB102" s="1160"/>
      <c r="AC102" s="8"/>
      <c r="AD102" s="35"/>
      <c r="AE102" s="33"/>
      <c r="AF102" s="35"/>
      <c r="AG102" s="33"/>
      <c r="AH102" s="35"/>
      <c r="AI102" s="33"/>
      <c r="AJ102" s="35"/>
      <c r="AK102" s="33"/>
      <c r="AL102" s="30"/>
      <c r="AM102" s="21"/>
      <c r="AN102" s="30"/>
      <c r="AO102" s="21"/>
      <c r="AP102" s="30"/>
      <c r="AQ102" s="21"/>
      <c r="AR102" s="21"/>
      <c r="AS102" s="21"/>
      <c r="AT102" s="21"/>
      <c r="AU102" s="21"/>
      <c r="AV102" s="21"/>
      <c r="AW102" s="21"/>
      <c r="AX102" s="21"/>
      <c r="AY102" s="21"/>
    </row>
    <row r="103" spans="1:51" s="4" customFormat="1" ht="12.75" customHeight="1" thickBot="1" x14ac:dyDescent="0.25">
      <c r="A103" s="8"/>
      <c r="B103" s="1098" t="s">
        <v>1463</v>
      </c>
      <c r="C103" s="1156"/>
      <c r="D103" s="1156"/>
      <c r="E103" s="1156"/>
      <c r="F103" s="1156"/>
      <c r="G103" s="1156"/>
      <c r="H103" s="1156"/>
      <c r="I103" s="1156"/>
      <c r="J103" s="1156"/>
      <c r="K103" s="1156"/>
      <c r="L103" s="1156"/>
      <c r="M103" s="1156"/>
      <c r="N103" s="1100"/>
      <c r="O103" s="8"/>
      <c r="P103" s="1161"/>
      <c r="Q103" s="1162"/>
      <c r="R103" s="1162"/>
      <c r="S103" s="1162"/>
      <c r="T103" s="1162"/>
      <c r="U103" s="1162"/>
      <c r="V103" s="1162"/>
      <c r="W103" s="1162"/>
      <c r="X103" s="1162"/>
      <c r="Y103" s="1162"/>
      <c r="Z103" s="1162"/>
      <c r="AA103" s="1162"/>
      <c r="AB103" s="1163"/>
      <c r="AC103" s="8"/>
      <c r="AD103" s="33"/>
      <c r="AE103" s="33"/>
      <c r="AF103" s="33"/>
      <c r="AG103" s="33"/>
      <c r="AH103" s="33"/>
      <c r="AI103" s="33"/>
      <c r="AJ103" s="33"/>
      <c r="AK103" s="33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</row>
    <row r="104" spans="1:51" s="4" customFormat="1" x14ac:dyDescent="0.2">
      <c r="A104" s="8"/>
      <c r="B104" s="1102"/>
      <c r="C104" s="1347"/>
      <c r="D104" s="1347"/>
      <c r="E104" s="1347"/>
      <c r="F104" s="1347"/>
      <c r="G104" s="1347"/>
      <c r="H104" s="1347"/>
      <c r="I104" s="1347"/>
      <c r="J104" s="1347"/>
      <c r="K104" s="1347"/>
      <c r="L104" s="1347"/>
      <c r="M104" s="1347"/>
      <c r="N104" s="1104"/>
      <c r="O104" s="8"/>
      <c r="P104" s="1064" t="s">
        <v>1444</v>
      </c>
      <c r="Q104" s="1065"/>
      <c r="R104" s="1065" t="s">
        <v>1389</v>
      </c>
      <c r="S104" s="1065"/>
      <c r="T104" s="1065" t="s">
        <v>1445</v>
      </c>
      <c r="U104" s="1065"/>
      <c r="V104" s="1065" t="s">
        <v>1446</v>
      </c>
      <c r="W104" s="1065"/>
      <c r="X104" s="1065" t="s">
        <v>1447</v>
      </c>
      <c r="Y104" s="1065"/>
      <c r="Z104" s="1065" t="s">
        <v>1448</v>
      </c>
      <c r="AA104" s="1065"/>
      <c r="AB104" s="1066"/>
      <c r="AC104" s="8"/>
      <c r="AD104" s="34"/>
      <c r="AE104" s="34"/>
      <c r="AF104" s="34"/>
      <c r="AG104" s="34"/>
      <c r="AH104" s="34"/>
      <c r="AI104" s="34"/>
      <c r="AJ104" s="34"/>
      <c r="AK104" s="34"/>
      <c r="AL104" s="28"/>
      <c r="AM104" s="28"/>
      <c r="AN104" s="28"/>
      <c r="AO104" s="28"/>
      <c r="AP104" s="28"/>
      <c r="AQ104" s="21"/>
      <c r="AR104" s="21"/>
      <c r="AS104" s="21"/>
      <c r="AT104" s="21"/>
      <c r="AU104" s="21"/>
      <c r="AV104" s="21"/>
      <c r="AW104" s="21"/>
      <c r="AX104" s="21"/>
      <c r="AY104" s="21"/>
    </row>
    <row r="105" spans="1:51" s="4" customFormat="1" x14ac:dyDescent="0.2">
      <c r="A105" s="8"/>
      <c r="B105" s="1102"/>
      <c r="C105" s="1347"/>
      <c r="D105" s="1347"/>
      <c r="E105" s="1347"/>
      <c r="F105" s="1347"/>
      <c r="G105" s="1347"/>
      <c r="H105" s="1347"/>
      <c r="I105" s="1347"/>
      <c r="J105" s="1347"/>
      <c r="K105" s="1347"/>
      <c r="L105" s="1347"/>
      <c r="M105" s="1347"/>
      <c r="N105" s="1104"/>
      <c r="O105" s="12"/>
      <c r="P105" s="1064"/>
      <c r="Q105" s="1065"/>
      <c r="R105" s="1065"/>
      <c r="S105" s="1065"/>
      <c r="T105" s="1065"/>
      <c r="U105" s="1065"/>
      <c r="V105" s="1065"/>
      <c r="W105" s="1065"/>
      <c r="X105" s="1065"/>
      <c r="Y105" s="1065"/>
      <c r="Z105" s="1065"/>
      <c r="AA105" s="1065"/>
      <c r="AB105" s="1066"/>
      <c r="AC105" s="8"/>
      <c r="AD105" s="8"/>
      <c r="AE105" s="8"/>
      <c r="AF105" s="8"/>
      <c r="AG105" s="8"/>
      <c r="AH105" s="8"/>
      <c r="AI105" s="8"/>
      <c r="AJ105" s="8"/>
      <c r="AK105" s="8"/>
      <c r="AQ105" s="21"/>
      <c r="AR105" s="21"/>
      <c r="AS105" s="21"/>
      <c r="AT105" s="21"/>
      <c r="AU105" s="21"/>
      <c r="AV105" s="21"/>
      <c r="AW105" s="21"/>
      <c r="AX105" s="21"/>
      <c r="AY105" s="21"/>
    </row>
    <row r="106" spans="1:51" s="4" customFormat="1" x14ac:dyDescent="0.2">
      <c r="A106" s="8"/>
      <c r="B106" s="1102"/>
      <c r="C106" s="1347"/>
      <c r="D106" s="1347"/>
      <c r="E106" s="1347"/>
      <c r="F106" s="1347"/>
      <c r="G106" s="1347"/>
      <c r="H106" s="1347"/>
      <c r="I106" s="1347"/>
      <c r="J106" s="1347"/>
      <c r="K106" s="1347"/>
      <c r="L106" s="1347"/>
      <c r="M106" s="1347"/>
      <c r="N106" s="1104"/>
      <c r="O106" s="8"/>
      <c r="P106" s="1050">
        <f>cont2_mbr_linha</f>
        <v>0</v>
      </c>
      <c r="Q106" s="1146"/>
      <c r="R106" s="1145">
        <f>cont2_mbr_vert</f>
        <v>0</v>
      </c>
      <c r="S106" s="1265"/>
      <c r="T106" s="1145">
        <f>cont2_bm_vert</f>
        <v>0</v>
      </c>
      <c r="U106" s="1265"/>
      <c r="V106" s="1145">
        <f>cont2_sf_vert</f>
        <v>0</v>
      </c>
      <c r="W106" s="1265"/>
      <c r="X106" s="1145">
        <f>cont2_ey_moment</f>
        <v>0</v>
      </c>
      <c r="Y106" s="1265"/>
      <c r="Z106" s="1068">
        <f>cont2_sf_line_endb</f>
        <v>0</v>
      </c>
      <c r="AA106" s="1068"/>
      <c r="AB106" s="1071"/>
      <c r="AC106" s="8"/>
      <c r="AD106" s="36"/>
      <c r="AE106" s="36"/>
      <c r="AF106" s="36"/>
      <c r="AG106" s="36"/>
      <c r="AH106" s="36"/>
      <c r="AI106" s="36"/>
      <c r="AJ106" s="36"/>
      <c r="AK106" s="36"/>
      <c r="AL106" s="31"/>
      <c r="AM106" s="31"/>
      <c r="AN106" s="31"/>
      <c r="AO106" s="31"/>
      <c r="AQ106" s="21"/>
      <c r="AR106" s="21"/>
      <c r="AS106" s="21"/>
      <c r="AT106" s="21"/>
      <c r="AU106" s="21"/>
      <c r="AV106" s="21"/>
      <c r="AW106" s="21"/>
      <c r="AX106" s="21"/>
      <c r="AY106" s="21"/>
    </row>
    <row r="107" spans="1:51" s="4" customFormat="1" ht="12.75" customHeight="1" thickBot="1" x14ac:dyDescent="0.25">
      <c r="A107" s="8"/>
      <c r="B107" s="1102"/>
      <c r="C107" s="1347"/>
      <c r="D107" s="1347"/>
      <c r="E107" s="1347"/>
      <c r="F107" s="1347"/>
      <c r="G107" s="1347"/>
      <c r="H107" s="1347"/>
      <c r="I107" s="1347"/>
      <c r="J107" s="1347"/>
      <c r="K107" s="1347"/>
      <c r="L107" s="1347"/>
      <c r="M107" s="1347"/>
      <c r="N107" s="1104"/>
      <c r="O107" s="8"/>
      <c r="P107" s="1052"/>
      <c r="Q107" s="1056"/>
      <c r="R107" s="1147"/>
      <c r="S107" s="1298"/>
      <c r="T107" s="1147"/>
      <c r="U107" s="1298"/>
      <c r="V107" s="1147"/>
      <c r="W107" s="1298"/>
      <c r="X107" s="1147"/>
      <c r="Y107" s="1298"/>
      <c r="Z107" s="1070"/>
      <c r="AA107" s="1070"/>
      <c r="AB107" s="1072"/>
      <c r="AC107" s="8"/>
      <c r="AD107" s="36"/>
      <c r="AE107" s="36"/>
      <c r="AF107" s="36"/>
      <c r="AG107" s="36"/>
      <c r="AH107" s="36"/>
      <c r="AI107" s="36"/>
      <c r="AJ107" s="36"/>
      <c r="AK107" s="36"/>
      <c r="AL107" s="31"/>
      <c r="AM107" s="31"/>
      <c r="AN107" s="31"/>
      <c r="AO107" s="31"/>
    </row>
    <row r="108" spans="1:51" s="4" customFormat="1" ht="12.75" customHeight="1" x14ac:dyDescent="0.2">
      <c r="A108" s="8"/>
      <c r="B108" s="1102"/>
      <c r="C108" s="1347"/>
      <c r="D108" s="1347"/>
      <c r="E108" s="1347"/>
      <c r="F108" s="1347"/>
      <c r="G108" s="1347"/>
      <c r="H108" s="1347"/>
      <c r="I108" s="1347"/>
      <c r="J108" s="1347"/>
      <c r="K108" s="1347"/>
      <c r="L108" s="1347"/>
      <c r="M108" s="1347"/>
      <c r="N108" s="1104"/>
      <c r="O108" s="8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8"/>
      <c r="AD108" s="36"/>
      <c r="AE108" s="36"/>
      <c r="AF108" s="36"/>
      <c r="AG108" s="36"/>
      <c r="AH108" s="36"/>
      <c r="AI108" s="36"/>
      <c r="AJ108" s="36"/>
      <c r="AK108" s="36"/>
      <c r="AL108" s="31"/>
      <c r="AM108" s="31"/>
      <c r="AN108" s="31"/>
      <c r="AO108" s="31"/>
    </row>
    <row r="109" spans="1:51" s="4" customFormat="1" ht="12.75" customHeight="1" x14ac:dyDescent="0.2">
      <c r="A109" s="8"/>
      <c r="B109" s="1102"/>
      <c r="C109" s="1347"/>
      <c r="D109" s="1347"/>
      <c r="E109" s="1347"/>
      <c r="F109" s="1347"/>
      <c r="G109" s="1347"/>
      <c r="H109" s="1347"/>
      <c r="I109" s="1347"/>
      <c r="J109" s="1347"/>
      <c r="K109" s="1347"/>
      <c r="L109" s="1347"/>
      <c r="M109" s="1347"/>
      <c r="N109" s="1104"/>
      <c r="O109" s="8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8"/>
      <c r="AD109" s="36"/>
      <c r="AE109" s="36"/>
      <c r="AF109" s="36"/>
      <c r="AG109" s="36"/>
      <c r="AH109" s="36"/>
      <c r="AI109" s="36"/>
      <c r="AJ109" s="36"/>
      <c r="AK109" s="36"/>
      <c r="AL109" s="31"/>
      <c r="AM109" s="31"/>
      <c r="AN109" s="31"/>
      <c r="AO109" s="31"/>
    </row>
    <row r="110" spans="1:51" s="4" customFormat="1" ht="12.75" customHeight="1" x14ac:dyDescent="0.2">
      <c r="A110" s="8"/>
      <c r="B110" s="1102"/>
      <c r="C110" s="1347"/>
      <c r="D110" s="1347"/>
      <c r="E110" s="1347"/>
      <c r="F110" s="1347"/>
      <c r="G110" s="1347"/>
      <c r="H110" s="1347"/>
      <c r="I110" s="1347"/>
      <c r="J110" s="1347"/>
      <c r="K110" s="1347"/>
      <c r="L110" s="1347"/>
      <c r="M110" s="1347"/>
      <c r="N110" s="1104"/>
      <c r="O110" s="8"/>
      <c r="P110" s="1351" t="s">
        <v>1464</v>
      </c>
      <c r="Q110" s="1263"/>
      <c r="R110" s="1263"/>
      <c r="S110" s="1263"/>
      <c r="T110" s="1263"/>
      <c r="U110" s="1263"/>
      <c r="V110" s="1263"/>
      <c r="W110" s="1263"/>
      <c r="X110" s="1263"/>
      <c r="Y110" s="1263"/>
      <c r="Z110" s="1263"/>
      <c r="AA110" s="1263"/>
      <c r="AB110" s="1263"/>
      <c r="AC110" s="8"/>
      <c r="AD110" s="36"/>
      <c r="AE110" s="36"/>
      <c r="AF110" s="36"/>
      <c r="AG110" s="36"/>
      <c r="AH110" s="36"/>
      <c r="AI110" s="36"/>
      <c r="AJ110" s="36"/>
      <c r="AK110" s="36"/>
      <c r="AL110" s="31"/>
      <c r="AM110" s="31"/>
      <c r="AN110" s="31"/>
      <c r="AO110" s="31"/>
    </row>
    <row r="111" spans="1:51" s="4" customFormat="1" ht="12.75" customHeight="1" thickBot="1" x14ac:dyDescent="0.25">
      <c r="A111" s="8"/>
      <c r="B111" s="1102"/>
      <c r="C111" s="1347"/>
      <c r="D111" s="1347"/>
      <c r="E111" s="1347"/>
      <c r="F111" s="1347"/>
      <c r="G111" s="1347"/>
      <c r="H111" s="1347"/>
      <c r="I111" s="1347"/>
      <c r="J111" s="1347"/>
      <c r="K111" s="1347"/>
      <c r="L111" s="1347"/>
      <c r="M111" s="1347"/>
      <c r="N111" s="1104"/>
      <c r="O111" s="8"/>
      <c r="P111" s="1263"/>
      <c r="Q111" s="1263"/>
      <c r="R111" s="1263"/>
      <c r="S111" s="1263"/>
      <c r="T111" s="1263"/>
      <c r="U111" s="1263"/>
      <c r="V111" s="1263"/>
      <c r="W111" s="1263"/>
      <c r="X111" s="1263"/>
      <c r="Y111" s="1263"/>
      <c r="Z111" s="1263"/>
      <c r="AA111" s="1263"/>
      <c r="AB111" s="1263"/>
      <c r="AC111" s="8"/>
      <c r="AD111" s="36"/>
      <c r="AE111" s="36"/>
      <c r="AF111" s="36"/>
      <c r="AG111" s="36"/>
      <c r="AH111" s="36"/>
      <c r="AI111" s="36"/>
      <c r="AJ111" s="36"/>
      <c r="AK111" s="36"/>
      <c r="AL111" s="31"/>
      <c r="AM111" s="31"/>
      <c r="AN111" s="31"/>
      <c r="AO111" s="31"/>
    </row>
    <row r="112" spans="1:51" s="4" customFormat="1" ht="12.75" customHeight="1" x14ac:dyDescent="0.2">
      <c r="A112" s="8"/>
      <c r="B112" s="1102"/>
      <c r="C112" s="1347"/>
      <c r="D112" s="1347"/>
      <c r="E112" s="1347"/>
      <c r="F112" s="1347"/>
      <c r="G112" s="1347"/>
      <c r="H112" s="1347"/>
      <c r="I112" s="1347"/>
      <c r="J112" s="1347"/>
      <c r="K112" s="1347"/>
      <c r="L112" s="1347"/>
      <c r="M112" s="1347"/>
      <c r="N112" s="1104"/>
      <c r="O112" s="8"/>
      <c r="P112" s="1287" t="s">
        <v>1465</v>
      </c>
      <c r="Q112" s="1288"/>
      <c r="R112" s="1288"/>
      <c r="S112" s="1288"/>
      <c r="T112" s="1288"/>
      <c r="U112" s="1288"/>
      <c r="V112" s="1288"/>
      <c r="W112" s="1288"/>
      <c r="X112" s="1288"/>
      <c r="Y112" s="1288"/>
      <c r="Z112" s="1288"/>
      <c r="AA112" s="1288"/>
      <c r="AB112" s="1289"/>
      <c r="AC112" s="8"/>
      <c r="AD112" s="36"/>
      <c r="AE112" s="36"/>
      <c r="AF112" s="36"/>
      <c r="AG112" s="36"/>
      <c r="AH112" s="36"/>
      <c r="AI112" s="36"/>
      <c r="AJ112" s="36"/>
      <c r="AK112" s="36"/>
      <c r="AL112" s="31"/>
      <c r="AM112" s="31"/>
      <c r="AN112" s="31"/>
      <c r="AO112" s="31"/>
    </row>
    <row r="113" spans="1:44" s="4" customFormat="1" ht="12.75" customHeight="1" x14ac:dyDescent="0.2">
      <c r="A113" s="8"/>
      <c r="B113" s="1102"/>
      <c r="C113" s="1347"/>
      <c r="D113" s="1347"/>
      <c r="E113" s="1347"/>
      <c r="F113" s="1347"/>
      <c r="G113" s="1347"/>
      <c r="H113" s="1347"/>
      <c r="I113" s="1347"/>
      <c r="J113" s="1347"/>
      <c r="K113" s="1347"/>
      <c r="L113" s="1347"/>
      <c r="M113" s="1347"/>
      <c r="N113" s="1104"/>
      <c r="O113" s="8"/>
      <c r="P113" s="1132"/>
      <c r="Q113" s="1130"/>
      <c r="R113" s="1130"/>
      <c r="S113" s="1130"/>
      <c r="T113" s="1130"/>
      <c r="U113" s="1130"/>
      <c r="V113" s="1130"/>
      <c r="W113" s="1130"/>
      <c r="X113" s="1130"/>
      <c r="Y113" s="1130"/>
      <c r="Z113" s="1130"/>
      <c r="AA113" s="1130"/>
      <c r="AB113" s="1131"/>
      <c r="AC113" s="8"/>
      <c r="AD113" s="36"/>
      <c r="AE113" s="36"/>
      <c r="AF113" s="36"/>
      <c r="AG113" s="36"/>
      <c r="AH113" s="36"/>
      <c r="AI113" s="36"/>
      <c r="AJ113" s="36"/>
      <c r="AK113" s="36"/>
      <c r="AL113" s="31"/>
      <c r="AM113" s="31"/>
      <c r="AN113" s="31"/>
      <c r="AO113" s="31"/>
    </row>
    <row r="114" spans="1:44" s="4" customFormat="1" ht="18.75" customHeight="1" x14ac:dyDescent="0.2">
      <c r="A114" s="8"/>
      <c r="B114" s="1102"/>
      <c r="C114" s="1347"/>
      <c r="D114" s="1347"/>
      <c r="E114" s="1347"/>
      <c r="F114" s="1347"/>
      <c r="G114" s="1347"/>
      <c r="H114" s="1347"/>
      <c r="I114" s="1347"/>
      <c r="J114" s="1347"/>
      <c r="K114" s="1347"/>
      <c r="L114" s="1347"/>
      <c r="M114" s="1347"/>
      <c r="N114" s="1104"/>
      <c r="O114" s="8"/>
      <c r="P114" s="1132"/>
      <c r="Q114" s="1130"/>
      <c r="R114" s="1130"/>
      <c r="S114" s="1130"/>
      <c r="T114" s="1130"/>
      <c r="U114" s="1130"/>
      <c r="V114" s="1130"/>
      <c r="W114" s="1130"/>
      <c r="X114" s="1130"/>
      <c r="Y114" s="1130"/>
      <c r="Z114" s="1130"/>
      <c r="AA114" s="1130"/>
      <c r="AB114" s="1131"/>
      <c r="AC114" s="8"/>
      <c r="AD114" s="36"/>
      <c r="AE114" s="36"/>
      <c r="AF114" s="36"/>
      <c r="AG114" s="36"/>
      <c r="AH114" s="36"/>
      <c r="AI114" s="36"/>
      <c r="AJ114" s="36"/>
      <c r="AK114" s="36"/>
      <c r="AL114" s="31"/>
      <c r="AM114" s="31"/>
      <c r="AN114" s="31"/>
      <c r="AO114" s="31"/>
    </row>
    <row r="115" spans="1:44" s="4" customFormat="1" ht="12.75" customHeight="1" x14ac:dyDescent="0.2">
      <c r="A115" s="8"/>
      <c r="B115" s="1102"/>
      <c r="C115" s="1347"/>
      <c r="D115" s="1347"/>
      <c r="E115" s="1347"/>
      <c r="F115" s="1347"/>
      <c r="G115" s="1347"/>
      <c r="H115" s="1347"/>
      <c r="I115" s="1347"/>
      <c r="J115" s="1347"/>
      <c r="K115" s="1347"/>
      <c r="L115" s="1347"/>
      <c r="M115" s="1347"/>
      <c r="N115" s="1104"/>
      <c r="O115" s="8"/>
      <c r="P115" s="1132"/>
      <c r="Q115" s="1130"/>
      <c r="R115" s="1130"/>
      <c r="S115" s="1130"/>
      <c r="T115" s="1130"/>
      <c r="U115" s="1130"/>
      <c r="V115" s="1130"/>
      <c r="W115" s="1130"/>
      <c r="X115" s="1130"/>
      <c r="Y115" s="1130"/>
      <c r="Z115" s="1130"/>
      <c r="AA115" s="1130"/>
      <c r="AB115" s="1131"/>
      <c r="AC115" s="8"/>
      <c r="AD115" s="36"/>
      <c r="AE115" s="26"/>
      <c r="AF115" s="26"/>
      <c r="AG115" s="26"/>
      <c r="AH115" s="26"/>
      <c r="AI115" s="26"/>
      <c r="AJ115" s="26"/>
      <c r="AK115" s="22"/>
      <c r="AL115" s="22"/>
      <c r="AM115" s="22"/>
      <c r="AN115" s="22"/>
      <c r="AO115" s="22"/>
      <c r="AP115" s="22"/>
      <c r="AQ115" s="22"/>
    </row>
    <row r="116" spans="1:44" s="4" customFormat="1" ht="12.75" customHeight="1" x14ac:dyDescent="0.2">
      <c r="A116" s="8"/>
      <c r="B116" s="1102"/>
      <c r="C116" s="1347"/>
      <c r="D116" s="1347"/>
      <c r="E116" s="1347"/>
      <c r="F116" s="1347"/>
      <c r="G116" s="1347"/>
      <c r="H116" s="1347"/>
      <c r="I116" s="1347"/>
      <c r="J116" s="1347"/>
      <c r="K116" s="1347"/>
      <c r="L116" s="1347"/>
      <c r="M116" s="1347"/>
      <c r="N116" s="1104"/>
      <c r="O116" s="8"/>
      <c r="P116" s="1126" t="s">
        <v>1466</v>
      </c>
      <c r="Q116" s="1127"/>
      <c r="R116" s="1127"/>
      <c r="S116" s="1127"/>
      <c r="T116" s="1127"/>
      <c r="U116" s="1127"/>
      <c r="V116" s="1127"/>
      <c r="W116" s="1127"/>
      <c r="X116" s="1127"/>
      <c r="Y116" s="1127"/>
      <c r="Z116" s="1127"/>
      <c r="AA116" s="1127"/>
      <c r="AB116" s="1128"/>
      <c r="AC116" s="8"/>
      <c r="AD116" s="36"/>
      <c r="AE116" s="8"/>
      <c r="AF116" s="8"/>
      <c r="AG116" s="8"/>
      <c r="AH116" s="8"/>
      <c r="AI116" s="8"/>
      <c r="AJ116" s="8"/>
    </row>
    <row r="117" spans="1:44" s="4" customFormat="1" ht="12.75" customHeight="1" x14ac:dyDescent="0.2">
      <c r="A117" s="8"/>
      <c r="B117" s="1102"/>
      <c r="C117" s="1347"/>
      <c r="D117" s="1347"/>
      <c r="E117" s="1347"/>
      <c r="F117" s="1347"/>
      <c r="G117" s="1347"/>
      <c r="H117" s="1347"/>
      <c r="I117" s="1347"/>
      <c r="J117" s="1347"/>
      <c r="K117" s="1347"/>
      <c r="L117" s="1347"/>
      <c r="M117" s="1347"/>
      <c r="N117" s="1104"/>
      <c r="O117" s="8"/>
      <c r="P117" s="1126"/>
      <c r="Q117" s="1127"/>
      <c r="R117" s="1127"/>
      <c r="S117" s="1127"/>
      <c r="T117" s="1127"/>
      <c r="U117" s="1127"/>
      <c r="V117" s="1127"/>
      <c r="W117" s="1127"/>
      <c r="X117" s="1127"/>
      <c r="Y117" s="1127"/>
      <c r="Z117" s="1127"/>
      <c r="AA117" s="1127"/>
      <c r="AB117" s="1128"/>
      <c r="AC117" s="8"/>
      <c r="AD117" s="36"/>
      <c r="AE117" s="19"/>
      <c r="AF117" s="19"/>
      <c r="AG117" s="19"/>
      <c r="AH117" s="19"/>
      <c r="AI117" s="19"/>
      <c r="AJ117" s="19"/>
      <c r="AK117" s="7"/>
      <c r="AL117" s="7"/>
      <c r="AM117" s="7"/>
      <c r="AN117" s="7"/>
      <c r="AO117" s="7"/>
      <c r="AP117" s="7"/>
    </row>
    <row r="118" spans="1:44" s="4" customFormat="1" ht="12.75" customHeight="1" x14ac:dyDescent="0.2">
      <c r="A118" s="8"/>
      <c r="B118" s="1102"/>
      <c r="C118" s="1347"/>
      <c r="D118" s="1347"/>
      <c r="E118" s="1347"/>
      <c r="F118" s="1347"/>
      <c r="G118" s="1347"/>
      <c r="H118" s="1347"/>
      <c r="I118" s="1347"/>
      <c r="J118" s="1347"/>
      <c r="K118" s="1347"/>
      <c r="L118" s="1347"/>
      <c r="M118" s="1347"/>
      <c r="N118" s="1104"/>
      <c r="O118" s="8"/>
      <c r="P118" s="1126"/>
      <c r="Q118" s="1127"/>
      <c r="R118" s="1127"/>
      <c r="S118" s="1127"/>
      <c r="T118" s="1127"/>
      <c r="U118" s="1127"/>
      <c r="V118" s="1127"/>
      <c r="W118" s="1127"/>
      <c r="X118" s="1127"/>
      <c r="Y118" s="1127"/>
      <c r="Z118" s="1127"/>
      <c r="AA118" s="1127"/>
      <c r="AB118" s="1128"/>
      <c r="AC118" s="8"/>
      <c r="AD118" s="36"/>
      <c r="AE118" s="19"/>
      <c r="AF118" s="19"/>
      <c r="AG118" s="19"/>
      <c r="AH118" s="19"/>
      <c r="AI118" s="19"/>
      <c r="AJ118" s="19"/>
      <c r="AK118" s="7"/>
      <c r="AL118" s="7"/>
      <c r="AM118" s="7"/>
      <c r="AN118" s="7"/>
      <c r="AO118" s="7"/>
      <c r="AP118" s="7"/>
    </row>
    <row r="119" spans="1:44" s="4" customFormat="1" ht="13.5" customHeight="1" x14ac:dyDescent="0.2">
      <c r="A119" s="8"/>
      <c r="B119" s="1102"/>
      <c r="C119" s="1347"/>
      <c r="D119" s="1347"/>
      <c r="E119" s="1347"/>
      <c r="F119" s="1347"/>
      <c r="G119" s="1347"/>
      <c r="H119" s="1347"/>
      <c r="I119" s="1347"/>
      <c r="J119" s="1347"/>
      <c r="K119" s="1347"/>
      <c r="L119" s="1347"/>
      <c r="M119" s="1347"/>
      <c r="N119" s="1104"/>
      <c r="O119" s="8"/>
      <c r="P119" s="41"/>
      <c r="Q119" s="73"/>
      <c r="R119" s="73"/>
      <c r="S119" s="73"/>
      <c r="T119" s="73"/>
      <c r="U119" s="73"/>
      <c r="V119" s="73"/>
      <c r="W119" s="73"/>
      <c r="X119" s="73"/>
      <c r="Y119" s="73"/>
      <c r="Z119" s="73"/>
      <c r="AA119" s="73"/>
      <c r="AB119" s="42"/>
      <c r="AC119" s="8"/>
      <c r="AD119" s="36"/>
      <c r="AE119" s="19"/>
      <c r="AF119" s="19"/>
      <c r="AG119" s="19"/>
      <c r="AH119" s="19"/>
      <c r="AI119" s="19"/>
      <c r="AJ119" s="19"/>
      <c r="AK119" s="7"/>
      <c r="AL119" s="7"/>
      <c r="AM119" s="7"/>
      <c r="AN119" s="7"/>
      <c r="AO119" s="7"/>
      <c r="AP119" s="7"/>
    </row>
    <row r="120" spans="1:44" s="4" customFormat="1" ht="12.75" customHeight="1" x14ac:dyDescent="0.2">
      <c r="A120" s="8"/>
      <c r="B120" s="1102"/>
      <c r="C120" s="1347"/>
      <c r="D120" s="1347"/>
      <c r="E120" s="1347"/>
      <c r="F120" s="1347"/>
      <c r="G120" s="1347"/>
      <c r="H120" s="1347"/>
      <c r="I120" s="1347"/>
      <c r="J120" s="1347"/>
      <c r="K120" s="1347"/>
      <c r="L120" s="1347"/>
      <c r="M120" s="1347"/>
      <c r="N120" s="1104"/>
      <c r="O120" s="8"/>
      <c r="P120" s="1129" t="s">
        <v>1467</v>
      </c>
      <c r="Q120" s="1130"/>
      <c r="R120" s="1130"/>
      <c r="S120" s="1130"/>
      <c r="T120" s="1130"/>
      <c r="U120" s="1130"/>
      <c r="V120" s="1130"/>
      <c r="W120" s="1130"/>
      <c r="X120" s="1130"/>
      <c r="Y120" s="1130"/>
      <c r="Z120" s="1130"/>
      <c r="AA120" s="1130"/>
      <c r="AB120" s="1131"/>
      <c r="AC120" s="8"/>
      <c r="AD120" s="36"/>
      <c r="AE120" s="19"/>
      <c r="AF120" s="19"/>
      <c r="AG120" s="19"/>
      <c r="AH120" s="19"/>
      <c r="AI120" s="19"/>
      <c r="AJ120" s="19"/>
      <c r="AK120" s="7"/>
      <c r="AL120" s="7"/>
      <c r="AM120" s="7"/>
      <c r="AN120" s="7"/>
      <c r="AO120" s="7"/>
      <c r="AP120" s="7"/>
      <c r="AR120" s="24"/>
    </row>
    <row r="121" spans="1:44" s="4" customFormat="1" ht="13.5" thickBot="1" x14ac:dyDescent="0.25">
      <c r="A121" s="8"/>
      <c r="B121" s="1348"/>
      <c r="C121" s="1349"/>
      <c r="D121" s="1349"/>
      <c r="E121" s="1349"/>
      <c r="F121" s="1349"/>
      <c r="G121" s="1349"/>
      <c r="H121" s="1349"/>
      <c r="I121" s="1349"/>
      <c r="J121" s="1349"/>
      <c r="K121" s="1349"/>
      <c r="L121" s="1349"/>
      <c r="M121" s="1349"/>
      <c r="N121" s="1350"/>
      <c r="O121" s="8"/>
      <c r="P121" s="1132"/>
      <c r="Q121" s="1130"/>
      <c r="R121" s="1130"/>
      <c r="S121" s="1130"/>
      <c r="T121" s="1130"/>
      <c r="U121" s="1130"/>
      <c r="V121" s="1130"/>
      <c r="W121" s="1130"/>
      <c r="X121" s="1130"/>
      <c r="Y121" s="1130"/>
      <c r="Z121" s="1130"/>
      <c r="AA121" s="1130"/>
      <c r="AB121" s="1131"/>
      <c r="AC121" s="8"/>
      <c r="AD121" s="36"/>
      <c r="AE121" s="19"/>
      <c r="AF121" s="19"/>
      <c r="AG121" s="19"/>
      <c r="AH121" s="19"/>
      <c r="AI121" s="19"/>
      <c r="AJ121" s="19"/>
      <c r="AK121" s="7"/>
      <c r="AL121" s="7"/>
      <c r="AM121" s="7"/>
      <c r="AN121" s="7"/>
      <c r="AO121" s="7"/>
      <c r="AP121" s="7"/>
      <c r="AR121" s="24"/>
    </row>
    <row r="122" spans="1:44" s="4" customFormat="1" x14ac:dyDescent="0.2">
      <c r="A122" s="10"/>
      <c r="B122" s="1341"/>
      <c r="C122" s="1342"/>
      <c r="D122" s="1342"/>
      <c r="E122" s="1342"/>
      <c r="F122" s="1342"/>
      <c r="G122" s="1342"/>
      <c r="H122" s="1342"/>
      <c r="I122" s="1342"/>
      <c r="J122" s="1342"/>
      <c r="K122" s="1342"/>
      <c r="L122" s="1342"/>
      <c r="M122" s="1342"/>
      <c r="N122" s="1343"/>
      <c r="O122" s="8"/>
      <c r="P122" s="1132"/>
      <c r="Q122" s="1130"/>
      <c r="R122" s="1130"/>
      <c r="S122" s="1130"/>
      <c r="T122" s="1130"/>
      <c r="U122" s="1130"/>
      <c r="V122" s="1130"/>
      <c r="W122" s="1130"/>
      <c r="X122" s="1130"/>
      <c r="Y122" s="1130"/>
      <c r="Z122" s="1130"/>
      <c r="AA122" s="1130"/>
      <c r="AB122" s="1131"/>
      <c r="AC122" s="8"/>
      <c r="AD122" s="36"/>
      <c r="AE122" s="19"/>
      <c r="AF122" s="19"/>
      <c r="AG122" s="19"/>
      <c r="AH122" s="19"/>
      <c r="AI122" s="19"/>
      <c r="AJ122" s="19"/>
      <c r="AK122" s="7"/>
      <c r="AL122" s="7"/>
      <c r="AM122" s="7"/>
      <c r="AN122" s="7"/>
      <c r="AO122" s="7"/>
      <c r="AP122" s="7"/>
      <c r="AR122" s="25"/>
    </row>
    <row r="123" spans="1:44" s="4" customFormat="1" ht="12.75" customHeight="1" x14ac:dyDescent="0.2">
      <c r="A123" s="10"/>
      <c r="B123" s="1330"/>
      <c r="C123" s="1111"/>
      <c r="D123" s="1111"/>
      <c r="E123" s="1111"/>
      <c r="F123" s="1111"/>
      <c r="G123" s="1111"/>
      <c r="H123" s="1111"/>
      <c r="I123" s="1111"/>
      <c r="J123" s="1111"/>
      <c r="K123" s="1111"/>
      <c r="L123" s="1111"/>
      <c r="M123" s="1111"/>
      <c r="N123" s="1141"/>
      <c r="O123" s="8"/>
      <c r="P123" s="1132"/>
      <c r="Q123" s="1130"/>
      <c r="R123" s="1130"/>
      <c r="S123" s="1130"/>
      <c r="T123" s="1130"/>
      <c r="U123" s="1130"/>
      <c r="V123" s="1130"/>
      <c r="W123" s="1130"/>
      <c r="X123" s="1130"/>
      <c r="Y123" s="1130"/>
      <c r="Z123" s="1130"/>
      <c r="AA123" s="1130"/>
      <c r="AB123" s="1131"/>
      <c r="AC123" s="8"/>
      <c r="AD123" s="36"/>
      <c r="AE123" s="19"/>
      <c r="AF123" s="19"/>
      <c r="AG123" s="19"/>
      <c r="AH123" s="19"/>
      <c r="AI123" s="19"/>
      <c r="AJ123" s="19"/>
      <c r="AK123" s="7"/>
      <c r="AL123" s="7"/>
      <c r="AM123" s="7"/>
      <c r="AN123" s="7"/>
      <c r="AO123" s="7"/>
      <c r="AP123" s="7"/>
      <c r="AR123" s="25"/>
    </row>
    <row r="124" spans="1:44" s="4" customFormat="1" ht="13.5" thickBot="1" x14ac:dyDescent="0.25">
      <c r="A124" s="10"/>
      <c r="B124" s="1330"/>
      <c r="C124" s="1111"/>
      <c r="D124" s="1111"/>
      <c r="E124" s="1111"/>
      <c r="F124" s="1111"/>
      <c r="G124" s="1111"/>
      <c r="H124" s="1111"/>
      <c r="I124" s="1111"/>
      <c r="J124" s="1111"/>
      <c r="K124" s="1111"/>
      <c r="L124" s="1111"/>
      <c r="M124" s="1111"/>
      <c r="N124" s="1141"/>
      <c r="O124" s="8"/>
      <c r="P124" s="1133"/>
      <c r="Q124" s="1134"/>
      <c r="R124" s="1134"/>
      <c r="S124" s="1134"/>
      <c r="T124" s="1134"/>
      <c r="U124" s="1134"/>
      <c r="V124" s="1134"/>
      <c r="W124" s="1134"/>
      <c r="X124" s="1134"/>
      <c r="Y124" s="1134"/>
      <c r="Z124" s="1134"/>
      <c r="AA124" s="1134"/>
      <c r="AB124" s="1135"/>
      <c r="AC124" s="8"/>
      <c r="AD124" s="36"/>
      <c r="AE124" s="19"/>
      <c r="AF124" s="19"/>
      <c r="AG124" s="19"/>
      <c r="AH124" s="19"/>
      <c r="AI124" s="19"/>
      <c r="AJ124" s="19"/>
      <c r="AK124" s="7"/>
      <c r="AL124" s="7"/>
      <c r="AM124" s="7"/>
      <c r="AN124" s="7"/>
      <c r="AO124" s="7"/>
      <c r="AP124" s="7"/>
      <c r="AR124" s="25"/>
    </row>
    <row r="125" spans="1:44" s="4" customFormat="1" x14ac:dyDescent="0.2">
      <c r="A125" s="10"/>
      <c r="B125" s="1330"/>
      <c r="C125" s="1111"/>
      <c r="D125" s="1111"/>
      <c r="E125" s="1111"/>
      <c r="F125" s="1111"/>
      <c r="G125" s="1111"/>
      <c r="H125" s="1111"/>
      <c r="I125" s="1111"/>
      <c r="J125" s="1111"/>
      <c r="K125" s="1111"/>
      <c r="L125" s="1111"/>
      <c r="M125" s="1111"/>
      <c r="N125" s="1141"/>
      <c r="O125" s="8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8"/>
      <c r="AD125" s="36"/>
      <c r="AE125" s="19"/>
      <c r="AF125" s="19"/>
      <c r="AG125" s="19"/>
      <c r="AH125" s="19"/>
      <c r="AI125" s="19"/>
      <c r="AJ125" s="19"/>
      <c r="AK125" s="7"/>
      <c r="AL125" s="7"/>
      <c r="AM125" s="7"/>
      <c r="AN125" s="7"/>
      <c r="AO125" s="7"/>
      <c r="AP125" s="7"/>
      <c r="AR125" s="22"/>
    </row>
    <row r="126" spans="1:44" s="4" customFormat="1" x14ac:dyDescent="0.2">
      <c r="A126" s="10"/>
      <c r="B126" s="1330"/>
      <c r="C126" s="1111"/>
      <c r="D126" s="1111"/>
      <c r="E126" s="1111"/>
      <c r="F126" s="1111"/>
      <c r="G126" s="1111"/>
      <c r="H126" s="1111"/>
      <c r="I126" s="1111"/>
      <c r="J126" s="1111"/>
      <c r="K126" s="1111"/>
      <c r="L126" s="1111"/>
      <c r="M126" s="1111"/>
      <c r="N126" s="1141"/>
      <c r="O126" s="8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8"/>
      <c r="AD126" s="36"/>
      <c r="AE126" s="19"/>
      <c r="AF126" s="19"/>
      <c r="AG126" s="19"/>
      <c r="AH126" s="19"/>
      <c r="AI126" s="19"/>
      <c r="AJ126" s="19"/>
      <c r="AK126" s="7"/>
      <c r="AL126" s="7"/>
      <c r="AM126" s="7"/>
      <c r="AN126" s="7"/>
      <c r="AO126" s="7"/>
      <c r="AP126" s="7"/>
      <c r="AR126" s="28"/>
    </row>
    <row r="127" spans="1:44" s="4" customFormat="1" ht="12.75" customHeight="1" x14ac:dyDescent="0.2">
      <c r="A127" s="10"/>
      <c r="B127" s="1330"/>
      <c r="C127" s="1111"/>
      <c r="D127" s="1111"/>
      <c r="E127" s="1111"/>
      <c r="F127" s="1111"/>
      <c r="G127" s="1111"/>
      <c r="H127" s="1111"/>
      <c r="I127" s="1111"/>
      <c r="J127" s="1111"/>
      <c r="K127" s="1111"/>
      <c r="L127" s="1111"/>
      <c r="M127" s="1111"/>
      <c r="N127" s="1141"/>
      <c r="O127" s="8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8"/>
      <c r="AD127" s="8"/>
      <c r="AE127" s="19"/>
      <c r="AF127" s="19"/>
      <c r="AG127" s="19"/>
      <c r="AH127" s="19"/>
      <c r="AI127" s="19"/>
      <c r="AJ127" s="19"/>
      <c r="AK127" s="7"/>
      <c r="AL127" s="7"/>
      <c r="AM127" s="7"/>
      <c r="AN127" s="7"/>
      <c r="AO127" s="7"/>
      <c r="AP127" s="7"/>
      <c r="AR127" s="28"/>
    </row>
    <row r="128" spans="1:44" s="4" customFormat="1" ht="12.75" customHeight="1" x14ac:dyDescent="0.2">
      <c r="A128" s="10"/>
      <c r="B128" s="1330"/>
      <c r="C128" s="1111"/>
      <c r="D128" s="1111"/>
      <c r="E128" s="1111"/>
      <c r="F128" s="1111"/>
      <c r="G128" s="1111"/>
      <c r="H128" s="1111"/>
      <c r="I128" s="1111"/>
      <c r="J128" s="1111"/>
      <c r="K128" s="1111"/>
      <c r="L128" s="1111"/>
      <c r="M128" s="1111"/>
      <c r="N128" s="1141"/>
      <c r="O128" s="8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8"/>
      <c r="AD128" s="8"/>
      <c r="AE128" s="19"/>
      <c r="AF128" s="19"/>
      <c r="AG128" s="19"/>
      <c r="AH128" s="19"/>
      <c r="AI128" s="19"/>
      <c r="AJ128" s="19"/>
      <c r="AK128" s="7"/>
      <c r="AL128" s="7"/>
      <c r="AM128" s="7"/>
      <c r="AN128" s="7"/>
      <c r="AO128" s="7"/>
      <c r="AP128" s="7"/>
      <c r="AR128" s="39"/>
    </row>
    <row r="129" spans="1:44" s="4" customFormat="1" ht="12.75" customHeight="1" x14ac:dyDescent="0.2">
      <c r="A129" s="10"/>
      <c r="B129" s="1330"/>
      <c r="C129" s="1111"/>
      <c r="D129" s="1111"/>
      <c r="E129" s="1111"/>
      <c r="F129" s="1111"/>
      <c r="G129" s="1111"/>
      <c r="H129" s="1111"/>
      <c r="I129" s="1111"/>
      <c r="J129" s="1111"/>
      <c r="K129" s="1111"/>
      <c r="L129" s="1111"/>
      <c r="M129" s="1111"/>
      <c r="N129" s="1141"/>
      <c r="O129" s="8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8"/>
      <c r="AD129" s="34"/>
      <c r="AE129" s="19"/>
      <c r="AF129" s="19"/>
      <c r="AG129" s="19"/>
      <c r="AH129" s="19"/>
      <c r="AI129" s="19"/>
      <c r="AJ129" s="19"/>
      <c r="AK129" s="7"/>
      <c r="AL129" s="7"/>
      <c r="AM129" s="7"/>
      <c r="AN129" s="7"/>
      <c r="AO129" s="7"/>
      <c r="AP129" s="7"/>
      <c r="AR129" s="39"/>
    </row>
    <row r="130" spans="1:44" s="4" customFormat="1" ht="12.75" customHeight="1" x14ac:dyDescent="0.2">
      <c r="A130" s="10"/>
      <c r="B130" s="1330"/>
      <c r="C130" s="1111"/>
      <c r="D130" s="1111"/>
      <c r="E130" s="1111"/>
      <c r="F130" s="1111"/>
      <c r="G130" s="1111"/>
      <c r="H130" s="1111"/>
      <c r="I130" s="1111"/>
      <c r="J130" s="1111"/>
      <c r="K130" s="1111"/>
      <c r="L130" s="1111"/>
      <c r="M130" s="1111"/>
      <c r="N130" s="1141"/>
      <c r="O130" s="8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8"/>
      <c r="AD130" s="37"/>
      <c r="AE130" s="19"/>
      <c r="AF130" s="19"/>
      <c r="AG130" s="19"/>
      <c r="AH130" s="19"/>
      <c r="AI130" s="19"/>
      <c r="AJ130" s="19"/>
      <c r="AK130" s="7"/>
      <c r="AL130" s="7"/>
      <c r="AM130" s="7"/>
      <c r="AN130" s="7"/>
      <c r="AO130" s="7"/>
      <c r="AP130" s="7"/>
      <c r="AR130" s="39"/>
    </row>
    <row r="131" spans="1:44" s="4" customFormat="1" ht="12.75" customHeight="1" x14ac:dyDescent="0.2">
      <c r="A131" s="10"/>
      <c r="B131" s="1330"/>
      <c r="C131" s="1111"/>
      <c r="D131" s="1111"/>
      <c r="E131" s="1111"/>
      <c r="F131" s="1111"/>
      <c r="G131" s="1111"/>
      <c r="H131" s="1111"/>
      <c r="I131" s="1111"/>
      <c r="J131" s="1111"/>
      <c r="K131" s="1111"/>
      <c r="L131" s="1111"/>
      <c r="M131" s="1111"/>
      <c r="N131" s="1141"/>
      <c r="O131" s="8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8"/>
      <c r="AD131" s="38"/>
      <c r="AE131" s="19"/>
      <c r="AF131" s="19"/>
      <c r="AG131" s="19"/>
      <c r="AH131" s="19"/>
      <c r="AI131" s="19"/>
      <c r="AJ131" s="19"/>
      <c r="AK131" s="7"/>
      <c r="AL131" s="7"/>
      <c r="AM131" s="7"/>
      <c r="AN131" s="7"/>
      <c r="AO131" s="7"/>
      <c r="AP131" s="7"/>
      <c r="AR131" s="39"/>
    </row>
    <row r="132" spans="1:44" s="4" customFormat="1" ht="12.75" customHeight="1" x14ac:dyDescent="0.2">
      <c r="A132" s="10"/>
      <c r="B132" s="1330"/>
      <c r="C132" s="1111"/>
      <c r="D132" s="1111"/>
      <c r="E132" s="1111"/>
      <c r="F132" s="1111"/>
      <c r="G132" s="1111"/>
      <c r="H132" s="1111"/>
      <c r="I132" s="1111"/>
      <c r="J132" s="1111"/>
      <c r="K132" s="1111"/>
      <c r="L132" s="1111"/>
      <c r="M132" s="1111"/>
      <c r="N132" s="1141"/>
      <c r="O132" s="8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8"/>
      <c r="AD132" s="38"/>
      <c r="AE132" s="19"/>
      <c r="AF132" s="19"/>
      <c r="AG132" s="19"/>
      <c r="AH132" s="19"/>
      <c r="AI132" s="19"/>
      <c r="AJ132" s="19"/>
      <c r="AK132" s="7"/>
      <c r="AL132" s="7"/>
      <c r="AM132" s="7"/>
      <c r="AN132" s="7"/>
      <c r="AO132" s="7"/>
      <c r="AP132" s="7"/>
      <c r="AR132" s="39"/>
    </row>
    <row r="133" spans="1:44" s="4" customFormat="1" ht="12.75" customHeight="1" x14ac:dyDescent="0.2">
      <c r="A133" s="10"/>
      <c r="B133" s="1330"/>
      <c r="C133" s="1111"/>
      <c r="D133" s="1111"/>
      <c r="E133" s="1111"/>
      <c r="F133" s="1111"/>
      <c r="G133" s="1111"/>
      <c r="H133" s="1111"/>
      <c r="I133" s="1111"/>
      <c r="J133" s="1111"/>
      <c r="K133" s="1111"/>
      <c r="L133" s="1111"/>
      <c r="M133" s="1111"/>
      <c r="N133" s="1141"/>
      <c r="O133" s="8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8"/>
      <c r="AD133" s="27"/>
      <c r="AE133" s="19"/>
      <c r="AF133" s="19"/>
      <c r="AG133" s="19"/>
      <c r="AH133" s="19"/>
      <c r="AI133" s="19"/>
      <c r="AJ133" s="19"/>
      <c r="AK133" s="7"/>
      <c r="AL133" s="7"/>
      <c r="AM133" s="7"/>
      <c r="AN133" s="7"/>
      <c r="AO133" s="7"/>
      <c r="AP133" s="7"/>
      <c r="AR133" s="39"/>
    </row>
    <row r="134" spans="1:44" s="4" customFormat="1" ht="12.75" customHeight="1" x14ac:dyDescent="0.2">
      <c r="A134" s="10"/>
      <c r="B134" s="1330"/>
      <c r="C134" s="1111"/>
      <c r="D134" s="1111"/>
      <c r="E134" s="1111"/>
      <c r="F134" s="1111"/>
      <c r="G134" s="1111"/>
      <c r="H134" s="1111"/>
      <c r="I134" s="1111"/>
      <c r="J134" s="1111"/>
      <c r="K134" s="1111"/>
      <c r="L134" s="1111"/>
      <c r="M134" s="1111"/>
      <c r="N134" s="1141"/>
      <c r="O134" s="8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8"/>
      <c r="AD134" s="27"/>
      <c r="AE134" s="19"/>
      <c r="AF134" s="19"/>
      <c r="AG134" s="19"/>
      <c r="AH134" s="19"/>
      <c r="AI134" s="19"/>
      <c r="AJ134" s="19"/>
      <c r="AK134" s="7"/>
      <c r="AL134" s="7"/>
      <c r="AM134" s="7"/>
      <c r="AN134" s="7"/>
      <c r="AO134" s="7"/>
      <c r="AP134" s="7"/>
      <c r="AR134" s="39"/>
    </row>
    <row r="135" spans="1:44" s="4" customFormat="1" ht="12.75" customHeight="1" x14ac:dyDescent="0.2">
      <c r="A135" s="10"/>
      <c r="B135" s="1330"/>
      <c r="C135" s="1111"/>
      <c r="D135" s="1111"/>
      <c r="E135" s="1111"/>
      <c r="F135" s="1111"/>
      <c r="G135" s="1111"/>
      <c r="H135" s="1111"/>
      <c r="I135" s="1111"/>
      <c r="J135" s="1111"/>
      <c r="K135" s="1111"/>
      <c r="L135" s="1111"/>
      <c r="M135" s="1111"/>
      <c r="N135" s="1141"/>
      <c r="O135" s="8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8"/>
      <c r="AD135" s="27"/>
      <c r="AE135" s="19"/>
      <c r="AF135" s="19"/>
      <c r="AG135" s="19"/>
      <c r="AH135" s="19"/>
      <c r="AI135" s="19"/>
      <c r="AJ135" s="19"/>
      <c r="AK135" s="7"/>
      <c r="AL135" s="7"/>
      <c r="AM135" s="7"/>
      <c r="AN135" s="7"/>
      <c r="AO135" s="7"/>
      <c r="AP135" s="7"/>
      <c r="AR135" s="39"/>
    </row>
    <row r="136" spans="1:44" s="4" customFormat="1" ht="12.75" customHeight="1" x14ac:dyDescent="0.2">
      <c r="A136" s="10"/>
      <c r="B136" s="1330"/>
      <c r="C136" s="1111"/>
      <c r="D136" s="1111"/>
      <c r="E136" s="1111"/>
      <c r="F136" s="1111"/>
      <c r="G136" s="1111"/>
      <c r="H136" s="1111"/>
      <c r="I136" s="1111"/>
      <c r="J136" s="1111"/>
      <c r="K136" s="1111"/>
      <c r="L136" s="1111"/>
      <c r="M136" s="1111"/>
      <c r="N136" s="1141"/>
      <c r="O136" s="8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8"/>
      <c r="AD136" s="26"/>
      <c r="AE136" s="19"/>
      <c r="AF136" s="19"/>
      <c r="AG136" s="19"/>
      <c r="AH136" s="19"/>
      <c r="AI136" s="19"/>
      <c r="AJ136" s="19"/>
      <c r="AK136" s="7"/>
      <c r="AL136" s="7"/>
      <c r="AM136" s="7"/>
      <c r="AN136" s="7"/>
      <c r="AO136" s="7"/>
      <c r="AP136" s="7"/>
      <c r="AR136" s="39"/>
    </row>
    <row r="137" spans="1:44" s="4" customFormat="1" ht="12.75" customHeight="1" x14ac:dyDescent="0.2">
      <c r="A137" s="10"/>
      <c r="B137" s="1330"/>
      <c r="C137" s="1111"/>
      <c r="D137" s="1111"/>
      <c r="E137" s="1111"/>
      <c r="F137" s="1111"/>
      <c r="G137" s="1111"/>
      <c r="H137" s="1111"/>
      <c r="I137" s="1111"/>
      <c r="J137" s="1111"/>
      <c r="K137" s="1111"/>
      <c r="L137" s="1111"/>
      <c r="M137" s="1111"/>
      <c r="N137" s="1141"/>
      <c r="O137" s="8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8"/>
      <c r="AD137" s="20"/>
      <c r="AE137" s="19"/>
      <c r="AF137" s="19"/>
      <c r="AG137" s="19"/>
      <c r="AH137" s="19"/>
      <c r="AI137" s="19"/>
      <c r="AJ137" s="19"/>
      <c r="AK137" s="7"/>
      <c r="AL137" s="7"/>
      <c r="AM137" s="7"/>
      <c r="AN137" s="7"/>
      <c r="AO137" s="7"/>
      <c r="AP137" s="7"/>
      <c r="AR137" s="39"/>
    </row>
    <row r="138" spans="1:44" s="4" customFormat="1" ht="12.75" customHeight="1" x14ac:dyDescent="0.2">
      <c r="A138" s="10"/>
      <c r="B138" s="1330"/>
      <c r="C138" s="1111"/>
      <c r="D138" s="1111"/>
      <c r="E138" s="1111"/>
      <c r="F138" s="1111"/>
      <c r="G138" s="1111"/>
      <c r="H138" s="1111"/>
      <c r="I138" s="1111"/>
      <c r="J138" s="1111"/>
      <c r="K138" s="1111"/>
      <c r="L138" s="1111"/>
      <c r="M138" s="1111"/>
      <c r="N138" s="1141"/>
      <c r="O138" s="8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8"/>
      <c r="AD138" s="20"/>
      <c r="AE138" s="8"/>
      <c r="AF138" s="8"/>
      <c r="AG138" s="8"/>
      <c r="AH138" s="8"/>
      <c r="AI138" s="8"/>
      <c r="AJ138" s="8"/>
      <c r="AR138" s="39"/>
    </row>
    <row r="139" spans="1:44" s="4" customFormat="1" ht="12.75" customHeight="1" x14ac:dyDescent="0.2">
      <c r="A139" s="10"/>
      <c r="B139" s="1330"/>
      <c r="C139" s="1111"/>
      <c r="D139" s="1111"/>
      <c r="E139" s="1111"/>
      <c r="F139" s="1111"/>
      <c r="G139" s="1111"/>
      <c r="H139" s="1111"/>
      <c r="I139" s="1111"/>
      <c r="J139" s="1111"/>
      <c r="K139" s="1111"/>
      <c r="L139" s="1111"/>
      <c r="M139" s="1111"/>
      <c r="N139" s="1141"/>
      <c r="O139" s="8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8"/>
      <c r="AD139" s="20"/>
      <c r="AE139" s="8"/>
      <c r="AF139" s="8"/>
      <c r="AG139" s="8"/>
      <c r="AH139" s="8"/>
      <c r="AI139" s="8"/>
      <c r="AJ139" s="8"/>
      <c r="AR139" s="39"/>
    </row>
    <row r="140" spans="1:44" s="4" customFormat="1" ht="13.5" customHeight="1" x14ac:dyDescent="0.2">
      <c r="A140" s="10"/>
      <c r="B140" s="1330"/>
      <c r="C140" s="1111"/>
      <c r="D140" s="1111"/>
      <c r="E140" s="1111"/>
      <c r="F140" s="1111"/>
      <c r="G140" s="1111"/>
      <c r="H140" s="1111"/>
      <c r="I140" s="1111"/>
      <c r="J140" s="1111"/>
      <c r="K140" s="1111"/>
      <c r="L140" s="1111"/>
      <c r="M140" s="1111"/>
      <c r="N140" s="1141"/>
      <c r="O140" s="8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8"/>
      <c r="AD140" s="26"/>
      <c r="AE140" s="26"/>
      <c r="AF140" s="26"/>
      <c r="AG140" s="26"/>
      <c r="AH140" s="26"/>
      <c r="AI140" s="26"/>
      <c r="AJ140" s="26"/>
      <c r="AK140" s="22"/>
      <c r="AL140" s="22"/>
      <c r="AM140" s="22"/>
      <c r="AN140" s="22"/>
      <c r="AO140" s="22"/>
      <c r="AP140" s="22"/>
      <c r="AQ140" s="22"/>
      <c r="AR140" s="39"/>
    </row>
    <row r="141" spans="1:44" s="4" customFormat="1" ht="12.75" customHeight="1" x14ac:dyDescent="0.2">
      <c r="A141" s="10"/>
      <c r="B141" s="1330"/>
      <c r="C141" s="1111"/>
      <c r="D141" s="1111"/>
      <c r="E141" s="1111"/>
      <c r="F141" s="1111"/>
      <c r="G141" s="1111"/>
      <c r="H141" s="1111"/>
      <c r="I141" s="1111"/>
      <c r="J141" s="1111"/>
      <c r="K141" s="1111"/>
      <c r="L141" s="1111"/>
      <c r="M141" s="1111"/>
      <c r="N141" s="1141"/>
      <c r="O141" s="8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8"/>
      <c r="AD141" s="20"/>
      <c r="AE141" s="27"/>
      <c r="AF141" s="27"/>
      <c r="AG141" s="27"/>
      <c r="AH141" s="27"/>
      <c r="AI141" s="27"/>
      <c r="AJ141" s="27"/>
      <c r="AK141" s="25"/>
      <c r="AL141" s="25"/>
      <c r="AM141" s="25"/>
      <c r="AN141" s="25"/>
      <c r="AO141" s="25"/>
      <c r="AP141" s="25"/>
      <c r="AQ141" s="25"/>
      <c r="AR141" s="23"/>
    </row>
    <row r="142" spans="1:44" s="4" customFormat="1" ht="12.75" customHeight="1" x14ac:dyDescent="0.2">
      <c r="A142" s="10"/>
      <c r="B142" s="1058" t="s">
        <v>1468</v>
      </c>
      <c r="C142" s="1340"/>
      <c r="D142" s="1340"/>
      <c r="E142" s="1340"/>
      <c r="F142" s="1340"/>
      <c r="G142" s="1340"/>
      <c r="H142" s="1340"/>
      <c r="I142" s="1340"/>
      <c r="J142" s="1340"/>
      <c r="K142" s="1340"/>
      <c r="L142" s="1340"/>
      <c r="M142" s="1340"/>
      <c r="N142" s="1060"/>
      <c r="O142" s="8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8"/>
      <c r="AD142" s="20"/>
      <c r="AE142" s="38"/>
      <c r="AF142" s="38"/>
      <c r="AG142" s="38"/>
      <c r="AH142" s="38"/>
      <c r="AI142" s="38"/>
      <c r="AJ142" s="38"/>
      <c r="AK142" s="24"/>
      <c r="AL142" s="24"/>
      <c r="AM142" s="24"/>
      <c r="AN142" s="24"/>
      <c r="AO142" s="24"/>
      <c r="AP142" s="24"/>
      <c r="AQ142" s="24"/>
      <c r="AR142" s="23"/>
    </row>
    <row r="143" spans="1:44" s="4" customFormat="1" ht="12.75" customHeight="1" x14ac:dyDescent="0.2">
      <c r="A143" s="8"/>
      <c r="B143" s="1098" t="s">
        <v>1469</v>
      </c>
      <c r="C143" s="1156"/>
      <c r="D143" s="1156"/>
      <c r="E143" s="1156"/>
      <c r="F143" s="1156"/>
      <c r="G143" s="1156"/>
      <c r="H143" s="1156"/>
      <c r="I143" s="1156"/>
      <c r="J143" s="1156"/>
      <c r="K143" s="1156"/>
      <c r="L143" s="1156"/>
      <c r="M143" s="1156"/>
      <c r="N143" s="1100"/>
      <c r="O143" s="8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8"/>
      <c r="AD143" s="20"/>
      <c r="AE143" s="38"/>
      <c r="AF143" s="38"/>
      <c r="AG143" s="38"/>
      <c r="AH143" s="38"/>
      <c r="AI143" s="38"/>
      <c r="AJ143" s="38"/>
      <c r="AK143" s="24"/>
      <c r="AL143" s="24"/>
      <c r="AM143" s="24"/>
      <c r="AN143" s="24"/>
      <c r="AO143" s="24"/>
      <c r="AP143" s="24"/>
      <c r="AQ143" s="24"/>
      <c r="AR143" s="23"/>
    </row>
    <row r="144" spans="1:44" s="4" customFormat="1" ht="12.75" customHeight="1" x14ac:dyDescent="0.2">
      <c r="A144" s="8"/>
      <c r="B144" s="1073" t="s">
        <v>1470</v>
      </c>
      <c r="C144" s="1150"/>
      <c r="D144" s="1150"/>
      <c r="E144" s="1150" t="s">
        <v>1444</v>
      </c>
      <c r="F144" s="1150"/>
      <c r="G144" s="1150"/>
      <c r="H144" s="1150" t="s">
        <v>1389</v>
      </c>
      <c r="I144" s="1150"/>
      <c r="J144" s="1150"/>
      <c r="K144" s="1150" t="s">
        <v>1471</v>
      </c>
      <c r="L144" s="1150"/>
      <c r="M144" s="1150"/>
      <c r="N144" s="1101"/>
      <c r="O144" s="8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8"/>
      <c r="AD144" s="20"/>
      <c r="AE144" s="26"/>
      <c r="AF144" s="26"/>
      <c r="AG144" s="26"/>
      <c r="AH144" s="26"/>
      <c r="AI144" s="26"/>
      <c r="AJ144" s="26"/>
      <c r="AK144" s="22"/>
      <c r="AL144" s="22"/>
      <c r="AM144" s="22"/>
      <c r="AN144" s="22"/>
      <c r="AO144" s="22"/>
      <c r="AP144" s="22"/>
      <c r="AQ144" s="22"/>
      <c r="AR144" s="23"/>
    </row>
    <row r="145" spans="1:44" s="4" customFormat="1" ht="12.75" customHeight="1" x14ac:dyDescent="0.2">
      <c r="A145" s="8"/>
      <c r="B145" s="1073"/>
      <c r="C145" s="1150"/>
      <c r="D145" s="1150"/>
      <c r="E145" s="1150"/>
      <c r="F145" s="1150"/>
      <c r="G145" s="1150"/>
      <c r="H145" s="1150"/>
      <c r="I145" s="1150"/>
      <c r="J145" s="1150"/>
      <c r="K145" s="1150"/>
      <c r="L145" s="1150"/>
      <c r="M145" s="1150"/>
      <c r="N145" s="1101"/>
      <c r="O145" s="8"/>
      <c r="P145" s="192"/>
      <c r="Q145" s="192"/>
      <c r="R145" s="192"/>
      <c r="S145" s="192"/>
      <c r="T145" s="192"/>
      <c r="U145" s="192"/>
      <c r="V145" s="192"/>
      <c r="W145" s="192"/>
      <c r="X145" s="192"/>
      <c r="Y145" s="192"/>
      <c r="Z145" s="192"/>
      <c r="AA145" s="192"/>
      <c r="AB145" s="192"/>
      <c r="AC145" s="8"/>
      <c r="AD145" s="20"/>
      <c r="AE145" s="20"/>
      <c r="AF145" s="20"/>
      <c r="AG145" s="20"/>
      <c r="AH145" s="20"/>
      <c r="AI145" s="20"/>
      <c r="AJ145" s="20"/>
      <c r="AK145" s="23"/>
      <c r="AL145" s="23"/>
      <c r="AM145" s="23"/>
      <c r="AN145" s="23"/>
      <c r="AO145" s="23"/>
      <c r="AP145" s="23"/>
      <c r="AQ145" s="23"/>
      <c r="AR145" s="23"/>
    </row>
    <row r="146" spans="1:44" s="4" customFormat="1" ht="12.75" customHeight="1" x14ac:dyDescent="0.2">
      <c r="A146" s="8"/>
      <c r="B146" s="1112">
        <f>case3i_din_heave_up</f>
        <v>0</v>
      </c>
      <c r="C146" s="1094"/>
      <c r="D146" s="1094"/>
      <c r="E146" s="1113">
        <f>case3i_din_mbr_linha</f>
        <v>0</v>
      </c>
      <c r="F146" s="1113"/>
      <c r="G146" s="1113"/>
      <c r="H146" s="1113" t="str">
        <f>IF(case3i_din_mbr_vert&lt;=L65,_xlfn.CONCAT(L65," ","(*Vértebra Travada)"),case3i_din_mbr_vert)</f>
        <v>4,14 (*Vértebra Travada)</v>
      </c>
      <c r="I146" s="1094"/>
      <c r="J146" s="1094"/>
      <c r="K146" s="1094" t="str">
        <f>_xlfn.CONCAT("[",case3i_din_axial_force_cabr1,";",case3i_din_axial_force_cabr2,"]")</f>
        <v>[0;0]</v>
      </c>
      <c r="L146" s="1094"/>
      <c r="M146" s="1094"/>
      <c r="N146" s="1095"/>
      <c r="O146" s="8"/>
      <c r="P146" s="192"/>
      <c r="Q146" s="192"/>
      <c r="R146" s="192"/>
      <c r="S146" s="192"/>
      <c r="T146" s="192"/>
      <c r="U146" s="192"/>
      <c r="V146" s="192"/>
      <c r="W146" s="192"/>
      <c r="X146" s="192"/>
      <c r="Y146" s="192"/>
      <c r="Z146" s="192"/>
      <c r="AA146" s="192"/>
      <c r="AB146" s="192"/>
      <c r="AC146" s="8"/>
      <c r="AD146" s="20"/>
      <c r="AE146" s="20"/>
      <c r="AF146" s="20"/>
      <c r="AG146" s="20"/>
      <c r="AH146" s="20"/>
      <c r="AI146" s="20"/>
      <c r="AJ146" s="20"/>
      <c r="AK146" s="23"/>
      <c r="AL146" s="23"/>
      <c r="AM146" s="23"/>
      <c r="AN146" s="23"/>
      <c r="AO146" s="23"/>
      <c r="AP146" s="23"/>
      <c r="AQ146" s="23"/>
      <c r="AR146" s="23"/>
    </row>
    <row r="147" spans="1:44" s="4" customFormat="1" ht="12.75" customHeight="1" x14ac:dyDescent="0.2">
      <c r="A147" s="8"/>
      <c r="B147" s="1168"/>
      <c r="C147" s="1096"/>
      <c r="D147" s="1096"/>
      <c r="E147" s="1115"/>
      <c r="F147" s="1115"/>
      <c r="G147" s="1115"/>
      <c r="H147" s="1096"/>
      <c r="I147" s="1096"/>
      <c r="J147" s="1096"/>
      <c r="K147" s="1096"/>
      <c r="L147" s="1096"/>
      <c r="M147" s="1096"/>
      <c r="N147" s="1097"/>
      <c r="O147" s="8"/>
      <c r="P147" s="192"/>
      <c r="Q147" s="192"/>
      <c r="R147" s="192"/>
      <c r="S147" s="192"/>
      <c r="T147" s="192"/>
      <c r="U147" s="192"/>
      <c r="V147" s="192"/>
      <c r="W147" s="192"/>
      <c r="X147" s="192"/>
      <c r="Y147" s="192"/>
      <c r="Z147" s="192"/>
      <c r="AA147" s="192"/>
      <c r="AB147" s="192"/>
      <c r="AC147" s="8"/>
      <c r="AD147" s="20"/>
      <c r="AE147" s="20"/>
      <c r="AF147" s="20"/>
      <c r="AG147" s="20"/>
      <c r="AH147" s="20"/>
      <c r="AI147" s="20"/>
      <c r="AJ147" s="20"/>
      <c r="AK147" s="23"/>
      <c r="AL147" s="23"/>
      <c r="AM147" s="23"/>
      <c r="AN147" s="23"/>
      <c r="AO147" s="23"/>
      <c r="AP147" s="23"/>
      <c r="AQ147" s="23"/>
      <c r="AR147" s="23"/>
    </row>
    <row r="148" spans="1:44" s="4" customFormat="1" ht="12.75" customHeight="1" x14ac:dyDescent="0.2">
      <c r="A148" s="8"/>
      <c r="B148" s="1098" t="s">
        <v>1472</v>
      </c>
      <c r="C148" s="1156"/>
      <c r="D148" s="1156"/>
      <c r="E148" s="1156"/>
      <c r="F148" s="1156"/>
      <c r="G148" s="1156"/>
      <c r="H148" s="1156"/>
      <c r="I148" s="1156"/>
      <c r="J148" s="1156"/>
      <c r="K148" s="1156"/>
      <c r="L148" s="1156"/>
      <c r="M148" s="1156"/>
      <c r="N148" s="1100"/>
      <c r="O148" s="8"/>
      <c r="P148" s="192"/>
      <c r="Q148" s="192"/>
      <c r="R148" s="192"/>
      <c r="S148" s="192"/>
      <c r="T148" s="192"/>
      <c r="U148" s="192"/>
      <c r="V148" s="192"/>
      <c r="W148" s="192"/>
      <c r="X148" s="192"/>
      <c r="Y148" s="192"/>
      <c r="Z148" s="192"/>
      <c r="AA148" s="192"/>
      <c r="AB148" s="192"/>
      <c r="AC148" s="8"/>
      <c r="AD148" s="20"/>
      <c r="AE148" s="20"/>
      <c r="AF148" s="20"/>
      <c r="AG148" s="20"/>
      <c r="AH148" s="20"/>
      <c r="AI148" s="20"/>
      <c r="AJ148" s="20"/>
      <c r="AK148" s="23"/>
      <c r="AL148" s="23"/>
      <c r="AM148" s="23"/>
      <c r="AN148" s="23"/>
      <c r="AO148" s="23"/>
      <c r="AP148" s="23"/>
      <c r="AQ148" s="23"/>
      <c r="AR148" s="23"/>
    </row>
    <row r="149" spans="1:44" s="4" customFormat="1" ht="13.5" customHeight="1" x14ac:dyDescent="0.2">
      <c r="A149" s="8"/>
      <c r="B149" s="1073" t="s">
        <v>1473</v>
      </c>
      <c r="C149" s="1150"/>
      <c r="D149" s="1150"/>
      <c r="E149" s="1150" t="s">
        <v>1474</v>
      </c>
      <c r="F149" s="1150"/>
      <c r="G149" s="1150"/>
      <c r="H149" s="1150" t="s">
        <v>1475</v>
      </c>
      <c r="I149" s="1150"/>
      <c r="J149" s="1150"/>
      <c r="K149" s="1150" t="s">
        <v>1462</v>
      </c>
      <c r="L149" s="1150"/>
      <c r="M149" s="1150"/>
      <c r="N149" s="1101"/>
      <c r="O149" s="8"/>
      <c r="P149" s="192"/>
      <c r="Q149" s="192"/>
      <c r="R149" s="192"/>
      <c r="S149" s="192"/>
      <c r="T149" s="192"/>
      <c r="U149" s="192"/>
      <c r="V149" s="192"/>
      <c r="W149" s="192"/>
      <c r="X149" s="192"/>
      <c r="Y149" s="192"/>
      <c r="Z149" s="192"/>
      <c r="AA149" s="192"/>
      <c r="AB149" s="192"/>
      <c r="AC149" s="8"/>
      <c r="AD149" s="20"/>
      <c r="AE149" s="20"/>
      <c r="AF149" s="20"/>
      <c r="AG149" s="20"/>
      <c r="AH149" s="20"/>
      <c r="AI149" s="20"/>
      <c r="AJ149" s="20"/>
      <c r="AK149" s="23"/>
      <c r="AL149" s="23"/>
      <c r="AM149" s="23"/>
      <c r="AN149" s="23"/>
      <c r="AO149" s="23"/>
      <c r="AP149" s="23"/>
      <c r="AQ149" s="23"/>
      <c r="AR149" s="23"/>
    </row>
    <row r="150" spans="1:44" s="4" customFormat="1" ht="12.75" customHeight="1" x14ac:dyDescent="0.2">
      <c r="A150" s="8"/>
      <c r="B150" s="1073"/>
      <c r="C150" s="1150"/>
      <c r="D150" s="1150"/>
      <c r="E150" s="1150"/>
      <c r="F150" s="1150"/>
      <c r="G150" s="1150"/>
      <c r="H150" s="1150"/>
      <c r="I150" s="1150"/>
      <c r="J150" s="1150"/>
      <c r="K150" s="1150"/>
      <c r="L150" s="1150"/>
      <c r="M150" s="1150"/>
      <c r="N150" s="1101"/>
      <c r="O150" s="8"/>
      <c r="P150" s="192"/>
      <c r="Q150" s="192"/>
      <c r="R150" s="192"/>
      <c r="S150" s="192"/>
      <c r="T150" s="192"/>
      <c r="U150" s="192"/>
      <c r="V150" s="192"/>
      <c r="W150" s="192"/>
      <c r="X150" s="192"/>
      <c r="Y150" s="192"/>
      <c r="Z150" s="192"/>
      <c r="AA150" s="192"/>
      <c r="AB150" s="192"/>
      <c r="AC150" s="8"/>
      <c r="AD150" s="20"/>
      <c r="AE150" s="20"/>
      <c r="AF150" s="20"/>
      <c r="AG150" s="20"/>
      <c r="AH150" s="20"/>
      <c r="AI150" s="20"/>
      <c r="AJ150" s="20"/>
      <c r="AK150" s="23"/>
      <c r="AL150" s="23"/>
      <c r="AM150" s="23"/>
      <c r="AN150" s="23"/>
      <c r="AO150" s="23"/>
      <c r="AP150" s="23"/>
      <c r="AQ150" s="23"/>
    </row>
    <row r="151" spans="1:44" s="4" customFormat="1" ht="12.75" customHeight="1" x14ac:dyDescent="0.2">
      <c r="A151" s="8"/>
      <c r="B151" s="1073" t="s">
        <v>1476</v>
      </c>
      <c r="C151" s="1150"/>
      <c r="D151" s="1150"/>
      <c r="E151" s="1075">
        <f>case3i_din_ey_moment_max</f>
        <v>0</v>
      </c>
      <c r="F151" s="1076"/>
      <c r="G151" s="1077"/>
      <c r="H151" s="1075">
        <f>case3i_din_ez_axial_max</f>
        <v>0</v>
      </c>
      <c r="I151" s="1076"/>
      <c r="J151" s="1077"/>
      <c r="K151" s="1076">
        <f>case3i_din_ex_shear_force_max</f>
        <v>0</v>
      </c>
      <c r="L151" s="1081"/>
      <c r="M151" s="1081"/>
      <c r="N151" s="1082"/>
      <c r="O151" s="8"/>
      <c r="P151" s="192"/>
      <c r="Q151" s="192"/>
      <c r="R151" s="192"/>
      <c r="S151" s="192"/>
      <c r="T151" s="192"/>
      <c r="U151" s="192"/>
      <c r="V151" s="192"/>
      <c r="W151" s="192"/>
      <c r="X151" s="192"/>
      <c r="Y151" s="192"/>
      <c r="Z151" s="192"/>
      <c r="AA151" s="192"/>
      <c r="AB151" s="192"/>
      <c r="AC151" s="8"/>
      <c r="AD151" s="20"/>
      <c r="AE151" s="20"/>
      <c r="AF151" s="20"/>
      <c r="AG151" s="20"/>
      <c r="AH151" s="20"/>
      <c r="AI151" s="20"/>
      <c r="AJ151" s="20"/>
      <c r="AK151" s="23"/>
      <c r="AL151" s="23"/>
      <c r="AM151" s="23"/>
      <c r="AN151" s="23"/>
      <c r="AO151" s="23"/>
      <c r="AP151" s="23"/>
      <c r="AQ151" s="23"/>
    </row>
    <row r="152" spans="1:44" s="4" customFormat="1" ht="12.75" customHeight="1" x14ac:dyDescent="0.2">
      <c r="A152" s="8"/>
      <c r="B152" s="1073"/>
      <c r="C152" s="1150"/>
      <c r="D152" s="1150"/>
      <c r="E152" s="1078"/>
      <c r="F152" s="1079"/>
      <c r="G152" s="1080"/>
      <c r="H152" s="1078"/>
      <c r="I152" s="1079"/>
      <c r="J152" s="1080"/>
      <c r="K152" s="1083"/>
      <c r="L152" s="1083"/>
      <c r="M152" s="1083"/>
      <c r="N152" s="1084"/>
      <c r="O152" s="8"/>
      <c r="P152" s="192"/>
      <c r="Q152" s="192"/>
      <c r="R152" s="192"/>
      <c r="S152" s="192"/>
      <c r="T152" s="192"/>
      <c r="U152" s="192"/>
      <c r="V152" s="192"/>
      <c r="W152" s="192"/>
      <c r="X152" s="192"/>
      <c r="Y152" s="192"/>
      <c r="Z152" s="192"/>
      <c r="AA152" s="192"/>
      <c r="AB152" s="192"/>
      <c r="AC152" s="8"/>
      <c r="AD152" s="20"/>
      <c r="AE152" s="20"/>
      <c r="AF152" s="20"/>
      <c r="AG152" s="20"/>
      <c r="AH152" s="20"/>
      <c r="AI152" s="20"/>
      <c r="AJ152" s="20"/>
      <c r="AK152" s="23"/>
      <c r="AL152" s="23"/>
      <c r="AM152" s="23"/>
      <c r="AN152" s="23"/>
      <c r="AO152" s="23"/>
      <c r="AP152" s="23"/>
      <c r="AQ152" s="23"/>
    </row>
    <row r="153" spans="1:44" s="4" customFormat="1" ht="12.75" customHeight="1" x14ac:dyDescent="0.2">
      <c r="A153" s="8"/>
      <c r="B153" s="1073" t="s">
        <v>1477</v>
      </c>
      <c r="C153" s="1150"/>
      <c r="D153" s="1150"/>
      <c r="E153" s="1078">
        <f>case3i_din_ey_moment_min</f>
        <v>0</v>
      </c>
      <c r="F153" s="1079"/>
      <c r="G153" s="1080"/>
      <c r="H153" s="1078">
        <f>case3i_din_ez_axial_min</f>
        <v>0</v>
      </c>
      <c r="I153" s="1079"/>
      <c r="J153" s="1080"/>
      <c r="K153" s="1079">
        <f>case3i_din_ex_shear_force_min</f>
        <v>0</v>
      </c>
      <c r="L153" s="1083"/>
      <c r="M153" s="1083"/>
      <c r="N153" s="1084"/>
      <c r="O153" s="8"/>
      <c r="P153" s="193"/>
      <c r="Q153" s="192"/>
      <c r="R153" s="192"/>
      <c r="S153" s="192"/>
      <c r="T153" s="192"/>
      <c r="U153" s="192"/>
      <c r="V153" s="192"/>
      <c r="W153" s="192"/>
      <c r="X153" s="192"/>
      <c r="Y153" s="192"/>
      <c r="Z153" s="192"/>
      <c r="AA153" s="192"/>
      <c r="AB153" s="192"/>
      <c r="AC153" s="8"/>
      <c r="AD153" s="20"/>
      <c r="AE153" s="20"/>
      <c r="AF153" s="20"/>
      <c r="AG153" s="20"/>
      <c r="AH153" s="20"/>
      <c r="AI153" s="20"/>
      <c r="AJ153" s="20"/>
      <c r="AK153" s="23"/>
      <c r="AL153" s="23"/>
      <c r="AM153" s="23"/>
      <c r="AN153" s="23"/>
      <c r="AO153" s="23"/>
      <c r="AP153" s="23"/>
      <c r="AQ153" s="23"/>
    </row>
    <row r="154" spans="1:44" s="4" customFormat="1" ht="12.75" customHeight="1" thickBot="1" x14ac:dyDescent="0.25">
      <c r="A154" s="8"/>
      <c r="B154" s="1333"/>
      <c r="C154" s="1334"/>
      <c r="D154" s="1334"/>
      <c r="E154" s="1335"/>
      <c r="F154" s="1336"/>
      <c r="G154" s="1337"/>
      <c r="H154" s="1335"/>
      <c r="I154" s="1336"/>
      <c r="J154" s="1337"/>
      <c r="K154" s="1338"/>
      <c r="L154" s="1338"/>
      <c r="M154" s="1338"/>
      <c r="N154" s="1339"/>
      <c r="O154" s="8"/>
      <c r="P154" s="192"/>
      <c r="Q154" s="192"/>
      <c r="R154" s="192"/>
      <c r="S154" s="192"/>
      <c r="T154" s="192"/>
      <c r="U154" s="192"/>
      <c r="V154" s="192"/>
      <c r="W154" s="192"/>
      <c r="X154" s="192"/>
      <c r="Y154" s="192"/>
      <c r="Z154" s="192"/>
      <c r="AA154" s="192"/>
      <c r="AB154" s="192"/>
      <c r="AC154" s="8"/>
      <c r="AD154" s="20"/>
      <c r="AE154" s="20"/>
      <c r="AF154" s="20"/>
      <c r="AG154" s="20"/>
      <c r="AH154" s="20"/>
      <c r="AI154" s="20"/>
      <c r="AJ154" s="20"/>
      <c r="AK154" s="23"/>
      <c r="AL154" s="23"/>
      <c r="AM154" s="23"/>
      <c r="AN154" s="23"/>
      <c r="AO154" s="23"/>
      <c r="AP154" s="23"/>
      <c r="AQ154" s="23"/>
    </row>
    <row r="155" spans="1:44" s="4" customFormat="1" ht="12.75" customHeight="1" x14ac:dyDescent="0.2">
      <c r="A155" s="8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8"/>
      <c r="P155" s="192"/>
      <c r="Q155" s="192"/>
      <c r="R155" s="192"/>
      <c r="S155" s="192"/>
      <c r="T155" s="192"/>
      <c r="U155" s="192"/>
      <c r="V155" s="192"/>
      <c r="W155" s="192"/>
      <c r="X155" s="192"/>
      <c r="Y155" s="192"/>
      <c r="Z155" s="192"/>
      <c r="AA155" s="192"/>
      <c r="AB155" s="192"/>
      <c r="AC155" s="8"/>
      <c r="AD155" s="20"/>
      <c r="AE155" s="20"/>
      <c r="AF155" s="20"/>
      <c r="AG155" s="20"/>
      <c r="AH155" s="20"/>
      <c r="AI155" s="20"/>
      <c r="AJ155" s="20"/>
      <c r="AK155" s="23"/>
      <c r="AL155" s="23"/>
      <c r="AM155" s="23"/>
      <c r="AN155" s="23"/>
      <c r="AO155" s="23"/>
      <c r="AP155" s="23"/>
      <c r="AQ155" s="23"/>
    </row>
    <row r="156" spans="1:44" s="4" customFormat="1" ht="12.75" customHeight="1" x14ac:dyDescent="0.2">
      <c r="A156" s="8"/>
      <c r="B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8"/>
      <c r="P156" s="192"/>
      <c r="Q156" s="192"/>
      <c r="R156" s="192"/>
      <c r="S156" s="192"/>
      <c r="T156" s="192"/>
      <c r="U156" s="192"/>
      <c r="V156" s="192"/>
      <c r="W156" s="192"/>
      <c r="X156" s="192"/>
      <c r="Y156" s="192"/>
      <c r="Z156" s="192"/>
      <c r="AA156" s="192"/>
      <c r="AB156" s="192"/>
      <c r="AC156" s="8"/>
      <c r="AD156" s="20"/>
      <c r="AE156" s="20"/>
      <c r="AF156" s="20"/>
      <c r="AG156" s="20"/>
      <c r="AH156" s="20"/>
      <c r="AI156" s="20"/>
      <c r="AJ156" s="20"/>
      <c r="AK156" s="23"/>
      <c r="AL156" s="23"/>
      <c r="AM156" s="23"/>
      <c r="AN156" s="23"/>
      <c r="AO156" s="23"/>
      <c r="AP156" s="23"/>
      <c r="AQ156" s="23"/>
    </row>
    <row r="157" spans="1:44" ht="12.75" customHeight="1" x14ac:dyDescent="0.2">
      <c r="B157" s="194"/>
      <c r="C157" s="194"/>
      <c r="D157" s="194"/>
      <c r="E157" s="194"/>
      <c r="F157" s="194"/>
      <c r="G157" s="194"/>
      <c r="H157" s="194"/>
      <c r="I157" s="194"/>
      <c r="J157" s="194"/>
      <c r="K157" s="194"/>
      <c r="L157" s="194"/>
      <c r="M157" s="194"/>
      <c r="N157" s="194"/>
      <c r="P157" s="195"/>
      <c r="Q157" s="195"/>
      <c r="R157" s="195"/>
      <c r="S157" s="195"/>
      <c r="T157" s="195"/>
      <c r="U157" s="195"/>
      <c r="V157" s="195"/>
      <c r="W157" s="195"/>
      <c r="X157" s="195"/>
      <c r="Y157" s="195"/>
      <c r="Z157" s="195"/>
      <c r="AA157" s="195"/>
      <c r="AB157" s="195"/>
      <c r="AD157" s="196"/>
      <c r="AE157" s="196"/>
      <c r="AF157" s="196"/>
      <c r="AG157" s="196"/>
      <c r="AH157" s="196"/>
      <c r="AI157" s="196"/>
      <c r="AJ157" s="196"/>
      <c r="AK157" s="196"/>
      <c r="AL157" s="196"/>
      <c r="AM157" s="196"/>
      <c r="AN157" s="196"/>
      <c r="AO157" s="196"/>
      <c r="AP157" s="196"/>
      <c r="AQ157" s="196"/>
    </row>
    <row r="158" spans="1:44" ht="12.75" customHeight="1" x14ac:dyDescent="0.2">
      <c r="B158" s="197"/>
      <c r="C158" s="197"/>
      <c r="D158" s="197"/>
      <c r="E158" s="197"/>
      <c r="F158" s="197"/>
      <c r="G158" s="197"/>
      <c r="H158" s="197"/>
      <c r="I158" s="197"/>
      <c r="J158" s="197"/>
      <c r="K158" s="197"/>
      <c r="L158" s="197"/>
      <c r="M158" s="197"/>
      <c r="N158" s="197"/>
      <c r="AD158" s="196"/>
      <c r="AE158" s="196"/>
      <c r="AF158" s="196"/>
      <c r="AG158" s="196"/>
      <c r="AH158" s="196"/>
      <c r="AI158" s="196"/>
      <c r="AJ158" s="196"/>
      <c r="AK158" s="196"/>
      <c r="AL158" s="196"/>
      <c r="AM158" s="196"/>
      <c r="AN158" s="196"/>
      <c r="AO158" s="196"/>
      <c r="AP158" s="196"/>
      <c r="AQ158" s="196"/>
    </row>
    <row r="159" spans="1:44" ht="12.75" customHeight="1" x14ac:dyDescent="0.2">
      <c r="B159" s="196"/>
      <c r="C159" s="196"/>
      <c r="D159" s="196"/>
      <c r="E159" s="196"/>
      <c r="F159" s="196"/>
      <c r="G159" s="196"/>
      <c r="H159" s="196"/>
      <c r="I159" s="196"/>
      <c r="J159" s="196"/>
      <c r="K159" s="196"/>
      <c r="L159" s="196"/>
      <c r="M159" s="196"/>
      <c r="N159" s="196"/>
      <c r="AD159" s="196"/>
      <c r="AE159" s="196"/>
      <c r="AF159" s="196"/>
      <c r="AG159" s="196"/>
      <c r="AH159" s="196"/>
      <c r="AI159" s="196"/>
      <c r="AJ159" s="196"/>
      <c r="AK159" s="196"/>
      <c r="AL159" s="196"/>
      <c r="AM159" s="196"/>
      <c r="AN159" s="196"/>
      <c r="AO159" s="196"/>
      <c r="AP159" s="196"/>
      <c r="AQ159" s="196"/>
    </row>
    <row r="160" spans="1:44" ht="12.75" customHeight="1" x14ac:dyDescent="0.2">
      <c r="B160" s="196"/>
      <c r="C160" s="196"/>
      <c r="D160" s="196"/>
      <c r="E160" s="196"/>
      <c r="F160" s="196"/>
      <c r="G160" s="196"/>
      <c r="H160" s="196"/>
      <c r="I160" s="196"/>
      <c r="J160" s="196"/>
      <c r="K160" s="196"/>
      <c r="L160" s="196"/>
      <c r="M160" s="196"/>
      <c r="N160" s="196"/>
      <c r="AD160" s="196"/>
      <c r="AE160" s="196"/>
      <c r="AF160" s="196"/>
      <c r="AG160" s="196"/>
      <c r="AH160" s="196"/>
      <c r="AI160" s="196"/>
      <c r="AJ160" s="196"/>
      <c r="AK160" s="196"/>
      <c r="AL160" s="196"/>
      <c r="AM160" s="196"/>
      <c r="AN160" s="196"/>
      <c r="AO160" s="196"/>
      <c r="AP160" s="196"/>
      <c r="AQ160" s="196"/>
    </row>
    <row r="161" spans="2:43" ht="12.75" customHeight="1" x14ac:dyDescent="0.2">
      <c r="B161" s="198"/>
      <c r="C161" s="196"/>
      <c r="D161" s="196"/>
      <c r="E161" s="196"/>
      <c r="F161" s="198"/>
      <c r="G161" s="198"/>
      <c r="H161" s="198"/>
      <c r="I161" s="198"/>
      <c r="J161" s="198"/>
      <c r="K161" s="196"/>
      <c r="L161" s="196"/>
      <c r="M161" s="196"/>
      <c r="N161" s="196"/>
      <c r="AD161" s="196"/>
      <c r="AE161" s="196"/>
      <c r="AF161" s="196"/>
      <c r="AG161" s="196"/>
      <c r="AH161" s="196"/>
      <c r="AI161" s="196"/>
      <c r="AJ161" s="196"/>
      <c r="AK161" s="196"/>
      <c r="AL161" s="196"/>
      <c r="AM161" s="196"/>
      <c r="AN161" s="196"/>
      <c r="AO161" s="196"/>
      <c r="AP161" s="196"/>
      <c r="AQ161" s="196"/>
    </row>
    <row r="162" spans="2:43" ht="12.75" customHeight="1" x14ac:dyDescent="0.2">
      <c r="B162" s="196"/>
      <c r="C162" s="196"/>
      <c r="D162" s="196"/>
      <c r="E162" s="196"/>
      <c r="F162" s="198"/>
      <c r="G162" s="198"/>
      <c r="H162" s="198"/>
      <c r="I162" s="198"/>
      <c r="J162" s="196"/>
      <c r="K162" s="196"/>
      <c r="L162" s="196"/>
      <c r="M162" s="196"/>
      <c r="N162" s="196"/>
      <c r="AD162" s="196"/>
      <c r="AE162" s="196"/>
      <c r="AF162" s="196"/>
      <c r="AG162" s="196"/>
      <c r="AH162" s="196"/>
      <c r="AI162" s="196"/>
      <c r="AJ162" s="196"/>
      <c r="AK162" s="196"/>
      <c r="AL162" s="196"/>
      <c r="AM162" s="196"/>
      <c r="AN162" s="196"/>
      <c r="AO162" s="196"/>
      <c r="AP162" s="196"/>
      <c r="AQ162" s="196"/>
    </row>
    <row r="163" spans="2:43" ht="12.75" customHeight="1" x14ac:dyDescent="0.2">
      <c r="P163" s="199"/>
      <c r="Q163" s="199"/>
      <c r="R163" s="199"/>
      <c r="S163" s="199"/>
      <c r="T163" s="199"/>
      <c r="U163" s="199"/>
      <c r="V163" s="199"/>
      <c r="W163" s="199"/>
      <c r="X163" s="199"/>
      <c r="Y163" s="199"/>
      <c r="Z163" s="199"/>
      <c r="AA163" s="199"/>
      <c r="AB163" s="199"/>
      <c r="AD163" s="196"/>
      <c r="AE163" s="196"/>
      <c r="AF163" s="196"/>
      <c r="AG163" s="196"/>
      <c r="AH163" s="196"/>
      <c r="AI163" s="196"/>
      <c r="AJ163" s="196"/>
      <c r="AK163" s="196"/>
      <c r="AL163" s="196"/>
      <c r="AM163" s="196"/>
      <c r="AN163" s="196"/>
      <c r="AO163" s="196"/>
      <c r="AP163" s="196"/>
      <c r="AQ163" s="196"/>
    </row>
    <row r="164" spans="2:43" ht="12.75" customHeight="1" x14ac:dyDescent="0.2">
      <c r="P164" s="199"/>
      <c r="Q164" s="199"/>
      <c r="R164" s="199"/>
      <c r="S164" s="199"/>
      <c r="T164" s="199"/>
      <c r="U164" s="199"/>
      <c r="V164" s="199"/>
      <c r="W164" s="199"/>
      <c r="X164" s="199"/>
      <c r="Y164" s="199"/>
      <c r="Z164" s="199"/>
      <c r="AA164" s="199"/>
      <c r="AB164" s="199"/>
      <c r="AE164" s="196"/>
      <c r="AF164" s="196"/>
      <c r="AG164" s="196"/>
      <c r="AH164" s="196"/>
      <c r="AI164" s="196"/>
      <c r="AJ164" s="196"/>
      <c r="AK164" s="196"/>
      <c r="AL164" s="196"/>
      <c r="AM164" s="196"/>
      <c r="AN164" s="196"/>
      <c r="AO164" s="196"/>
      <c r="AP164" s="196"/>
      <c r="AQ164" s="196"/>
    </row>
    <row r="165" spans="2:43" x14ac:dyDescent="0.2">
      <c r="AE165" s="196"/>
      <c r="AF165" s="196"/>
      <c r="AG165" s="196"/>
      <c r="AH165" s="196"/>
      <c r="AI165" s="196"/>
      <c r="AJ165" s="196"/>
      <c r="AK165" s="196"/>
      <c r="AL165" s="196"/>
      <c r="AM165" s="196"/>
      <c r="AN165" s="196"/>
      <c r="AO165" s="196"/>
      <c r="AP165" s="196"/>
      <c r="AQ165" s="196"/>
    </row>
    <row r="166" spans="2:43" x14ac:dyDescent="0.2">
      <c r="AE166" s="196"/>
      <c r="AF166" s="196"/>
      <c r="AG166" s="196"/>
      <c r="AH166" s="196"/>
      <c r="AI166" s="196"/>
      <c r="AJ166" s="196"/>
      <c r="AK166" s="196"/>
      <c r="AL166" s="196"/>
      <c r="AM166" s="196"/>
      <c r="AN166" s="196"/>
      <c r="AO166" s="196"/>
      <c r="AP166" s="196"/>
      <c r="AQ166" s="196"/>
    </row>
    <row r="167" spans="2:43" x14ac:dyDescent="0.2">
      <c r="AE167" s="196"/>
      <c r="AF167" s="196"/>
      <c r="AG167" s="196"/>
      <c r="AH167" s="196"/>
      <c r="AI167" s="196"/>
      <c r="AJ167" s="196"/>
      <c r="AK167" s="196"/>
      <c r="AL167" s="196"/>
      <c r="AM167" s="196"/>
      <c r="AN167" s="196"/>
      <c r="AO167" s="196"/>
      <c r="AP167" s="196"/>
      <c r="AQ167" s="196"/>
    </row>
    <row r="168" spans="2:43" x14ac:dyDescent="0.2">
      <c r="AE168" s="196"/>
      <c r="AF168" s="196"/>
      <c r="AG168" s="196"/>
      <c r="AH168" s="196"/>
      <c r="AI168" s="196"/>
      <c r="AJ168" s="196"/>
      <c r="AK168" s="196"/>
      <c r="AL168" s="196"/>
      <c r="AM168" s="196"/>
      <c r="AN168" s="196"/>
      <c r="AO168" s="196"/>
      <c r="AP168" s="196"/>
      <c r="AQ168" s="196"/>
    </row>
    <row r="169" spans="2:43" x14ac:dyDescent="0.2">
      <c r="H169" s="200"/>
      <c r="AE169" s="196"/>
      <c r="AF169" s="196"/>
      <c r="AG169" s="196"/>
      <c r="AH169" s="196"/>
      <c r="AI169" s="196"/>
      <c r="AJ169" s="196"/>
      <c r="AK169" s="196"/>
      <c r="AL169" s="196"/>
      <c r="AM169" s="196"/>
      <c r="AN169" s="196"/>
      <c r="AO169" s="196"/>
      <c r="AP169" s="196"/>
      <c r="AQ169" s="196"/>
    </row>
    <row r="170" spans="2:43" x14ac:dyDescent="0.2">
      <c r="AE170" s="197"/>
      <c r="AF170" s="197"/>
      <c r="AG170" s="197"/>
      <c r="AH170" s="197"/>
      <c r="AI170" s="197"/>
      <c r="AJ170" s="197"/>
      <c r="AK170" s="197"/>
      <c r="AL170" s="197"/>
      <c r="AM170" s="197"/>
      <c r="AN170" s="197"/>
      <c r="AO170" s="197"/>
      <c r="AP170" s="197"/>
      <c r="AQ170" s="197"/>
    </row>
    <row r="171" spans="2:43" x14ac:dyDescent="0.2">
      <c r="AE171" s="201"/>
      <c r="AF171" s="201"/>
      <c r="AG171" s="201"/>
      <c r="AH171" s="201"/>
      <c r="AI171" s="201"/>
      <c r="AJ171" s="201"/>
      <c r="AK171" s="201"/>
      <c r="AL171" s="201"/>
      <c r="AM171" s="201"/>
      <c r="AN171" s="201"/>
      <c r="AO171" s="201"/>
      <c r="AP171" s="201"/>
      <c r="AQ171" s="201"/>
    </row>
    <row r="172" spans="2:43" x14ac:dyDescent="0.2">
      <c r="AE172" s="201"/>
      <c r="AF172" s="201"/>
      <c r="AG172" s="201"/>
      <c r="AH172" s="201"/>
      <c r="AI172" s="201"/>
      <c r="AJ172" s="201"/>
      <c r="AK172" s="201"/>
      <c r="AL172" s="201"/>
      <c r="AM172" s="201"/>
      <c r="AN172" s="201"/>
      <c r="AO172" s="201"/>
      <c r="AP172" s="201"/>
      <c r="AQ172" s="201"/>
    </row>
    <row r="173" spans="2:43" x14ac:dyDescent="0.2">
      <c r="AE173" s="201"/>
      <c r="AF173" s="201"/>
      <c r="AG173" s="201"/>
      <c r="AH173" s="201"/>
      <c r="AI173" s="201"/>
      <c r="AJ173" s="201"/>
      <c r="AK173" s="201"/>
      <c r="AL173" s="201"/>
      <c r="AM173" s="201"/>
      <c r="AN173" s="201"/>
      <c r="AO173" s="201"/>
      <c r="AP173" s="201"/>
      <c r="AQ173" s="201"/>
    </row>
    <row r="174" spans="2:43" x14ac:dyDescent="0.2">
      <c r="AE174" s="201"/>
      <c r="AF174" s="201"/>
      <c r="AG174" s="201"/>
      <c r="AH174" s="201"/>
      <c r="AI174" s="201"/>
      <c r="AJ174" s="201"/>
      <c r="AK174" s="201"/>
      <c r="AL174" s="201"/>
      <c r="AM174" s="201"/>
      <c r="AN174" s="201"/>
      <c r="AO174" s="201"/>
      <c r="AP174" s="201"/>
      <c r="AQ174" s="201"/>
    </row>
    <row r="175" spans="2:43" x14ac:dyDescent="0.2">
      <c r="AE175" s="201"/>
      <c r="AF175" s="201"/>
      <c r="AG175" s="201"/>
      <c r="AH175" s="201"/>
      <c r="AI175" s="201"/>
      <c r="AJ175" s="201"/>
      <c r="AK175" s="201"/>
      <c r="AL175" s="201"/>
      <c r="AM175" s="201"/>
      <c r="AN175" s="201"/>
      <c r="AO175" s="201"/>
      <c r="AP175" s="201"/>
      <c r="AQ175" s="201"/>
    </row>
    <row r="176" spans="2:43" x14ac:dyDescent="0.2">
      <c r="AE176" s="201"/>
      <c r="AF176" s="201"/>
      <c r="AG176" s="201"/>
      <c r="AH176" s="201"/>
      <c r="AI176" s="201"/>
      <c r="AJ176" s="201"/>
      <c r="AK176" s="201"/>
      <c r="AL176" s="201"/>
      <c r="AM176" s="201"/>
      <c r="AN176" s="201"/>
      <c r="AO176" s="201"/>
      <c r="AP176" s="201"/>
      <c r="AQ176" s="201"/>
    </row>
    <row r="177" spans="31:43" x14ac:dyDescent="0.2">
      <c r="AE177" s="201"/>
      <c r="AF177" s="201"/>
      <c r="AG177" s="201"/>
      <c r="AH177" s="201"/>
      <c r="AI177" s="201"/>
      <c r="AJ177" s="201"/>
      <c r="AK177" s="201"/>
      <c r="AL177" s="201"/>
      <c r="AM177" s="201"/>
      <c r="AN177" s="201"/>
      <c r="AO177" s="201"/>
      <c r="AP177" s="201"/>
      <c r="AQ177" s="201"/>
    </row>
    <row r="178" spans="31:43" x14ac:dyDescent="0.2">
      <c r="AE178" s="201"/>
      <c r="AF178" s="201"/>
      <c r="AG178" s="201"/>
      <c r="AH178" s="201"/>
      <c r="AI178" s="201"/>
      <c r="AJ178" s="201"/>
      <c r="AK178" s="201"/>
      <c r="AL178" s="201"/>
      <c r="AM178" s="201"/>
      <c r="AN178" s="201"/>
      <c r="AO178" s="201"/>
      <c r="AP178" s="201"/>
      <c r="AQ178" s="201"/>
    </row>
    <row r="179" spans="31:43" x14ac:dyDescent="0.2">
      <c r="AE179" s="201"/>
      <c r="AF179" s="201"/>
      <c r="AG179" s="201"/>
      <c r="AH179" s="201"/>
      <c r="AI179" s="201"/>
      <c r="AJ179" s="201"/>
      <c r="AK179" s="201"/>
      <c r="AL179" s="201"/>
      <c r="AM179" s="201"/>
      <c r="AN179" s="201"/>
      <c r="AO179" s="201"/>
      <c r="AP179" s="201"/>
      <c r="AQ179" s="201"/>
    </row>
    <row r="180" spans="31:43" x14ac:dyDescent="0.2">
      <c r="AE180" s="201"/>
      <c r="AF180" s="201"/>
      <c r="AG180" s="201"/>
      <c r="AH180" s="201"/>
      <c r="AI180" s="201"/>
      <c r="AJ180" s="201"/>
      <c r="AK180" s="201"/>
      <c r="AL180" s="201"/>
      <c r="AM180" s="201"/>
      <c r="AN180" s="201"/>
      <c r="AO180" s="201"/>
      <c r="AP180" s="201"/>
      <c r="AQ180" s="201"/>
    </row>
    <row r="181" spans="31:43" x14ac:dyDescent="0.2">
      <c r="AE181" s="201"/>
      <c r="AF181" s="201"/>
      <c r="AG181" s="201"/>
      <c r="AH181" s="201"/>
      <c r="AI181" s="201"/>
      <c r="AJ181" s="201"/>
      <c r="AK181" s="201"/>
      <c r="AL181" s="201"/>
      <c r="AM181" s="201"/>
      <c r="AN181" s="201"/>
      <c r="AO181" s="201"/>
      <c r="AP181" s="201"/>
      <c r="AQ181" s="201"/>
    </row>
    <row r="182" spans="31:43" x14ac:dyDescent="0.2">
      <c r="AE182" s="201"/>
      <c r="AF182" s="201"/>
      <c r="AG182" s="201"/>
      <c r="AH182" s="201"/>
      <c r="AI182" s="201"/>
      <c r="AJ182" s="201"/>
      <c r="AK182" s="201"/>
      <c r="AL182" s="201"/>
      <c r="AM182" s="201"/>
      <c r="AN182" s="201"/>
      <c r="AO182" s="201"/>
      <c r="AP182" s="201"/>
      <c r="AQ182" s="201"/>
    </row>
    <row r="183" spans="31:43" x14ac:dyDescent="0.2">
      <c r="AE183" s="201"/>
      <c r="AF183" s="201"/>
      <c r="AG183" s="201"/>
      <c r="AH183" s="201"/>
      <c r="AI183" s="201"/>
      <c r="AJ183" s="201"/>
      <c r="AK183" s="201"/>
      <c r="AL183" s="201"/>
      <c r="AM183" s="201"/>
      <c r="AN183" s="201"/>
      <c r="AO183" s="201"/>
      <c r="AP183" s="201"/>
      <c r="AQ183" s="201"/>
    </row>
    <row r="184" spans="31:43" x14ac:dyDescent="0.2">
      <c r="AE184" s="201"/>
      <c r="AF184" s="201"/>
      <c r="AG184" s="201"/>
      <c r="AH184" s="201"/>
      <c r="AI184" s="201"/>
      <c r="AJ184" s="201"/>
      <c r="AK184" s="201"/>
      <c r="AL184" s="201"/>
      <c r="AM184" s="201"/>
      <c r="AN184" s="201"/>
      <c r="AO184" s="201"/>
      <c r="AP184" s="201"/>
      <c r="AQ184" s="201"/>
    </row>
    <row r="185" spans="31:43" x14ac:dyDescent="0.2">
      <c r="AE185" s="201"/>
      <c r="AF185" s="201"/>
      <c r="AG185" s="201"/>
      <c r="AH185" s="201"/>
      <c r="AI185" s="201"/>
      <c r="AJ185" s="201"/>
      <c r="AK185" s="201"/>
      <c r="AL185" s="201"/>
      <c r="AM185" s="201"/>
      <c r="AN185" s="201"/>
      <c r="AO185" s="201"/>
      <c r="AP185" s="201"/>
      <c r="AQ185" s="201"/>
    </row>
    <row r="186" spans="31:43" x14ac:dyDescent="0.2">
      <c r="AE186" s="201"/>
      <c r="AF186" s="201"/>
      <c r="AG186" s="201"/>
      <c r="AH186" s="201"/>
      <c r="AI186" s="201"/>
      <c r="AJ186" s="201"/>
      <c r="AK186" s="201"/>
      <c r="AL186" s="201"/>
      <c r="AM186" s="201"/>
      <c r="AN186" s="201"/>
      <c r="AO186" s="201"/>
      <c r="AP186" s="201"/>
      <c r="AQ186" s="201"/>
    </row>
    <row r="187" spans="31:43" x14ac:dyDescent="0.2">
      <c r="AE187" s="201"/>
      <c r="AF187" s="201"/>
      <c r="AG187" s="201"/>
      <c r="AH187" s="201"/>
      <c r="AI187" s="201"/>
      <c r="AJ187" s="201"/>
      <c r="AK187" s="201"/>
      <c r="AL187" s="201"/>
      <c r="AM187" s="201"/>
      <c r="AN187" s="201"/>
      <c r="AO187" s="201"/>
      <c r="AP187" s="201"/>
      <c r="AQ187" s="201"/>
    </row>
    <row r="188" spans="31:43" x14ac:dyDescent="0.2">
      <c r="AE188" s="201"/>
      <c r="AF188" s="201"/>
      <c r="AG188" s="201"/>
      <c r="AH188" s="201"/>
      <c r="AI188" s="201"/>
      <c r="AJ188" s="201"/>
      <c r="AK188" s="201"/>
      <c r="AL188" s="201"/>
      <c r="AM188" s="201"/>
      <c r="AN188" s="201"/>
      <c r="AO188" s="201"/>
      <c r="AP188" s="201"/>
      <c r="AQ188" s="201"/>
    </row>
    <row r="189" spans="31:43" x14ac:dyDescent="0.2">
      <c r="AE189" s="201"/>
      <c r="AF189" s="201"/>
      <c r="AG189" s="201"/>
      <c r="AH189" s="201"/>
      <c r="AI189" s="201"/>
      <c r="AJ189" s="201"/>
      <c r="AK189" s="201"/>
      <c r="AL189" s="201"/>
      <c r="AM189" s="201"/>
      <c r="AN189" s="201"/>
      <c r="AO189" s="201"/>
      <c r="AP189" s="201"/>
      <c r="AQ189" s="201"/>
    </row>
    <row r="190" spans="31:43" x14ac:dyDescent="0.2">
      <c r="AE190" s="201"/>
      <c r="AF190" s="201"/>
      <c r="AG190" s="201"/>
      <c r="AH190" s="201"/>
      <c r="AI190" s="201"/>
      <c r="AJ190" s="201"/>
      <c r="AK190" s="201"/>
      <c r="AL190" s="201"/>
      <c r="AM190" s="201"/>
      <c r="AN190" s="201"/>
      <c r="AO190" s="201"/>
      <c r="AP190" s="201"/>
      <c r="AQ190" s="201"/>
    </row>
    <row r="191" spans="31:43" x14ac:dyDescent="0.2">
      <c r="AE191" s="201"/>
      <c r="AF191" s="201"/>
      <c r="AG191" s="201"/>
      <c r="AH191" s="201"/>
      <c r="AI191" s="201"/>
      <c r="AJ191" s="201"/>
      <c r="AK191" s="201"/>
      <c r="AL191" s="201"/>
      <c r="AM191" s="201"/>
      <c r="AN191" s="201"/>
      <c r="AO191" s="201"/>
      <c r="AP191" s="201"/>
      <c r="AQ191" s="201"/>
    </row>
    <row r="192" spans="31:43" x14ac:dyDescent="0.2">
      <c r="AE192" s="201"/>
      <c r="AF192" s="201"/>
      <c r="AG192" s="201"/>
      <c r="AH192" s="201"/>
      <c r="AI192" s="201"/>
      <c r="AJ192" s="201"/>
      <c r="AK192" s="201"/>
      <c r="AL192" s="201"/>
      <c r="AM192" s="201"/>
      <c r="AN192" s="201"/>
      <c r="AO192" s="201"/>
      <c r="AP192" s="201"/>
      <c r="AQ192" s="201"/>
    </row>
    <row r="193" spans="31:43" x14ac:dyDescent="0.2">
      <c r="AE193" s="196"/>
      <c r="AF193" s="196"/>
      <c r="AG193" s="196"/>
      <c r="AH193" s="196"/>
      <c r="AI193" s="196"/>
      <c r="AJ193" s="196"/>
      <c r="AK193" s="196"/>
      <c r="AL193" s="196"/>
      <c r="AM193" s="196"/>
      <c r="AN193" s="196"/>
      <c r="AO193" s="196"/>
      <c r="AP193" s="196"/>
      <c r="AQ193" s="196"/>
    </row>
    <row r="194" spans="31:43" x14ac:dyDescent="0.2">
      <c r="AE194" s="196"/>
      <c r="AF194" s="196"/>
      <c r="AG194" s="196"/>
      <c r="AH194" s="196"/>
      <c r="AI194" s="196"/>
      <c r="AJ194" s="196"/>
      <c r="AK194" s="196"/>
      <c r="AL194" s="196"/>
      <c r="AM194" s="196"/>
      <c r="AN194" s="196"/>
      <c r="AO194" s="196"/>
      <c r="AP194" s="196"/>
      <c r="AQ194" s="196"/>
    </row>
    <row r="195" spans="31:43" x14ac:dyDescent="0.2">
      <c r="AE195" s="196"/>
      <c r="AF195" s="196"/>
      <c r="AG195" s="196"/>
      <c r="AH195" s="196"/>
      <c r="AI195" s="196"/>
      <c r="AJ195" s="196"/>
      <c r="AK195" s="196"/>
      <c r="AL195" s="196"/>
      <c r="AM195" s="196"/>
      <c r="AN195" s="196"/>
      <c r="AO195" s="196"/>
      <c r="AP195" s="196"/>
      <c r="AQ195" s="196"/>
    </row>
    <row r="196" spans="31:43" x14ac:dyDescent="0.2">
      <c r="AE196" s="196"/>
      <c r="AF196" s="196"/>
      <c r="AG196" s="196"/>
      <c r="AH196" s="196"/>
      <c r="AI196" s="196"/>
      <c r="AJ196" s="196"/>
      <c r="AK196" s="196"/>
      <c r="AL196" s="196"/>
      <c r="AM196" s="196"/>
      <c r="AN196" s="196"/>
      <c r="AO196" s="196"/>
      <c r="AP196" s="196"/>
      <c r="AQ196" s="196"/>
    </row>
    <row r="197" spans="31:43" x14ac:dyDescent="0.2"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</row>
    <row r="198" spans="31:43" x14ac:dyDescent="0.2">
      <c r="AE198" s="202"/>
      <c r="AF198" s="202"/>
      <c r="AG198" s="202"/>
      <c r="AH198" s="202"/>
      <c r="AI198" s="202"/>
      <c r="AJ198" s="202"/>
      <c r="AK198" s="202"/>
      <c r="AL198" s="202"/>
      <c r="AM198" s="202"/>
      <c r="AN198" s="202"/>
      <c r="AO198" s="202"/>
      <c r="AP198" s="202"/>
      <c r="AQ198" s="202"/>
    </row>
    <row r="199" spans="31:43" x14ac:dyDescent="0.2">
      <c r="AE199" s="201"/>
      <c r="AF199" s="197"/>
      <c r="AG199" s="197"/>
      <c r="AH199" s="197"/>
      <c r="AI199" s="197"/>
      <c r="AJ199" s="197"/>
      <c r="AK199" s="197"/>
      <c r="AL199" s="197"/>
      <c r="AM199" s="197"/>
      <c r="AN199" s="197"/>
      <c r="AO199" s="197"/>
      <c r="AP199" s="197"/>
      <c r="AQ199" s="197"/>
    </row>
    <row r="200" spans="31:43" x14ac:dyDescent="0.2">
      <c r="AE200" s="197"/>
      <c r="AF200" s="197"/>
      <c r="AG200" s="197"/>
      <c r="AH200" s="197"/>
      <c r="AI200" s="197"/>
      <c r="AJ200" s="197"/>
      <c r="AK200" s="197"/>
      <c r="AL200" s="197"/>
      <c r="AM200" s="197"/>
      <c r="AN200" s="197"/>
      <c r="AO200" s="197"/>
      <c r="AP200" s="197"/>
      <c r="AQ200" s="197"/>
    </row>
    <row r="201" spans="31:43" ht="12.75" customHeight="1" x14ac:dyDescent="0.2">
      <c r="AE201" s="203"/>
      <c r="AF201" s="203"/>
      <c r="AG201" s="203"/>
      <c r="AH201" s="203"/>
      <c r="AI201" s="203"/>
      <c r="AJ201" s="203"/>
      <c r="AK201" s="203"/>
      <c r="AL201" s="203"/>
      <c r="AM201" s="203"/>
      <c r="AN201" s="203"/>
      <c r="AO201" s="203"/>
      <c r="AP201" s="203"/>
      <c r="AQ201" s="203"/>
    </row>
    <row r="202" spans="31:43" ht="12.75" customHeight="1" x14ac:dyDescent="0.2">
      <c r="AE202" s="203"/>
      <c r="AF202" s="203"/>
      <c r="AG202" s="203"/>
      <c r="AH202" s="203"/>
      <c r="AI202" s="203"/>
      <c r="AJ202" s="203"/>
      <c r="AK202" s="203"/>
      <c r="AL202" s="203"/>
      <c r="AM202" s="203"/>
      <c r="AN202" s="203"/>
      <c r="AO202" s="203"/>
      <c r="AP202" s="203"/>
      <c r="AQ202" s="203"/>
    </row>
    <row r="203" spans="31:43" ht="12.75" customHeight="1" x14ac:dyDescent="0.2">
      <c r="AE203" s="203"/>
      <c r="AF203" s="203"/>
      <c r="AG203" s="203"/>
      <c r="AH203" s="203"/>
      <c r="AI203" s="203"/>
      <c r="AJ203" s="203"/>
      <c r="AK203" s="203"/>
      <c r="AL203" s="203"/>
      <c r="AM203" s="203"/>
      <c r="AN203" s="203"/>
      <c r="AO203" s="203"/>
      <c r="AP203" s="203"/>
      <c r="AQ203" s="203"/>
    </row>
    <row r="204" spans="31:43" ht="12.75" customHeight="1" x14ac:dyDescent="0.2">
      <c r="AE204" s="203"/>
      <c r="AF204" s="203"/>
      <c r="AG204" s="203"/>
      <c r="AH204" s="203"/>
      <c r="AI204" s="203"/>
      <c r="AJ204" s="203"/>
      <c r="AK204" s="203"/>
      <c r="AL204" s="203"/>
      <c r="AM204" s="203"/>
      <c r="AN204" s="203"/>
      <c r="AO204" s="203"/>
      <c r="AP204" s="203"/>
      <c r="AQ204" s="203"/>
    </row>
    <row r="205" spans="31:43" ht="12.75" customHeight="1" x14ac:dyDescent="0.2">
      <c r="AE205" s="204"/>
      <c r="AF205" s="204"/>
      <c r="AG205" s="204"/>
      <c r="AH205" s="204"/>
      <c r="AI205" s="204"/>
      <c r="AJ205" s="204"/>
      <c r="AK205" s="204"/>
      <c r="AL205" s="204"/>
      <c r="AM205" s="204"/>
      <c r="AN205" s="204"/>
      <c r="AO205" s="204"/>
      <c r="AP205" s="204"/>
      <c r="AQ205" s="204"/>
    </row>
    <row r="206" spans="31:43" ht="12.75" customHeight="1" x14ac:dyDescent="0.2">
      <c r="AE206" s="204"/>
      <c r="AF206" s="204"/>
      <c r="AG206" s="204"/>
      <c r="AH206" s="204"/>
      <c r="AI206" s="204"/>
      <c r="AJ206" s="204"/>
      <c r="AK206" s="204"/>
      <c r="AL206" s="204"/>
      <c r="AM206" s="204"/>
      <c r="AN206" s="204"/>
      <c r="AO206" s="204"/>
      <c r="AP206" s="204"/>
      <c r="AQ206" s="204"/>
    </row>
    <row r="207" spans="31:43" ht="14.25" x14ac:dyDescent="0.2">
      <c r="AE207" s="204"/>
      <c r="AF207" s="204"/>
      <c r="AG207" s="204"/>
      <c r="AH207" s="204"/>
      <c r="AI207" s="204"/>
      <c r="AJ207" s="204"/>
      <c r="AK207" s="204"/>
      <c r="AL207" s="204"/>
      <c r="AM207" s="204"/>
      <c r="AN207" s="204"/>
      <c r="AO207" s="204"/>
      <c r="AP207" s="204"/>
      <c r="AQ207" s="204"/>
    </row>
    <row r="208" spans="31:43" ht="15" x14ac:dyDescent="0.2">
      <c r="AE208" s="205"/>
      <c r="AF208" s="205"/>
      <c r="AG208" s="205"/>
      <c r="AH208" s="205"/>
      <c r="AI208" s="205"/>
      <c r="AJ208" s="205"/>
      <c r="AK208" s="205"/>
      <c r="AL208" s="205"/>
      <c r="AM208" s="205"/>
      <c r="AN208" s="205"/>
      <c r="AO208" s="205"/>
      <c r="AP208" s="205"/>
      <c r="AQ208" s="205"/>
    </row>
    <row r="209" spans="31:43" ht="12.75" customHeight="1" x14ac:dyDescent="0.2">
      <c r="AE209" s="206"/>
      <c r="AF209" s="203"/>
      <c r="AG209" s="203"/>
      <c r="AH209" s="203"/>
      <c r="AI209" s="203"/>
      <c r="AJ209" s="203"/>
      <c r="AK209" s="203"/>
      <c r="AL209" s="203"/>
      <c r="AM209" s="203"/>
      <c r="AN209" s="203"/>
      <c r="AO209" s="203"/>
      <c r="AP209" s="203"/>
      <c r="AQ209" s="203"/>
    </row>
    <row r="210" spans="31:43" ht="12.75" customHeight="1" x14ac:dyDescent="0.2">
      <c r="AE210" s="203"/>
      <c r="AF210" s="203"/>
      <c r="AG210" s="203"/>
      <c r="AH210" s="203"/>
      <c r="AI210" s="203"/>
      <c r="AJ210" s="203"/>
      <c r="AK210" s="203"/>
      <c r="AL210" s="203"/>
      <c r="AM210" s="203"/>
      <c r="AN210" s="203"/>
      <c r="AO210" s="203"/>
      <c r="AP210" s="203"/>
      <c r="AQ210" s="203"/>
    </row>
    <row r="211" spans="31:43" ht="12.75" customHeight="1" x14ac:dyDescent="0.2">
      <c r="AE211" s="203"/>
      <c r="AF211" s="203"/>
      <c r="AG211" s="203"/>
      <c r="AH211" s="203"/>
      <c r="AI211" s="203"/>
      <c r="AJ211" s="203"/>
      <c r="AK211" s="203"/>
      <c r="AL211" s="203"/>
      <c r="AM211" s="203"/>
      <c r="AN211" s="203"/>
      <c r="AO211" s="203"/>
      <c r="AP211" s="203"/>
      <c r="AQ211" s="203"/>
    </row>
    <row r="212" spans="31:43" ht="12.75" customHeight="1" x14ac:dyDescent="0.2">
      <c r="AE212" s="203"/>
      <c r="AF212" s="203"/>
      <c r="AG212" s="203"/>
      <c r="AH212" s="203"/>
      <c r="AI212" s="203"/>
      <c r="AJ212" s="203"/>
      <c r="AK212" s="203"/>
      <c r="AL212" s="203"/>
      <c r="AM212" s="203"/>
      <c r="AN212" s="203"/>
      <c r="AO212" s="203"/>
      <c r="AP212" s="203"/>
      <c r="AQ212" s="203"/>
    </row>
    <row r="213" spans="31:43" ht="12.75" customHeight="1" x14ac:dyDescent="0.2">
      <c r="AE213" s="203"/>
      <c r="AF213" s="203"/>
      <c r="AG213" s="203"/>
      <c r="AH213" s="203"/>
      <c r="AI213" s="203"/>
      <c r="AJ213" s="203"/>
      <c r="AK213" s="203"/>
      <c r="AL213" s="203"/>
      <c r="AM213" s="203"/>
      <c r="AN213" s="203"/>
      <c r="AO213" s="203"/>
      <c r="AP213" s="203"/>
      <c r="AQ213" s="203"/>
    </row>
  </sheetData>
  <mergeCells count="223">
    <mergeCell ref="X79:Y80"/>
    <mergeCell ref="Z79:AB80"/>
    <mergeCell ref="P81:AB81"/>
    <mergeCell ref="P82:AB103"/>
    <mergeCell ref="B103:N103"/>
    <mergeCell ref="B104:N121"/>
    <mergeCell ref="B101:E102"/>
    <mergeCell ref="F101:J102"/>
    <mergeCell ref="K101:N102"/>
    <mergeCell ref="L93:N94"/>
    <mergeCell ref="B88:D89"/>
    <mergeCell ref="E88:G89"/>
    <mergeCell ref="H88:I89"/>
    <mergeCell ref="J88:K89"/>
    <mergeCell ref="L88:N89"/>
    <mergeCell ref="O88:O89"/>
    <mergeCell ref="B86:D87"/>
    <mergeCell ref="E86:G87"/>
    <mergeCell ref="H86:I87"/>
    <mergeCell ref="J86:K87"/>
    <mergeCell ref="L86:N87"/>
    <mergeCell ref="B84:N84"/>
    <mergeCell ref="B85:N85"/>
    <mergeCell ref="P110:AB111"/>
    <mergeCell ref="P15:AB15"/>
    <mergeCell ref="P13:S14"/>
    <mergeCell ref="T13:W14"/>
    <mergeCell ref="X13:AB14"/>
    <mergeCell ref="B100:E100"/>
    <mergeCell ref="F100:J100"/>
    <mergeCell ref="K100:N100"/>
    <mergeCell ref="B95:N95"/>
    <mergeCell ref="B96:H96"/>
    <mergeCell ref="I96:N96"/>
    <mergeCell ref="B97:H98"/>
    <mergeCell ref="I97:N98"/>
    <mergeCell ref="B99:N99"/>
    <mergeCell ref="N69:N70"/>
    <mergeCell ref="N71:N72"/>
    <mergeCell ref="B67:G72"/>
    <mergeCell ref="H69:J70"/>
    <mergeCell ref="H71:J72"/>
    <mergeCell ref="K69:K70"/>
    <mergeCell ref="K71:K72"/>
    <mergeCell ref="L69:M70"/>
    <mergeCell ref="V17:W19"/>
    <mergeCell ref="X17:Y19"/>
    <mergeCell ref="Z17:AA19"/>
    <mergeCell ref="B15:B17"/>
    <mergeCell ref="C15:N17"/>
    <mergeCell ref="C18:H18"/>
    <mergeCell ref="I18:N18"/>
    <mergeCell ref="B151:D152"/>
    <mergeCell ref="E151:G152"/>
    <mergeCell ref="H151:J152"/>
    <mergeCell ref="K151:N152"/>
    <mergeCell ref="B142:N142"/>
    <mergeCell ref="B143:N143"/>
    <mergeCell ref="B144:D145"/>
    <mergeCell ref="E144:G145"/>
    <mergeCell ref="H144:J145"/>
    <mergeCell ref="K144:N145"/>
    <mergeCell ref="B122:N141"/>
    <mergeCell ref="B90:N90"/>
    <mergeCell ref="B91:D92"/>
    <mergeCell ref="E91:H92"/>
    <mergeCell ref="I91:K92"/>
    <mergeCell ref="L91:N92"/>
    <mergeCell ref="B93:D94"/>
    <mergeCell ref="E93:H94"/>
    <mergeCell ref="I93:K94"/>
    <mergeCell ref="B73:N73"/>
    <mergeCell ref="B153:D154"/>
    <mergeCell ref="E153:G154"/>
    <mergeCell ref="H153:J154"/>
    <mergeCell ref="K153:N154"/>
    <mergeCell ref="E146:G147"/>
    <mergeCell ref="H146:J147"/>
    <mergeCell ref="K146:N147"/>
    <mergeCell ref="B148:N148"/>
    <mergeCell ref="B149:D150"/>
    <mergeCell ref="E149:G150"/>
    <mergeCell ref="H149:J150"/>
    <mergeCell ref="K149:N150"/>
    <mergeCell ref="B146:D147"/>
    <mergeCell ref="B74:N79"/>
    <mergeCell ref="B82:N83"/>
    <mergeCell ref="H67:J68"/>
    <mergeCell ref="K67:K68"/>
    <mergeCell ref="L67:M68"/>
    <mergeCell ref="N67:N68"/>
    <mergeCell ref="B65:B66"/>
    <mergeCell ref="C65:G66"/>
    <mergeCell ref="H65:J66"/>
    <mergeCell ref="K65:K66"/>
    <mergeCell ref="L65:M66"/>
    <mergeCell ref="N65:N66"/>
    <mergeCell ref="L71:M72"/>
    <mergeCell ref="B63:B64"/>
    <mergeCell ref="C63:G64"/>
    <mergeCell ref="H63:J64"/>
    <mergeCell ref="K63:K64"/>
    <mergeCell ref="L63:M64"/>
    <mergeCell ref="N63:N64"/>
    <mergeCell ref="B61:B62"/>
    <mergeCell ref="C61:G62"/>
    <mergeCell ref="H61:J62"/>
    <mergeCell ref="K61:K62"/>
    <mergeCell ref="L61:M62"/>
    <mergeCell ref="N61:N62"/>
    <mergeCell ref="B59:B60"/>
    <mergeCell ref="C59:G60"/>
    <mergeCell ref="H59:J60"/>
    <mergeCell ref="K59:K60"/>
    <mergeCell ref="L59:M60"/>
    <mergeCell ref="N59:N60"/>
    <mergeCell ref="B57:G57"/>
    <mergeCell ref="H57:N57"/>
    <mergeCell ref="C58:G58"/>
    <mergeCell ref="H58:J58"/>
    <mergeCell ref="L58:M58"/>
    <mergeCell ref="B38:N39"/>
    <mergeCell ref="B40:G40"/>
    <mergeCell ref="H40:N40"/>
    <mergeCell ref="B41:G56"/>
    <mergeCell ref="H41:N56"/>
    <mergeCell ref="B32:B33"/>
    <mergeCell ref="C32:E33"/>
    <mergeCell ref="F32:F33"/>
    <mergeCell ref="G32:N33"/>
    <mergeCell ref="B34:B35"/>
    <mergeCell ref="C34:E35"/>
    <mergeCell ref="F34:F35"/>
    <mergeCell ref="G34:N35"/>
    <mergeCell ref="C28:H28"/>
    <mergeCell ref="J28:N28"/>
    <mergeCell ref="C29:H29"/>
    <mergeCell ref="J29:N29"/>
    <mergeCell ref="B30:N30"/>
    <mergeCell ref="C31:E31"/>
    <mergeCell ref="G31:N31"/>
    <mergeCell ref="B26:C26"/>
    <mergeCell ref="D26:H26"/>
    <mergeCell ref="J26:N26"/>
    <mergeCell ref="B27:C27"/>
    <mergeCell ref="D27:H27"/>
    <mergeCell ref="J27:N27"/>
    <mergeCell ref="B21:N22"/>
    <mergeCell ref="B23:H23"/>
    <mergeCell ref="I23:N23"/>
    <mergeCell ref="C24:H24"/>
    <mergeCell ref="J24:N24"/>
    <mergeCell ref="B25:C25"/>
    <mergeCell ref="D25:H25"/>
    <mergeCell ref="J25:N25"/>
    <mergeCell ref="P16:AB16"/>
    <mergeCell ref="P17:Q19"/>
    <mergeCell ref="R17:S19"/>
    <mergeCell ref="T17:U19"/>
    <mergeCell ref="AB17:AB19"/>
    <mergeCell ref="P20:Q21"/>
    <mergeCell ref="R20:S21"/>
    <mergeCell ref="T20:U21"/>
    <mergeCell ref="V20:W21"/>
    <mergeCell ref="X20:Y21"/>
    <mergeCell ref="Z20:AA21"/>
    <mergeCell ref="AB20:AB21"/>
    <mergeCell ref="P22:AB22"/>
    <mergeCell ref="P23:S23"/>
    <mergeCell ref="T23:X23"/>
    <mergeCell ref="Y23:AB23"/>
    <mergeCell ref="C14:N14"/>
    <mergeCell ref="B12:B14"/>
    <mergeCell ref="C12:E13"/>
    <mergeCell ref="F12:H13"/>
    <mergeCell ref="I12:K13"/>
    <mergeCell ref="L12:N13"/>
    <mergeCell ref="B2:E6"/>
    <mergeCell ref="F2:AB6"/>
    <mergeCell ref="B9:N10"/>
    <mergeCell ref="P9:AB9"/>
    <mergeCell ref="C11:E11"/>
    <mergeCell ref="F11:H11"/>
    <mergeCell ref="I11:K11"/>
    <mergeCell ref="L11:N11"/>
    <mergeCell ref="P10:AB10"/>
    <mergeCell ref="P11:S12"/>
    <mergeCell ref="T11:W12"/>
    <mergeCell ref="X11:AB12"/>
    <mergeCell ref="P26:AB26"/>
    <mergeCell ref="P53:AB54"/>
    <mergeCell ref="P55:AB55"/>
    <mergeCell ref="P56:AB76"/>
    <mergeCell ref="P77:Q78"/>
    <mergeCell ref="R77:S78"/>
    <mergeCell ref="T77:U78"/>
    <mergeCell ref="V77:W78"/>
    <mergeCell ref="X77:Y78"/>
    <mergeCell ref="Z77:AB78"/>
    <mergeCell ref="P112:AB115"/>
    <mergeCell ref="P116:AB117"/>
    <mergeCell ref="P118:AB118"/>
    <mergeCell ref="P120:AB124"/>
    <mergeCell ref="Y24:AB25"/>
    <mergeCell ref="T24:X25"/>
    <mergeCell ref="P27:AB50"/>
    <mergeCell ref="P104:Q105"/>
    <mergeCell ref="R104:S105"/>
    <mergeCell ref="T104:U105"/>
    <mergeCell ref="V104:W105"/>
    <mergeCell ref="X104:Y105"/>
    <mergeCell ref="Z104:AB105"/>
    <mergeCell ref="P106:Q107"/>
    <mergeCell ref="R106:S107"/>
    <mergeCell ref="T106:U107"/>
    <mergeCell ref="V106:W107"/>
    <mergeCell ref="X106:Y107"/>
    <mergeCell ref="Z106:AB107"/>
    <mergeCell ref="P79:Q80"/>
    <mergeCell ref="R79:S80"/>
    <mergeCell ref="T79:U80"/>
    <mergeCell ref="V79:W80"/>
    <mergeCell ref="P24:S25"/>
  </mergeCells>
  <conditionalFormatting sqref="B97:H98">
    <cfRule type="expression" dxfId="43" priority="50">
      <formula xml:space="preserve"> AND($B$97&gt;0,L69&lt;0)</formula>
    </cfRule>
    <cfRule type="expression" dxfId="42" priority="51">
      <formula xml:space="preserve"> AND($B$97&lt;0,L69&gt;0)</formula>
    </cfRule>
    <cfRule type="expression" dxfId="41" priority="52">
      <formula xml:space="preserve"> ABS($B$97)&gt;ABS($L$69)</formula>
    </cfRule>
  </conditionalFormatting>
  <conditionalFormatting sqref="I97:N98">
    <cfRule type="expression" dxfId="40" priority="47">
      <formula xml:space="preserve"> AND($I$97&gt;0,$L$71&lt;0)</formula>
    </cfRule>
    <cfRule type="expression" dxfId="39" priority="48">
      <formula xml:space="preserve"> AND($I$97&lt;0,$L$71&gt;0)</formula>
    </cfRule>
    <cfRule type="expression" dxfId="38" priority="49">
      <formula xml:space="preserve"> ABS($I$97)&gt;ABS($L$71)</formula>
    </cfRule>
  </conditionalFormatting>
  <conditionalFormatting sqref="K151:N152">
    <cfRule type="expression" dxfId="37" priority="31">
      <formula>"ABS($K$151)&gt;ABS(Esforços!$G$16)"</formula>
    </cfRule>
  </conditionalFormatting>
  <conditionalFormatting sqref="P24:S25">
    <cfRule type="expression" dxfId="36" priority="9">
      <formula xml:space="preserve"> ABS($P$24)&gt;ABS($L$69)</formula>
    </cfRule>
  </conditionalFormatting>
  <conditionalFormatting sqref="T24:X25">
    <cfRule type="expression" dxfId="35" priority="8">
      <formula xml:space="preserve"> ABS($T$24)&gt;ABS($L$71)</formula>
    </cfRule>
  </conditionalFormatting>
  <pageMargins left="0.25" right="0.25" top="0.75" bottom="0.75" header="0.3" footer="0.3"/>
  <pageSetup paperSize="8" scale="5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imagensRelatorioA3">
                <anchor moveWithCells="1" sizeWithCells="1">
                  <from>
                    <xdr:col>30</xdr:col>
                    <xdr:colOff>85725</xdr:colOff>
                    <xdr:row>8</xdr:row>
                    <xdr:rowOff>19050</xdr:rowOff>
                  </from>
                  <to>
                    <xdr:col>33</xdr:col>
                    <xdr:colOff>19050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ConclusaoA3">
                <anchor moveWithCells="1" sizeWithCells="1">
                  <from>
                    <xdr:col>30</xdr:col>
                    <xdr:colOff>85725</xdr:colOff>
                    <xdr:row>17</xdr:row>
                    <xdr:rowOff>28575</xdr:rowOff>
                  </from>
                  <to>
                    <xdr:col>32</xdr:col>
                    <xdr:colOff>600075</xdr:colOff>
                    <xdr:row>24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" id="{61583FCB-35C3-4D3E-99F2-282DF8BDE23F}">
            <xm:f xml:space="preserve"> AND($B$101&gt;0,Esforços!$G$11&lt;0)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45" id="{DF819CC4-8390-4136-BD0A-D32FDBB024A0}">
            <xm:f xml:space="preserve"> AND($B$101&lt;0,Esforços!$G$11&gt;0)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46" id="{74348F65-EA1C-4AA1-861D-40404D91FEEF}">
            <xm:f xml:space="preserve"> ABS($B$101)&gt;ABS(Esforços!$G$11)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B101:E102</xm:sqref>
        </x14:conditionalFormatting>
        <x14:conditionalFormatting xmlns:xm="http://schemas.microsoft.com/office/excel/2006/main">
          <x14:cfRule type="expression" priority="41" id="{5DA82BA8-31A5-42A2-8D64-2EB93761FD00}">
            <xm:f xml:space="preserve"> AND($F$101&lt;0,Esforços!$G$9&gt;0)</xm:f>
            <x14:dxf>
              <font>
                <color theme="1"/>
              </font>
              <fill>
                <patternFill>
                  <bgColor rgb="FFFFFF00"/>
                </patternFill>
              </fill>
            </x14:dxf>
          </x14:cfRule>
          <x14:cfRule type="expression" priority="42" id="{C8B3EB74-A1EC-4B62-B53D-C355BCDC4806}">
            <xm:f xml:space="preserve"> AND($F$101&gt;0,Esforços!$G$9&lt;0)</xm:f>
            <x14:dxf>
              <font>
                <color theme="1"/>
              </font>
              <fill>
                <patternFill>
                  <bgColor rgb="FFFFFF00"/>
                </patternFill>
              </fill>
            </x14:dxf>
          </x14:cfRule>
          <x14:cfRule type="expression" priority="43" id="{A7DAF1BD-3839-4B2F-BD1A-CE0BA2A20A43}">
            <xm:f xml:space="preserve"> ABS($F$101)&gt;ABS(Esforços!$G$9)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F101:J102</xm:sqref>
        </x14:conditionalFormatting>
        <x14:conditionalFormatting xmlns:xm="http://schemas.microsoft.com/office/excel/2006/main">
          <x14:cfRule type="expression" priority="38" id="{2108E027-F3FC-4C16-8DFF-3123CCC5C13A}">
            <xm:f xml:space="preserve"> AND($K$101&gt;0,Esforços!$G$10&lt;0)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39" id="{5FD321EF-D4C6-403E-A18E-D2F867702A9F}">
            <xm:f xml:space="preserve"> AND($K$101&lt;0,Esforços!$G$10&gt;0)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40" id="{40AC321B-EE94-4C0F-8038-0B7E35685B15}">
            <xm:f xml:space="preserve"> ABS($K$101)&gt;ABS(Esforços!$G$10)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K101:N102</xm:sqref>
        </x14:conditionalFormatting>
        <x14:conditionalFormatting xmlns:xm="http://schemas.microsoft.com/office/excel/2006/main">
          <x14:cfRule type="expression" priority="35" id="{884EAF11-29C8-4A9A-BC51-56D090578F15}">
            <xm:f xml:space="preserve"> AND($E$151&gt;0,Esforços!$G$16&lt;0)</xm:f>
            <x14:dxf>
              <font>
                <color theme="1"/>
              </font>
              <fill>
                <patternFill>
                  <bgColor rgb="FFFFFF00"/>
                </patternFill>
              </fill>
            </x14:dxf>
          </x14:cfRule>
          <x14:cfRule type="expression" priority="36" id="{3C9631CD-E43D-4741-9301-651EA9796D5C}">
            <xm:f xml:space="preserve"> AND($E$151&lt;0,Esforços!$G$16&gt;0)</xm:f>
            <x14:dxf>
              <font>
                <color theme="1"/>
              </font>
              <fill>
                <patternFill>
                  <bgColor rgb="FFFFFF00"/>
                </patternFill>
              </fill>
            </x14:dxf>
          </x14:cfRule>
          <x14:cfRule type="expression" priority="37" id="{105E9651-E92E-439B-A8E3-229318BDB0C4}">
            <xm:f>ABS($E$151)&gt;ABS(Esforços!$G$16)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E151:G152</xm:sqref>
        </x14:conditionalFormatting>
        <x14:conditionalFormatting xmlns:xm="http://schemas.microsoft.com/office/excel/2006/main">
          <x14:cfRule type="expression" priority="32" id="{20E8A533-69E4-452F-9E21-7590AC360BA3}">
            <xm:f>AND($H$151&lt;0,Esforços!$G$14&gt;0)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33" id="{40B90C93-E0AE-4387-8021-0063CF1EF88A}">
            <xm:f>AND($H$151&gt;0,Esforços!$G$14&lt;0)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34" id="{9FB400E4-A210-49BE-810C-89D719F6C57D}">
            <xm:f xml:space="preserve"> ABS($H$151)&gt;ABS(Esforços!$G$14)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H151:J152</xm:sqref>
        </x14:conditionalFormatting>
        <x14:conditionalFormatting xmlns:xm="http://schemas.microsoft.com/office/excel/2006/main">
          <x14:cfRule type="expression" priority="29" id="{FCD73343-A3B4-490D-AFEE-7AFFEF22B999}">
            <xm:f xml:space="preserve"> AND($K$151&lt;0,Esforços!$G$15&gt;0)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30" id="{C2D47058-C5A4-4E30-A9E8-70858BFD5423}">
            <xm:f xml:space="preserve"> AND($K$151&gt;0,Esforços!$G$15&lt;0)</xm:f>
            <x14:dxf>
              <fill>
                <patternFill>
                  <bgColor rgb="FFFFFF00"/>
                </patternFill>
              </fill>
            </x14:dxf>
          </x14:cfRule>
          <xm:sqref>K151:N152</xm:sqref>
        </x14:conditionalFormatting>
        <x14:conditionalFormatting xmlns:xm="http://schemas.microsoft.com/office/excel/2006/main">
          <x14:cfRule type="expression" priority="26" id="{C107DAB6-85DE-429F-90E5-0831D9808A87}">
            <xm:f xml:space="preserve"> AND($K$153&lt;0,Esforços!$G$18&gt;0)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7" id="{51564FCD-B3FD-47C9-A529-7EC810DEB956}">
            <xm:f xml:space="preserve"> AND($K$153&gt;0,Esforços!$G$18&lt;0)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8" id="{535D578F-44A8-4B9E-91FA-71E331D6CA61}">
            <xm:f xml:space="preserve"> ABS($K$153)&gt;ABS(Esforços!$G$18)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K153:N154</xm:sqref>
        </x14:conditionalFormatting>
        <x14:conditionalFormatting xmlns:xm="http://schemas.microsoft.com/office/excel/2006/main">
          <x14:cfRule type="expression" priority="23" id="{8D097725-93DC-45D4-A106-15D6D62694F2}">
            <xm:f>AND($H$153&lt;0,Esforços!$G$17&gt;0)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24" id="{8BAB535C-3BD3-4061-9514-AFB3B770A6E2}">
            <xm:f>AND($H$153&gt;0,Esforços!$G$17&lt;0)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25" id="{25B564A7-FA24-48AD-9D31-0C9AC6B1AADA}">
            <xm:f xml:space="preserve"> ABS($H$153)&gt;ABS(Esforços!$G$17)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H153:J154</xm:sqref>
        </x14:conditionalFormatting>
        <x14:conditionalFormatting xmlns:xm="http://schemas.microsoft.com/office/excel/2006/main">
          <x14:cfRule type="expression" priority="20" id="{A59D72D0-8AD1-4A47-A254-2B99F27C0361}">
            <xm:f>AND($E$153&lt;0,Esforços!$G$19&gt;0)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21" id="{D4794655-2D57-4959-A4B4-D8C4BAC68B79}">
            <xm:f>AND($E$153&gt;0,Esforços!$G$19&lt;0)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22" id="{2EC4C916-C621-4F05-8B9E-8DFAEC5F7F78}">
            <xm:f>ABS($E$153)&gt;ABS(Esforços!$G$19)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E153:G154</xm:sqref>
        </x14:conditionalFormatting>
        <x14:conditionalFormatting xmlns:xm="http://schemas.microsoft.com/office/excel/2006/main">
          <x14:cfRule type="expression" priority="17" id="{5359B4F1-3B7C-4DA0-A122-CF3A37C37DF6}">
            <xm:f xml:space="preserve"> AND($P$13&lt;0,Esforços!$G$24&gt;0)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18" id="{185D7A75-2BA0-4A29-9D26-4104B31D54B9}">
            <xm:f xml:space="preserve"> AND($P$13&gt;0,Esforços!$G$24&lt;0)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19" id="{93505A4F-3640-4AAB-B697-FAEB13BB5F91}">
            <xm:f xml:space="preserve"> ABS($P$13)&gt;ABS(Esforços!$G$24)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P13:S14</xm:sqref>
        </x14:conditionalFormatting>
        <x14:conditionalFormatting xmlns:xm="http://schemas.microsoft.com/office/excel/2006/main">
          <x14:cfRule type="expression" priority="13" id="{0253B8FD-3F73-41E1-929E-57FFD9F579FA}">
            <xm:f xml:space="preserve"> AND($T$13&lt;0,Esforços!$G$22&gt;0)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14" id="{D52AFA31-F74A-4E1F-AC44-7E877D6E8555}">
            <xm:f xml:space="preserve"> AND($T$13&gt;0,Esforços!$G$22&lt;0)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16" id="{71A7D9B5-73B6-4701-ACDF-56CE59D3149E}">
            <xm:f xml:space="preserve"> ABS($T$13)&gt;ABS(Esforços!$G$22)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T13:W14</xm:sqref>
        </x14:conditionalFormatting>
        <x14:conditionalFormatting xmlns:xm="http://schemas.microsoft.com/office/excel/2006/main">
          <x14:cfRule type="expression" priority="10" id="{FDD0D69B-6374-4FD0-9B33-B43AFD009E38}">
            <xm:f xml:space="preserve"> AND($X$13&lt;0,Esforços!$G$23&gt;0)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11" id="{A80ACD5B-AC55-4603-9BCF-57D8C9C8DEEB}">
            <xm:f xml:space="preserve"> AND($X$13&gt;0,Esforços!$G$23&lt;0)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12" id="{9C738C10-B3B7-44CA-A48A-0F9B65ACB584}">
            <xm:f xml:space="preserve"> ABS($X$13)&gt;ABS(Esforços!$G$23)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X13:AB14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C81A1-2362-480C-8EE1-A6C1BC8C9741}">
  <sheetPr codeName="Sheet17">
    <tabColor rgb="FF512D6D"/>
  </sheetPr>
  <dimension ref="A1:O42"/>
  <sheetViews>
    <sheetView zoomScale="80" zoomScaleNormal="80" workbookViewId="0"/>
  </sheetViews>
  <sheetFormatPr defaultColWidth="0" defaultRowHeight="12.75" zeroHeight="1" x14ac:dyDescent="0.2"/>
  <cols>
    <col min="1" max="1" width="1.7109375" style="50" customWidth="1"/>
    <col min="2" max="14" width="9.140625" style="50" customWidth="1"/>
    <col min="15" max="15" width="1.7109375" style="50" customWidth="1"/>
    <col min="16" max="16384" width="9.140625" style="50" hidden="1"/>
  </cols>
  <sheetData>
    <row r="1" spans="2:14" ht="13.5" thickBot="1" x14ac:dyDescent="0.25"/>
    <row r="2" spans="2:14" ht="13.5" thickBot="1" x14ac:dyDescent="0.25">
      <c r="B2" s="1353" t="s">
        <v>1517</v>
      </c>
      <c r="C2" s="1354"/>
      <c r="D2" s="1354"/>
      <c r="E2" s="1354"/>
      <c r="F2" s="1354"/>
      <c r="G2" s="1354"/>
      <c r="H2" s="1354"/>
      <c r="I2" s="1354"/>
      <c r="J2" s="1354"/>
      <c r="K2" s="1354"/>
      <c r="L2" s="1354"/>
      <c r="M2" s="1354"/>
      <c r="N2" s="1355"/>
    </row>
    <row r="3" spans="2:14" ht="13.5" thickTop="1" x14ac:dyDescent="0.2">
      <c r="B3" s="1356" t="s">
        <v>1518</v>
      </c>
      <c r="C3" s="1357"/>
      <c r="D3" s="1357"/>
      <c r="E3" s="1357"/>
      <c r="F3" s="1357"/>
      <c r="G3" s="1357"/>
      <c r="H3" s="1357"/>
      <c r="I3" s="1357"/>
      <c r="J3" s="1357"/>
      <c r="K3" s="1357"/>
      <c r="L3" s="1357"/>
      <c r="M3" s="1357"/>
      <c r="N3" s="1358"/>
    </row>
    <row r="4" spans="2:14" x14ac:dyDescent="0.2">
      <c r="B4" s="1356"/>
      <c r="C4" s="1357"/>
      <c r="D4" s="1357"/>
      <c r="E4" s="1357"/>
      <c r="F4" s="1357"/>
      <c r="G4" s="1357"/>
      <c r="H4" s="1357"/>
      <c r="I4" s="1357"/>
      <c r="J4" s="1357"/>
      <c r="K4" s="1357"/>
      <c r="L4" s="1357"/>
      <c r="M4" s="1357"/>
      <c r="N4" s="1358"/>
    </row>
    <row r="5" spans="2:14" x14ac:dyDescent="0.2">
      <c r="B5" s="1356"/>
      <c r="C5" s="1357"/>
      <c r="D5" s="1357"/>
      <c r="E5" s="1357"/>
      <c r="F5" s="1357"/>
      <c r="G5" s="1357"/>
      <c r="H5" s="1357"/>
      <c r="I5" s="1357"/>
      <c r="J5" s="1357"/>
      <c r="K5" s="1357"/>
      <c r="L5" s="1357"/>
      <c r="M5" s="1357"/>
      <c r="N5" s="1358"/>
    </row>
    <row r="6" spans="2:14" x14ac:dyDescent="0.2">
      <c r="B6" s="1321" t="s">
        <v>1519</v>
      </c>
      <c r="C6" s="1322"/>
      <c r="D6" s="1322"/>
      <c r="E6" s="1322"/>
      <c r="F6" s="1322"/>
      <c r="G6" s="1322"/>
      <c r="H6" s="1322"/>
      <c r="I6" s="1322"/>
      <c r="J6" s="1322"/>
      <c r="K6" s="1322"/>
      <c r="L6" s="1322"/>
      <c r="M6" s="1322"/>
      <c r="N6" s="1352"/>
    </row>
    <row r="7" spans="2:14" x14ac:dyDescent="0.2">
      <c r="B7" s="1073" t="s">
        <v>1520</v>
      </c>
      <c r="C7" s="1150"/>
      <c r="D7" s="1150"/>
      <c r="E7" s="1150" t="s">
        <v>1521</v>
      </c>
      <c r="F7" s="1150"/>
      <c r="G7" s="1150" t="s">
        <v>1444</v>
      </c>
      <c r="H7" s="1150"/>
      <c r="I7" s="1150" t="s">
        <v>1389</v>
      </c>
      <c r="J7" s="1150"/>
      <c r="K7" s="1150" t="s">
        <v>1522</v>
      </c>
      <c r="L7" s="1150"/>
      <c r="M7" s="1150"/>
      <c r="N7" s="1101"/>
    </row>
    <row r="8" spans="2:14" x14ac:dyDescent="0.2">
      <c r="B8" s="1073"/>
      <c r="C8" s="1150"/>
      <c r="D8" s="1150"/>
      <c r="E8" s="1150"/>
      <c r="F8" s="1150"/>
      <c r="G8" s="1150"/>
      <c r="H8" s="1150"/>
      <c r="I8" s="1150"/>
      <c r="J8" s="1150"/>
      <c r="K8" s="1150"/>
      <c r="L8" s="1150"/>
      <c r="M8" s="1150"/>
      <c r="N8" s="1101"/>
    </row>
    <row r="9" spans="2:14" x14ac:dyDescent="0.2">
      <c r="B9" s="1090" t="str">
        <f>puxada_recolh</f>
        <v/>
      </c>
      <c r="C9" s="1111"/>
      <c r="D9" s="1111"/>
      <c r="E9" s="1142">
        <f>puxada_puxada</f>
        <v>0</v>
      </c>
      <c r="F9" s="1111"/>
      <c r="G9" s="1142">
        <f>puxada_mbr_linha</f>
        <v>0</v>
      </c>
      <c r="H9" s="1111"/>
      <c r="I9" s="1142">
        <f>puxada_mbr_vert</f>
        <v>0</v>
      </c>
      <c r="J9" s="1111"/>
      <c r="K9" s="1290" t="e">
        <f>(puxada_axial_force_cabr1, puxada_axial_force_cabr2)</f>
        <v>#VALUE!</v>
      </c>
      <c r="L9" s="1290"/>
      <c r="M9" s="1290"/>
      <c r="N9" s="1121"/>
    </row>
    <row r="10" spans="2:14" x14ac:dyDescent="0.2">
      <c r="B10" s="1330"/>
      <c r="C10" s="1111"/>
      <c r="D10" s="1111"/>
      <c r="E10" s="1111"/>
      <c r="F10" s="1111"/>
      <c r="G10" s="1111"/>
      <c r="H10" s="1111"/>
      <c r="I10" s="1111"/>
      <c r="J10" s="1111"/>
      <c r="K10" s="1290"/>
      <c r="L10" s="1290"/>
      <c r="M10" s="1290"/>
      <c r="N10" s="1121"/>
    </row>
    <row r="11" spans="2:14" x14ac:dyDescent="0.2">
      <c r="B11" s="1321" t="s">
        <v>1523</v>
      </c>
      <c r="C11" s="1322"/>
      <c r="D11" s="1322"/>
      <c r="E11" s="1322"/>
      <c r="F11" s="1322"/>
      <c r="G11" s="1322"/>
      <c r="H11" s="1322"/>
      <c r="I11" s="1322"/>
      <c r="J11" s="1322"/>
      <c r="K11" s="1322"/>
      <c r="L11" s="1322"/>
      <c r="M11" s="1322"/>
      <c r="N11" s="1352"/>
    </row>
    <row r="12" spans="2:14" x14ac:dyDescent="0.2">
      <c r="B12" s="1073" t="s">
        <v>1311</v>
      </c>
      <c r="C12" s="1150"/>
      <c r="D12" s="1150"/>
      <c r="E12" s="1150" t="s">
        <v>1369</v>
      </c>
      <c r="F12" s="1150"/>
      <c r="G12" s="1150"/>
      <c r="H12" s="1150" t="s">
        <v>1461</v>
      </c>
      <c r="I12" s="1150"/>
      <c r="J12" s="1150"/>
      <c r="K12" s="1150" t="s">
        <v>1462</v>
      </c>
      <c r="L12" s="1150"/>
      <c r="M12" s="1150"/>
      <c r="N12" s="1101"/>
    </row>
    <row r="13" spans="2:14" x14ac:dyDescent="0.2">
      <c r="B13" s="1073"/>
      <c r="C13" s="1150"/>
      <c r="D13" s="1150"/>
      <c r="E13" s="1150"/>
      <c r="F13" s="1150"/>
      <c r="G13" s="1150"/>
      <c r="H13" s="1150"/>
      <c r="I13" s="1150"/>
      <c r="J13" s="1150"/>
      <c r="K13" s="1150"/>
      <c r="L13" s="1150"/>
      <c r="M13" s="1150"/>
      <c r="N13" s="1101"/>
    </row>
    <row r="14" spans="2:14" x14ac:dyDescent="0.2">
      <c r="B14" s="1073" t="s">
        <v>1476</v>
      </c>
      <c r="C14" s="1150"/>
      <c r="D14" s="1150"/>
      <c r="E14" s="1142">
        <f>puxada_ey_moment_max</f>
        <v>0</v>
      </c>
      <c r="F14" s="1111"/>
      <c r="G14" s="1111"/>
      <c r="H14" s="1142">
        <f>puxada_ez_axial_max</f>
        <v>0</v>
      </c>
      <c r="I14" s="1111"/>
      <c r="J14" s="1111"/>
      <c r="K14" s="1142">
        <f>puxada_ex_shear_force_max</f>
        <v>0</v>
      </c>
      <c r="L14" s="1111"/>
      <c r="M14" s="1111"/>
      <c r="N14" s="1141"/>
    </row>
    <row r="15" spans="2:14" x14ac:dyDescent="0.2">
      <c r="B15" s="1073"/>
      <c r="C15" s="1150"/>
      <c r="D15" s="1150"/>
      <c r="E15" s="1111"/>
      <c r="F15" s="1111"/>
      <c r="G15" s="1111"/>
      <c r="H15" s="1111"/>
      <c r="I15" s="1111"/>
      <c r="J15" s="1111"/>
      <c r="K15" s="1111"/>
      <c r="L15" s="1111"/>
      <c r="M15" s="1111"/>
      <c r="N15" s="1141"/>
    </row>
    <row r="16" spans="2:14" x14ac:dyDescent="0.2">
      <c r="B16" s="1073" t="s">
        <v>1477</v>
      </c>
      <c r="C16" s="1150"/>
      <c r="D16" s="1150"/>
      <c r="E16" s="1142">
        <f>puxada_ey_moment_min</f>
        <v>0</v>
      </c>
      <c r="F16" s="1111"/>
      <c r="G16" s="1111"/>
      <c r="H16" s="1142">
        <f>puxada_ez_axial_min</f>
        <v>0</v>
      </c>
      <c r="I16" s="1111"/>
      <c r="J16" s="1111"/>
      <c r="K16" s="1142">
        <f>puxada_ex_shear_force_min</f>
        <v>0</v>
      </c>
      <c r="L16" s="1111"/>
      <c r="M16" s="1111"/>
      <c r="N16" s="1141"/>
    </row>
    <row r="17" spans="2:14" x14ac:dyDescent="0.2">
      <c r="B17" s="1073"/>
      <c r="C17" s="1150"/>
      <c r="D17" s="1150"/>
      <c r="E17" s="1111"/>
      <c r="F17" s="1111"/>
      <c r="G17" s="1111"/>
      <c r="H17" s="1111"/>
      <c r="I17" s="1111"/>
      <c r="J17" s="1111"/>
      <c r="K17" s="1111"/>
      <c r="L17" s="1111"/>
      <c r="M17" s="1111"/>
      <c r="N17" s="1141"/>
    </row>
    <row r="18" spans="2:14" x14ac:dyDescent="0.2">
      <c r="B18" s="1321" t="s">
        <v>1524</v>
      </c>
      <c r="C18" s="1322"/>
      <c r="D18" s="1322"/>
      <c r="E18" s="1322"/>
      <c r="F18" s="1322"/>
      <c r="G18" s="1322"/>
      <c r="H18" s="1322"/>
      <c r="I18" s="1322"/>
      <c r="J18" s="1322"/>
      <c r="K18" s="1322"/>
      <c r="L18" s="1322"/>
      <c r="M18" s="1322"/>
      <c r="N18" s="1352"/>
    </row>
    <row r="19" spans="2:14" x14ac:dyDescent="0.2">
      <c r="B19" s="6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64"/>
    </row>
    <row r="20" spans="2:14" x14ac:dyDescent="0.2">
      <c r="B20" s="6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64"/>
    </row>
    <row r="21" spans="2:14" x14ac:dyDescent="0.2">
      <c r="B21" s="45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64"/>
    </row>
    <row r="22" spans="2:14" x14ac:dyDescent="0.2">
      <c r="B22" s="45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64"/>
    </row>
    <row r="23" spans="2:14" x14ac:dyDescent="0.2">
      <c r="B23" s="45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64"/>
    </row>
    <row r="24" spans="2:14" x14ac:dyDescent="0.2">
      <c r="B24" s="45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64"/>
    </row>
    <row r="25" spans="2:14" x14ac:dyDescent="0.2">
      <c r="B25" s="45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64"/>
    </row>
    <row r="26" spans="2:14" x14ac:dyDescent="0.2">
      <c r="B26" s="45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64"/>
    </row>
    <row r="27" spans="2:14" x14ac:dyDescent="0.2">
      <c r="B27" s="45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64"/>
    </row>
    <row r="28" spans="2:14" x14ac:dyDescent="0.2">
      <c r="B28" s="45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64"/>
    </row>
    <row r="29" spans="2:14" x14ac:dyDescent="0.2">
      <c r="B29" s="45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64"/>
    </row>
    <row r="30" spans="2:14" x14ac:dyDescent="0.2">
      <c r="B30" s="45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64"/>
    </row>
    <row r="31" spans="2:14" x14ac:dyDescent="0.2">
      <c r="B31" s="45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64"/>
    </row>
    <row r="32" spans="2:14" x14ac:dyDescent="0.2">
      <c r="B32" s="45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64"/>
    </row>
    <row r="33" spans="2:14" x14ac:dyDescent="0.2">
      <c r="B33" s="45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64"/>
    </row>
    <row r="34" spans="2:14" x14ac:dyDescent="0.2">
      <c r="B34" s="45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64"/>
    </row>
    <row r="35" spans="2:14" x14ac:dyDescent="0.2">
      <c r="B35" s="45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64"/>
    </row>
    <row r="36" spans="2:14" x14ac:dyDescent="0.2">
      <c r="B36" s="45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64"/>
    </row>
    <row r="37" spans="2:14" x14ac:dyDescent="0.2">
      <c r="B37" s="45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64"/>
    </row>
    <row r="38" spans="2:14" x14ac:dyDescent="0.2">
      <c r="B38" s="45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64"/>
    </row>
    <row r="39" spans="2:14" x14ac:dyDescent="0.2">
      <c r="B39" s="45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64"/>
    </row>
    <row r="40" spans="2:14" x14ac:dyDescent="0.2">
      <c r="B40" s="45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64"/>
    </row>
    <row r="41" spans="2:14" ht="13.5" thickBot="1" x14ac:dyDescent="0.25">
      <c r="B41" s="17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65"/>
    </row>
    <row r="42" spans="2:14" x14ac:dyDescent="0.2"/>
  </sheetData>
  <mergeCells count="27">
    <mergeCell ref="G9:H10"/>
    <mergeCell ref="I9:J10"/>
    <mergeCell ref="K9:N10"/>
    <mergeCell ref="B11:N11"/>
    <mergeCell ref="B12:D13"/>
    <mergeCell ref="E12:G13"/>
    <mergeCell ref="H12:J13"/>
    <mergeCell ref="K12:N13"/>
    <mergeCell ref="B9:D10"/>
    <mergeCell ref="E9:F10"/>
    <mergeCell ref="B2:N2"/>
    <mergeCell ref="B3:N5"/>
    <mergeCell ref="B6:N6"/>
    <mergeCell ref="B7:D8"/>
    <mergeCell ref="E7:F8"/>
    <mergeCell ref="G7:H8"/>
    <mergeCell ref="I7:J8"/>
    <mergeCell ref="K7:N8"/>
    <mergeCell ref="B18:N18"/>
    <mergeCell ref="B14:D15"/>
    <mergeCell ref="E14:G15"/>
    <mergeCell ref="H14:J15"/>
    <mergeCell ref="K14:N15"/>
    <mergeCell ref="B16:D17"/>
    <mergeCell ref="E16:G17"/>
    <mergeCell ref="H16:J17"/>
    <mergeCell ref="K16:N17"/>
  </mergeCells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"/>
  <dimension ref="A1:I63"/>
  <sheetViews>
    <sheetView workbookViewId="0"/>
  </sheetViews>
  <sheetFormatPr defaultRowHeight="12.75" x14ac:dyDescent="0.2"/>
  <cols>
    <col min="1" max="1" width="29" customWidth="1"/>
    <col min="2" max="2" width="11.7109375" style="1" customWidth="1"/>
    <col min="3" max="3" width="28.5703125" bestFit="1" customWidth="1"/>
    <col min="4" max="4" width="24.140625" style="1" customWidth="1"/>
    <col min="8" max="8" width="23" customWidth="1"/>
  </cols>
  <sheetData>
    <row r="1" spans="1:9" x14ac:dyDescent="0.2">
      <c r="A1" t="s">
        <v>1525</v>
      </c>
      <c r="B1" s="3" t="s">
        <v>338</v>
      </c>
      <c r="C1" t="s">
        <v>1526</v>
      </c>
      <c r="D1" s="3">
        <v>0</v>
      </c>
      <c r="E1" t="s">
        <v>1527</v>
      </c>
      <c r="F1" s="1" t="s">
        <v>1528</v>
      </c>
      <c r="H1" s="1"/>
      <c r="I1" s="2"/>
    </row>
    <row r="2" spans="1:9" x14ac:dyDescent="0.2">
      <c r="A2" t="s">
        <v>1529</v>
      </c>
      <c r="B2" s="1" t="s">
        <v>189</v>
      </c>
      <c r="C2" t="s">
        <v>1530</v>
      </c>
      <c r="D2" s="3" t="s">
        <v>1531</v>
      </c>
      <c r="E2" t="s">
        <v>1532</v>
      </c>
      <c r="F2" s="1" t="s">
        <v>1533</v>
      </c>
      <c r="H2" s="1" t="s">
        <v>1534</v>
      </c>
      <c r="I2" s="2" t="b">
        <v>0</v>
      </c>
    </row>
    <row r="3" spans="1:9" x14ac:dyDescent="0.2">
      <c r="A3" t="s">
        <v>1535</v>
      </c>
      <c r="B3" s="1">
        <v>0</v>
      </c>
      <c r="C3" t="s">
        <v>1536</v>
      </c>
      <c r="D3" s="3" t="b">
        <v>1</v>
      </c>
      <c r="H3" t="s">
        <v>1537</v>
      </c>
      <c r="I3" s="2" t="b">
        <v>1</v>
      </c>
    </row>
    <row r="4" spans="1:9" x14ac:dyDescent="0.2">
      <c r="A4" t="s">
        <v>1538</v>
      </c>
      <c r="B4" s="1">
        <v>0</v>
      </c>
      <c r="C4" t="s">
        <v>1539</v>
      </c>
      <c r="D4" s="3">
        <v>65500</v>
      </c>
      <c r="H4" t="s">
        <v>1540</v>
      </c>
      <c r="I4" s="2">
        <v>10</v>
      </c>
    </row>
    <row r="5" spans="1:9" x14ac:dyDescent="0.2">
      <c r="A5" t="s">
        <v>1541</v>
      </c>
      <c r="B5" s="1">
        <v>0</v>
      </c>
      <c r="C5" t="s">
        <v>410</v>
      </c>
      <c r="D5" s="3">
        <v>30</v>
      </c>
    </row>
    <row r="6" spans="1:9" x14ac:dyDescent="0.2">
      <c r="A6" t="s">
        <v>1542</v>
      </c>
      <c r="B6" s="1">
        <v>0</v>
      </c>
      <c r="C6" t="s">
        <v>1543</v>
      </c>
      <c r="D6" s="3">
        <v>0</v>
      </c>
    </row>
    <row r="7" spans="1:9" x14ac:dyDescent="0.2">
      <c r="A7" t="s">
        <v>1544</v>
      </c>
      <c r="B7" s="1">
        <v>0</v>
      </c>
      <c r="C7" t="s">
        <v>1545</v>
      </c>
      <c r="D7" s="3">
        <v>0</v>
      </c>
    </row>
    <row r="8" spans="1:9" x14ac:dyDescent="0.2">
      <c r="A8" t="s">
        <v>1546</v>
      </c>
      <c r="B8" s="1" t="b">
        <v>0</v>
      </c>
      <c r="C8" t="s">
        <v>1547</v>
      </c>
      <c r="D8" s="3">
        <v>0</v>
      </c>
    </row>
    <row r="9" spans="1:9" x14ac:dyDescent="0.2">
      <c r="A9" t="s">
        <v>1548</v>
      </c>
      <c r="B9" s="1">
        <v>0</v>
      </c>
      <c r="C9" t="s">
        <v>1549</v>
      </c>
      <c r="D9" s="3" t="s">
        <v>1550</v>
      </c>
    </row>
    <row r="10" spans="1:9" x14ac:dyDescent="0.2">
      <c r="C10" t="s">
        <v>1551</v>
      </c>
      <c r="D10" s="3">
        <v>0</v>
      </c>
    </row>
    <row r="11" spans="1:9" x14ac:dyDescent="0.2">
      <c r="C11" t="s">
        <v>1552</v>
      </c>
      <c r="D11" s="3">
        <v>3</v>
      </c>
    </row>
    <row r="12" spans="1:9" x14ac:dyDescent="0.2">
      <c r="C12" t="s">
        <v>1553</v>
      </c>
      <c r="D12" s="3">
        <v>1</v>
      </c>
    </row>
    <row r="13" spans="1:9" x14ac:dyDescent="0.2">
      <c r="C13" t="s">
        <v>403</v>
      </c>
      <c r="D13" s="3"/>
    </row>
    <row r="14" spans="1:9" x14ac:dyDescent="0.2">
      <c r="C14" t="s">
        <v>1554</v>
      </c>
      <c r="D14" s="3" t="s">
        <v>204</v>
      </c>
    </row>
    <row r="15" spans="1:9" x14ac:dyDescent="0.2">
      <c r="C15" t="s">
        <v>1555</v>
      </c>
      <c r="D15" s="3">
        <v>1</v>
      </c>
    </row>
    <row r="16" spans="1:9" x14ac:dyDescent="0.2">
      <c r="C16" t="s">
        <v>1556</v>
      </c>
      <c r="D16" s="3">
        <v>1</v>
      </c>
    </row>
    <row r="17" spans="3:4" x14ac:dyDescent="0.2">
      <c r="C17" t="s">
        <v>1557</v>
      </c>
      <c r="D17" s="3">
        <v>8</v>
      </c>
    </row>
    <row r="18" spans="3:4" x14ac:dyDescent="0.2">
      <c r="C18" t="s">
        <v>1558</v>
      </c>
      <c r="D18" s="3" t="s">
        <v>1597</v>
      </c>
    </row>
    <row r="19" spans="3:4" x14ac:dyDescent="0.2">
      <c r="C19" t="s">
        <v>1559</v>
      </c>
      <c r="D19" s="3">
        <v>0</v>
      </c>
    </row>
    <row r="20" spans="3:4" x14ac:dyDescent="0.2">
      <c r="C20" t="s">
        <v>411</v>
      </c>
      <c r="D20" s="3">
        <v>32003</v>
      </c>
    </row>
    <row r="21" spans="3:4" x14ac:dyDescent="0.2">
      <c r="C21" t="s">
        <v>1560</v>
      </c>
      <c r="D21" s="3">
        <v>0</v>
      </c>
    </row>
    <row r="22" spans="3:4" x14ac:dyDescent="0.2">
      <c r="C22" t="s">
        <v>1561</v>
      </c>
      <c r="D22" s="3">
        <v>0</v>
      </c>
    </row>
    <row r="23" spans="3:4" x14ac:dyDescent="0.2">
      <c r="C23" t="s">
        <v>1562</v>
      </c>
      <c r="D23" s="3">
        <v>0</v>
      </c>
    </row>
    <row r="24" spans="3:4" x14ac:dyDescent="0.2">
      <c r="C24" t="s">
        <v>1563</v>
      </c>
      <c r="D24" s="3" t="s">
        <v>189</v>
      </c>
    </row>
    <row r="25" spans="3:4" x14ac:dyDescent="0.2">
      <c r="C25" t="s">
        <v>1564</v>
      </c>
      <c r="D25" s="3">
        <v>-8</v>
      </c>
    </row>
    <row r="26" spans="3:4" x14ac:dyDescent="0.2">
      <c r="C26" t="s">
        <v>1565</v>
      </c>
      <c r="D26" s="3">
        <v>16</v>
      </c>
    </row>
    <row r="27" spans="3:4" x14ac:dyDescent="0.2">
      <c r="C27" t="s">
        <v>1566</v>
      </c>
      <c r="D27" s="3">
        <v>0</v>
      </c>
    </row>
    <row r="28" spans="3:4" x14ac:dyDescent="0.2">
      <c r="C28" t="s">
        <v>1567</v>
      </c>
      <c r="D28" s="3">
        <v>0</v>
      </c>
    </row>
    <row r="29" spans="3:4" x14ac:dyDescent="0.2">
      <c r="C29" t="s">
        <v>1568</v>
      </c>
      <c r="D29" s="3" t="b">
        <v>1</v>
      </c>
    </row>
    <row r="30" spans="3:4" x14ac:dyDescent="0.2">
      <c r="C30" t="s">
        <v>1569</v>
      </c>
      <c r="D30" s="3" t="s">
        <v>1570</v>
      </c>
    </row>
    <row r="31" spans="3:4" x14ac:dyDescent="0.2">
      <c r="C31" t="s">
        <v>1571</v>
      </c>
      <c r="D31" s="3">
        <v>1</v>
      </c>
    </row>
    <row r="32" spans="3:4" x14ac:dyDescent="0.2">
      <c r="C32" t="s">
        <v>1572</v>
      </c>
      <c r="D32" s="3">
        <v>0</v>
      </c>
    </row>
    <row r="33" spans="3:4" x14ac:dyDescent="0.2">
      <c r="C33" t="s">
        <v>1573</v>
      </c>
      <c r="D33" s="3">
        <v>1</v>
      </c>
    </row>
    <row r="34" spans="3:4" x14ac:dyDescent="0.2">
      <c r="C34" t="s">
        <v>1574</v>
      </c>
      <c r="D34" s="3" t="s">
        <v>189</v>
      </c>
    </row>
    <row r="35" spans="3:4" x14ac:dyDescent="0.2">
      <c r="C35" t="s">
        <v>1575</v>
      </c>
      <c r="D35" s="3" t="s">
        <v>1576</v>
      </c>
    </row>
    <row r="36" spans="3:4" x14ac:dyDescent="0.2">
      <c r="C36" t="s">
        <v>1577</v>
      </c>
      <c r="D36" s="3" t="s">
        <v>1578</v>
      </c>
    </row>
    <row r="37" spans="3:4" x14ac:dyDescent="0.2">
      <c r="C37" t="s">
        <v>1579</v>
      </c>
      <c r="D37" s="3" t="b">
        <v>0</v>
      </c>
    </row>
    <row r="38" spans="3:4" x14ac:dyDescent="0.2">
      <c r="C38" t="s">
        <v>1580</v>
      </c>
      <c r="D38" s="3" t="b">
        <v>1</v>
      </c>
    </row>
    <row r="39" spans="3:4" x14ac:dyDescent="0.2">
      <c r="C39" t="s">
        <v>1581</v>
      </c>
      <c r="D39" s="3" t="b">
        <v>0</v>
      </c>
    </row>
    <row r="40" spans="3:4" x14ac:dyDescent="0.2">
      <c r="C40" t="s">
        <v>1582</v>
      </c>
      <c r="D40" s="3" t="b">
        <v>0</v>
      </c>
    </row>
    <row r="41" spans="3:4" x14ac:dyDescent="0.2">
      <c r="C41" t="s">
        <v>1583</v>
      </c>
      <c r="D41" s="3" t="b">
        <v>1</v>
      </c>
    </row>
    <row r="42" spans="3:4" x14ac:dyDescent="0.2">
      <c r="C42" t="s">
        <v>1584</v>
      </c>
      <c r="D42" s="3" t="b">
        <v>0</v>
      </c>
    </row>
    <row r="43" spans="3:4" x14ac:dyDescent="0.2">
      <c r="C43" t="s">
        <v>1585</v>
      </c>
      <c r="D43" s="3" t="b">
        <v>0</v>
      </c>
    </row>
    <row r="44" spans="3:4" x14ac:dyDescent="0.2">
      <c r="C44" t="s">
        <v>1586</v>
      </c>
      <c r="D44" s="3">
        <v>0</v>
      </c>
    </row>
    <row r="45" spans="3:4" x14ac:dyDescent="0.2">
      <c r="C45" t="s">
        <v>1587</v>
      </c>
      <c r="D45" s="3" t="s">
        <v>1588</v>
      </c>
    </row>
    <row r="46" spans="3:4" x14ac:dyDescent="0.2">
      <c r="C46" t="s">
        <v>1589</v>
      </c>
      <c r="D46" s="3">
        <v>0</v>
      </c>
    </row>
    <row r="47" spans="3:4" x14ac:dyDescent="0.2">
      <c r="C47" t="s">
        <v>1590</v>
      </c>
      <c r="D47" s="3">
        <v>3</v>
      </c>
    </row>
    <row r="48" spans="3:4" x14ac:dyDescent="0.2">
      <c r="C48" t="s">
        <v>1591</v>
      </c>
      <c r="D48" s="3" t="s">
        <v>1592</v>
      </c>
    </row>
    <row r="49" spans="1:4" x14ac:dyDescent="0.2">
      <c r="C49" t="s">
        <v>1593</v>
      </c>
      <c r="D49" s="3" t="b">
        <v>0</v>
      </c>
    </row>
    <row r="50" spans="1:4" x14ac:dyDescent="0.2">
      <c r="A50" t="s">
        <v>1594</v>
      </c>
      <c r="D50" s="3">
        <v>65500</v>
      </c>
    </row>
    <row r="51" spans="1:4" x14ac:dyDescent="0.2">
      <c r="D51" s="3">
        <v>1</v>
      </c>
    </row>
    <row r="52" spans="1:4" x14ac:dyDescent="0.2">
      <c r="D52" s="3">
        <v>-1</v>
      </c>
    </row>
    <row r="53" spans="1:4" x14ac:dyDescent="0.2">
      <c r="D53" s="3"/>
    </row>
    <row r="54" spans="1:4" x14ac:dyDescent="0.2">
      <c r="D54" s="3">
        <v>0</v>
      </c>
    </row>
    <row r="55" spans="1:4" x14ac:dyDescent="0.2">
      <c r="D55" s="3" t="s">
        <v>1592</v>
      </c>
    </row>
    <row r="56" spans="1:4" x14ac:dyDescent="0.2">
      <c r="D56" s="3">
        <v>1</v>
      </c>
    </row>
    <row r="57" spans="1:4" x14ac:dyDescent="0.2">
      <c r="D57" s="3">
        <v>0</v>
      </c>
    </row>
    <row r="58" spans="1:4" x14ac:dyDescent="0.2">
      <c r="D58" s="3">
        <v>0</v>
      </c>
    </row>
    <row r="59" spans="1:4" x14ac:dyDescent="0.2">
      <c r="D59" s="3">
        <v>1</v>
      </c>
    </row>
    <row r="60" spans="1:4" x14ac:dyDescent="0.2">
      <c r="D60" s="3">
        <v>0</v>
      </c>
    </row>
    <row r="61" spans="1:4" x14ac:dyDescent="0.2">
      <c r="D61" s="3"/>
    </row>
    <row r="62" spans="1:4" x14ac:dyDescent="0.2">
      <c r="D62" s="3">
        <v>1</v>
      </c>
    </row>
    <row r="63" spans="1:4" x14ac:dyDescent="0.2">
      <c r="D63" s="3" t="b">
        <v>0</v>
      </c>
    </row>
  </sheetData>
  <dataConsolidate/>
  <phoneticPr fontId="0" type="noConversion"/>
  <pageMargins left="0.75" right="0.75" top="1" bottom="1" header="0.5" footer="0.5"/>
  <pageSetup paperSize="9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9E487C1B5A6A7469ECF295E300FC521" ma:contentTypeVersion="14" ma:contentTypeDescription="Crie um novo documento." ma:contentTypeScope="" ma:versionID="0960ac6fc61b40489ab078022ce7de8d">
  <xsd:schema xmlns:xsd="http://www.w3.org/2001/XMLSchema" xmlns:xs="http://www.w3.org/2001/XMLSchema" xmlns:p="http://schemas.microsoft.com/office/2006/metadata/properties" xmlns:ns2="509bbd28-9a6d-445a-83dd-f5d328eece76" xmlns:ns3="903036b2-f8dc-4ca8-82df-457cf2fff651" xmlns:ns4="461c5b05-e7ae-45a9-96d4-4a689e060405" targetNamespace="http://schemas.microsoft.com/office/2006/metadata/properties" ma:root="true" ma:fieldsID="d2f069df8fef6df821bd87bc04dd1b2c" ns2:_="" ns3:_="" ns4:_="">
    <xsd:import namespace="509bbd28-9a6d-445a-83dd-f5d328eece76"/>
    <xsd:import namespace="903036b2-f8dc-4ca8-82df-457cf2fff651"/>
    <xsd:import namespace="461c5b05-e7ae-45a9-96d4-4a689e06040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4:lcf76f155ced4ddcb4097134ff3c332f" minOccurs="0"/>
                <xsd:element ref="ns3:TaxCatchAll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ObjectDetectorVersions" minOccurs="0"/>
                <xsd:element ref="ns4:MediaLengthInSeconds" minOccurs="0"/>
                <xsd:element ref="ns4:MediaServiceDateTaken" minOccurs="0"/>
                <xsd:element ref="ns4:MediaServiceLocation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9bbd28-9a6d-445a-83dd-f5d328eece7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3036b2-f8dc-4ca8-82df-457cf2fff65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671d7225-7c32-4489-b6da-c381a375bb6a}" ma:internalName="TaxCatchAll" ma:showField="CatchAllData" ma:web="903036b2-f8dc-4ca8-82df-457cf2fff65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1c5b05-e7ae-45a9-96d4-4a689e060405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5103c4ab-04ed-4a1f-bb47-9362306674c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03036b2-f8dc-4ca8-82df-457cf2fff651" xsi:nil="true"/>
    <lcf76f155ced4ddcb4097134ff3c332f xmlns="461c5b05-e7ae-45a9-96d4-4a689e060405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DAC8788-341E-4755-B687-C6CA977B9DE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09bbd28-9a6d-445a-83dd-f5d328eece76"/>
    <ds:schemaRef ds:uri="903036b2-f8dc-4ca8-82df-457cf2fff651"/>
    <ds:schemaRef ds:uri="461c5b05-e7ae-45a9-96d4-4a689e06040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EB47C98-93F7-4FB9-8CDE-3903E49B1B55}">
  <ds:schemaRefs>
    <ds:schemaRef ds:uri="http://schemas.microsoft.com/office/2006/metadata/properties"/>
    <ds:schemaRef ds:uri="http://schemas.microsoft.com/office/infopath/2007/PartnerControls"/>
    <ds:schemaRef ds:uri="480eed6c-8c6a-455f-8b68-fab34daa9c94"/>
    <ds:schemaRef ds:uri="903036b2-f8dc-4ca8-82df-457cf2fff651"/>
    <ds:schemaRef ds:uri="461c5b05-e7ae-45a9-96d4-4a689e060405"/>
  </ds:schemaRefs>
</ds:datastoreItem>
</file>

<file path=customXml/itemProps3.xml><?xml version="1.0" encoding="utf-8"?>
<ds:datastoreItem xmlns:ds="http://schemas.openxmlformats.org/officeDocument/2006/customXml" ds:itemID="{F9A90F37-8203-4C74-8660-CA8E14D9DA1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210</vt:i4>
      </vt:variant>
    </vt:vector>
  </HeadingPairs>
  <TitlesOfParts>
    <vt:vector size="241" baseType="lpstr">
      <vt:lpstr>Histórico</vt:lpstr>
      <vt:lpstr>Main</vt:lpstr>
      <vt:lpstr>Values</vt:lpstr>
      <vt:lpstr>MCV e Guindaste</vt:lpstr>
      <vt:lpstr>Bending Stiffness</vt:lpstr>
      <vt:lpstr>1st_Script_Table</vt:lpstr>
      <vt:lpstr>1st_Post_Processing</vt:lpstr>
      <vt:lpstr>2nd_Script_Table</vt:lpstr>
      <vt:lpstr>2nd_Post_Processing</vt:lpstr>
      <vt:lpstr>Auxiliar1</vt:lpstr>
      <vt:lpstr>Auxiliar2</vt:lpstr>
      <vt:lpstr>Auxiliar3</vt:lpstr>
      <vt:lpstr>Auxiliar4</vt:lpstr>
      <vt:lpstr>1st_Py1</vt:lpstr>
      <vt:lpstr>1st_Py2</vt:lpstr>
      <vt:lpstr>1st_Py3</vt:lpstr>
      <vt:lpstr>2nd_Py1</vt:lpstr>
      <vt:lpstr>2nd_Py2</vt:lpstr>
      <vt:lpstr>2nd_Py3</vt:lpstr>
      <vt:lpstr>2nd_Py4</vt:lpstr>
      <vt:lpstr>2nd_Py5</vt:lpstr>
      <vt:lpstr>2nd_Py6</vt:lpstr>
      <vt:lpstr>Data</vt:lpstr>
      <vt:lpstr>Results</vt:lpstr>
      <vt:lpstr>Esforços</vt:lpstr>
      <vt:lpstr>TQF</vt:lpstr>
      <vt:lpstr>1st_A4Report</vt:lpstr>
      <vt:lpstr>1st_A3Report</vt:lpstr>
      <vt:lpstr>2nd_A4Report</vt:lpstr>
      <vt:lpstr>2nd_A3Report</vt:lpstr>
      <vt:lpstr>2nd_PuxadaReport</vt:lpstr>
      <vt:lpstr>bs_is_reduction_hid</vt:lpstr>
      <vt:lpstr>bs_is_reduction_lan</vt:lpstr>
      <vt:lpstr>bs_is_reduction_ope</vt:lpstr>
      <vt:lpstr>bs_npoints_hid</vt:lpstr>
      <vt:lpstr>bs_npoints_lan</vt:lpstr>
      <vt:lpstr>bs_npoints_ope</vt:lpstr>
      <vt:lpstr>bs_reduction_percentage_hid</vt:lpstr>
      <vt:lpstr>bs_reduction_percentage_lan</vt:lpstr>
      <vt:lpstr>bs_reduction_percentage_ope</vt:lpstr>
      <vt:lpstr>case2_est_altura_corc</vt:lpstr>
      <vt:lpstr>case2_est_bm_vert</vt:lpstr>
      <vt:lpstr>case2_est_comp_lingada1</vt:lpstr>
      <vt:lpstr>case2_est_comp_lingada2</vt:lpstr>
      <vt:lpstr>case2_est_comp_susp</vt:lpstr>
      <vt:lpstr>case2_est_dist_flange</vt:lpstr>
      <vt:lpstr>case2_est_dist_flange_cabrestante</vt:lpstr>
      <vt:lpstr>case2_est_dist_tdp_flange</vt:lpstr>
      <vt:lpstr>case2_est_ex_shear_force</vt:lpstr>
      <vt:lpstr>case2_est_ey_moment</vt:lpstr>
      <vt:lpstr>case2_est_ez_axial</vt:lpstr>
      <vt:lpstr>case2_est_inclinacao_mcv</vt:lpstr>
      <vt:lpstr>case2_est_lda</vt:lpstr>
      <vt:lpstr>case2_est_mbr_linha</vt:lpstr>
      <vt:lpstr>case2_est_mbr_vert</vt:lpstr>
      <vt:lpstr>case2_est_overlength</vt:lpstr>
      <vt:lpstr>case2_est_position_corc1</vt:lpstr>
      <vt:lpstr>case2_est_position_corc2</vt:lpstr>
      <vt:lpstr>case2_est_sbed_clear</vt:lpstr>
      <vt:lpstr>case2_est_sbed_clear_linha</vt:lpstr>
      <vt:lpstr>case2_est_sbed_clear_vert</vt:lpstr>
      <vt:lpstr>case2_est_sf_vert</vt:lpstr>
      <vt:lpstr>case2_est_stage_value_ar</vt:lpstr>
      <vt:lpstr>case3i_din_altura_corc</vt:lpstr>
      <vt:lpstr>case3i_din_axial_force_cabr1</vt:lpstr>
      <vt:lpstr>case3i_din_axial_force_cabr2</vt:lpstr>
      <vt:lpstr>case3i_din_bm_vert</vt:lpstr>
      <vt:lpstr>case3i_din_ex_shear_force_max</vt:lpstr>
      <vt:lpstr>case3i_din_ex_shear_force_min</vt:lpstr>
      <vt:lpstr>case3i_din_ey_moment_max</vt:lpstr>
      <vt:lpstr>case3i_din_ey_moment_min</vt:lpstr>
      <vt:lpstr>case3i_din_ez_axial_max</vt:lpstr>
      <vt:lpstr>case3i_din_ez_axial_min</vt:lpstr>
      <vt:lpstr>case3i_din_heave_up</vt:lpstr>
      <vt:lpstr>case3i_din_mbr_linha</vt:lpstr>
      <vt:lpstr>case3i_din_mbr_vert</vt:lpstr>
      <vt:lpstr>case3i_din_n_att</vt:lpstr>
      <vt:lpstr>case3i_din_sf_vert</vt:lpstr>
      <vt:lpstr>case3ii_toque_ex_shear_force_max</vt:lpstr>
      <vt:lpstr>case3ii_toque_ey_moment_max</vt:lpstr>
      <vt:lpstr>case3ii_toque_ez_axial_max</vt:lpstr>
      <vt:lpstr>case4_et_result_ex_shear_force_with_buoys</vt:lpstr>
      <vt:lpstr>case4_et_result_ex_shear_force_without_buoys</vt:lpstr>
      <vt:lpstr>case4_et_result_ey_moment_with_buoys</vt:lpstr>
      <vt:lpstr>case4_et_result_ey_moment_without_buoys</vt:lpstr>
      <vt:lpstr>case4_et_result_ez_axial_with_buoys</vt:lpstr>
      <vt:lpstr>case4_et_result_ez_axial_without_buoys</vt:lpstr>
      <vt:lpstr>case4_m0_with_buoys</vt:lpstr>
      <vt:lpstr>case4_m0_without_buoys</vt:lpstr>
      <vt:lpstr>case4_m1_with_buoys</vt:lpstr>
      <vt:lpstr>case4_m1_without_buoys</vt:lpstr>
      <vt:lpstr>case4_m2_with_buoys</vt:lpstr>
      <vt:lpstr>case4_m2_without_buoys</vt:lpstr>
      <vt:lpstr>case4_t0_with_buoys</vt:lpstr>
      <vt:lpstr>case4_t0_without_buoys</vt:lpstr>
      <vt:lpstr>case4_t1_with_buoys</vt:lpstr>
      <vt:lpstr>case4_t1_without_buoys</vt:lpstr>
      <vt:lpstr>case4_t2_with_buoys</vt:lpstr>
      <vt:lpstr>case4_t2_without_buoys</vt:lpstr>
      <vt:lpstr>case4_v0_with_buoys</vt:lpstr>
      <vt:lpstr>case4_v0_without_buoys</vt:lpstr>
      <vt:lpstr>case4_v1_with_buoys</vt:lpstr>
      <vt:lpstr>case4_v1_without_buoys</vt:lpstr>
      <vt:lpstr>case4_v2_with_buoys</vt:lpstr>
      <vt:lpstr>case4_v2_without_buoys</vt:lpstr>
      <vt:lpstr>case5_et_result_ex_shear_force</vt:lpstr>
      <vt:lpstr>case5_et_result_ey_moment</vt:lpstr>
      <vt:lpstr>case5_et_result_ez_axial</vt:lpstr>
      <vt:lpstr>case5_m2_without_buoys</vt:lpstr>
      <vt:lpstr>case5_t2_without_buoys</vt:lpstr>
      <vt:lpstr>case5_v2_without_buoys</vt:lpstr>
      <vt:lpstr>cont1_bm_vert</vt:lpstr>
      <vt:lpstr>cont1_cota_boia</vt:lpstr>
      <vt:lpstr>cont1_empuxo</vt:lpstr>
      <vt:lpstr>cont1_ey_moment</vt:lpstr>
      <vt:lpstr>cont1_mbr_linha</vt:lpstr>
      <vt:lpstr>cont1_mbr_vert</vt:lpstr>
      <vt:lpstr>cont1_sf_line_endb</vt:lpstr>
      <vt:lpstr>cont1_sf_vert</vt:lpstr>
      <vt:lpstr>cont2_bm_vert</vt:lpstr>
      <vt:lpstr>cont2_cota_boia</vt:lpstr>
      <vt:lpstr>cont2_empuxo</vt:lpstr>
      <vt:lpstr>cont2_ey_moment</vt:lpstr>
      <vt:lpstr>cont2_mbr_linha</vt:lpstr>
      <vt:lpstr>cont2_mbr_vert</vt:lpstr>
      <vt:lpstr>cont2_sf_line_endb</vt:lpstr>
      <vt:lpstr>cont2_sf_vert</vt:lpstr>
      <vt:lpstr>data_bm_adm_vert</vt:lpstr>
      <vt:lpstr>data_dist_eqsb</vt:lpstr>
      <vt:lpstr>data_dist_primeira_boia</vt:lpstr>
      <vt:lpstr>data_empuxo_total</vt:lpstr>
      <vt:lpstr>data_lda</vt:lpstr>
      <vt:lpstr>data_line_nominal_diameter</vt:lpstr>
      <vt:lpstr>data_mbr_linha</vt:lpstr>
      <vt:lpstr>data_mbr_linha_rl</vt:lpstr>
      <vt:lpstr>data_mbr_vert</vt:lpstr>
      <vt:lpstr>data_mbr_vert_rl</vt:lpstr>
      <vt:lpstr>data_nome_adaptador</vt:lpstr>
      <vt:lpstr>data_nome_conector</vt:lpstr>
      <vt:lpstr>data_nome_estrutura</vt:lpstr>
      <vt:lpstr>data_nome_mcv</vt:lpstr>
      <vt:lpstr>data_nome_vertebra</vt:lpstr>
      <vt:lpstr>data_peso_adaptador</vt:lpstr>
      <vt:lpstr>data_peso_conector</vt:lpstr>
      <vt:lpstr>data_peso_estrutura</vt:lpstr>
      <vt:lpstr>data_peso_mcv</vt:lpstr>
      <vt:lpstr>data_peso_vertebra</vt:lpstr>
      <vt:lpstr>data_qtd_conjuntos_boias</vt:lpstr>
      <vt:lpstr>data_sf_adm_vert</vt:lpstr>
      <vt:lpstr>dragagem_comp</vt:lpstr>
      <vt:lpstr>dragagem_dist</vt:lpstr>
      <vt:lpstr>dragagem_prof</vt:lpstr>
      <vt:lpstr>droplist_casos</vt:lpstr>
      <vt:lpstr>droplist_line_type</vt:lpstr>
      <vt:lpstr>droplistline_gl</vt:lpstr>
      <vt:lpstr>estudo_connection_type</vt:lpstr>
      <vt:lpstr>estudo_copy_to</vt:lpstr>
      <vt:lpstr>estudo_cvd_type</vt:lpstr>
      <vt:lpstr>estudo_edr</vt:lpstr>
      <vt:lpstr>estudo_field_name</vt:lpstr>
      <vt:lpstr>estudo_initials_aprover</vt:lpstr>
      <vt:lpstr>estudo_initials_engineer</vt:lpstr>
      <vt:lpstr>estudo_initials_reviewer</vt:lpstr>
      <vt:lpstr>estudo_line_type</vt:lpstr>
      <vt:lpstr>estudo_requester</vt:lpstr>
      <vt:lpstr>estudo_rl_doc</vt:lpstr>
      <vt:lpstr>estudo_rl_rev</vt:lpstr>
      <vt:lpstr>estudo_rl_titulo</vt:lpstr>
      <vt:lpstr>estudo_rt_doc</vt:lpstr>
      <vt:lpstr>estudo_rt_rev</vt:lpstr>
      <vt:lpstr>estudo_rt_titulo</vt:lpstr>
      <vt:lpstr>estudo_version_report</vt:lpstr>
      <vt:lpstr>estudo_vessel_coordinator</vt:lpstr>
      <vt:lpstr>estudo_vessel_name</vt:lpstr>
      <vt:lpstr>estudo_well_name</vt:lpstr>
      <vt:lpstr>hmax_altura_corc</vt:lpstr>
      <vt:lpstr>hmax_arclength_line_endb</vt:lpstr>
      <vt:lpstr>hmax_arclength_line_touchdown</vt:lpstr>
      <vt:lpstr>hmax_comp_susp</vt:lpstr>
      <vt:lpstr>hmax_dist_flange</vt:lpstr>
      <vt:lpstr>hmax_dist_flange_cabrestante1</vt:lpstr>
      <vt:lpstr>hmax_dist_flange_cabrestante2</vt:lpstr>
      <vt:lpstr>hmax_dist_tdp_flange</vt:lpstr>
      <vt:lpstr>hmax_inclinacao_mcv</vt:lpstr>
      <vt:lpstr>hmax_mbr_linha</vt:lpstr>
      <vt:lpstr>hmax_mbr_vert</vt:lpstr>
      <vt:lpstr>hmax_overlength</vt:lpstr>
      <vt:lpstr>hmax_x_line_endb</vt:lpstr>
      <vt:lpstr>hmax_x_line_touchdown</vt:lpstr>
      <vt:lpstr>hmax_z_line_endb</vt:lpstr>
      <vt:lpstr>postproc_arclength_cabrestante2</vt:lpstr>
      <vt:lpstr>postproc_attachment_type</vt:lpstr>
      <vt:lpstr>postproc_check_filling</vt:lpstr>
      <vt:lpstr>postproc_img_1st_cont1</vt:lpstr>
      <vt:lpstr>postproc_img_1st_cont2</vt:lpstr>
      <vt:lpstr>postproc_img_1st_static</vt:lpstr>
      <vt:lpstr>postproc_img_2nd_cont1</vt:lpstr>
      <vt:lpstr>postproc_img_2nd_cont2</vt:lpstr>
      <vt:lpstr>postproc_img_2nd_hmax</vt:lpstr>
      <vt:lpstr>postproc_img_2nd_puxada</vt:lpstr>
      <vt:lpstr>postproc_img_2nd_static</vt:lpstr>
      <vt:lpstr>postproc_img_2nd_static_zoom</vt:lpstr>
      <vt:lpstr>postproc_orcaflex_version</vt:lpstr>
      <vt:lpstr>'1st_Post_Processing'!Print_Area</vt:lpstr>
      <vt:lpstr>puxada_axial_force_cabr1</vt:lpstr>
      <vt:lpstr>puxada_axial_force_cabr2</vt:lpstr>
      <vt:lpstr>puxada_bm_vert</vt:lpstr>
      <vt:lpstr>puxada_ex_shear_force_max</vt:lpstr>
      <vt:lpstr>puxada_ex_shear_force_min</vt:lpstr>
      <vt:lpstr>puxada_ey_moment_max</vt:lpstr>
      <vt:lpstr>puxada_ey_moment_min</vt:lpstr>
      <vt:lpstr>puxada_ez_axial_max</vt:lpstr>
      <vt:lpstr>puxada_ez_axial_min</vt:lpstr>
      <vt:lpstr>puxada_mbr_linha</vt:lpstr>
      <vt:lpstr>puxada_mbr_vert</vt:lpstr>
      <vt:lpstr>puxada_puxada</vt:lpstr>
      <vt:lpstr>puxada_recolh</vt:lpstr>
      <vt:lpstr>puxada_sf_vert</vt:lpstr>
      <vt:lpstr>puxada_stage_value_ar</vt:lpstr>
      <vt:lpstr>RangeAdaptadorFlange</vt:lpstr>
      <vt:lpstr>RangeBatimetria</vt:lpstr>
      <vt:lpstr>RangeBendRestrictor</vt:lpstr>
      <vt:lpstr>RangeDadosPreenchidos</vt:lpstr>
      <vt:lpstr>RangeDadosReferencia</vt:lpstr>
      <vt:lpstr>RangeDataMCV</vt:lpstr>
      <vt:lpstr>RangeDesenhoMCV</vt:lpstr>
      <vt:lpstr>RangeDragagem</vt:lpstr>
      <vt:lpstr>RangeEndFitting</vt:lpstr>
      <vt:lpstr>RangeEstrutura</vt:lpstr>
      <vt:lpstr>RangeInfoRT</vt:lpstr>
      <vt:lpstr>RangeNomeImagens</vt:lpstr>
      <vt:lpstr>RangeRigidezBR</vt:lpstr>
      <vt:lpstr>RangeRigidezLine</vt:lpstr>
      <vt:lpstr>RangeZR</vt:lpstr>
      <vt:lpstr>script_table_1st_hid_start_row</vt:lpstr>
      <vt:lpstr>script_table_1st_lan_start_row</vt:lpstr>
      <vt:lpstr>script_table_1st_ope_start_row</vt:lpstr>
      <vt:lpstr>script_table_2nd_hid_start_row</vt:lpstr>
      <vt:lpstr>script_table_2nd_lan_start_row</vt:lpstr>
      <vt:lpstr>script_table_2nd_ope_start_row</vt:lpstr>
      <vt:lpstr>script_table_linhas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OrcaFlex Spreadsheet</dc:title>
  <dc:subject/>
  <dc:creator>OOG</dc:creator>
  <cp:keywords/>
  <dc:description/>
  <cp:lastModifiedBy>Daniel Wanderley</cp:lastModifiedBy>
  <cp:revision/>
  <dcterms:created xsi:type="dcterms:W3CDTF">1998-07-24T09:46:18Z</dcterms:created>
  <dcterms:modified xsi:type="dcterms:W3CDTF">2025-02-24T16:55:09Z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b48b937-0ae3-46f5-b32e-f3232b5be847_Enabled">
    <vt:lpwstr>True</vt:lpwstr>
  </property>
  <property fmtid="{D5CDD505-2E9C-101B-9397-08002B2CF9AE}" pid="3" name="MSIP_Label_3b48b937-0ae3-46f5-b32e-f3232b5be847_SiteId">
    <vt:lpwstr>9179d01a-e94c-4488-b5f0-4554bc474f8c</vt:lpwstr>
  </property>
  <property fmtid="{D5CDD505-2E9C-101B-9397-08002B2CF9AE}" pid="4" name="MSIP_Label_3b48b937-0ae3-46f5-b32e-f3232b5be847_Owner">
    <vt:lpwstr>arthur.dealmeida@technipfmc.com</vt:lpwstr>
  </property>
  <property fmtid="{D5CDD505-2E9C-101B-9397-08002B2CF9AE}" pid="5" name="MSIP_Label_3b48b937-0ae3-46f5-b32e-f3232b5be847_SetDate">
    <vt:lpwstr>2019-06-27T22:03:48.6341182Z</vt:lpwstr>
  </property>
  <property fmtid="{D5CDD505-2E9C-101B-9397-08002B2CF9AE}" pid="6" name="MSIP_Label_3b48b937-0ae3-46f5-b32e-f3232b5be847_Name">
    <vt:lpwstr>General</vt:lpwstr>
  </property>
  <property fmtid="{D5CDD505-2E9C-101B-9397-08002B2CF9AE}" pid="7" name="MSIP_Label_3b48b937-0ae3-46f5-b32e-f3232b5be847_Application">
    <vt:lpwstr>Microsoft Azure Information Protection</vt:lpwstr>
  </property>
  <property fmtid="{D5CDD505-2E9C-101B-9397-08002B2CF9AE}" pid="8" name="MSIP_Label_3b48b937-0ae3-46f5-b32e-f3232b5be847_Extended_MSFT_Method">
    <vt:lpwstr>Automatic</vt:lpwstr>
  </property>
  <property fmtid="{D5CDD505-2E9C-101B-9397-08002B2CF9AE}" pid="9" name="MSIP_Label_8caabacf-b917-4a45-9a5f-ed3a53d2eeb7_Enabled">
    <vt:lpwstr>true</vt:lpwstr>
  </property>
  <property fmtid="{D5CDD505-2E9C-101B-9397-08002B2CF9AE}" pid="10" name="MSIP_Label_8caabacf-b917-4a45-9a5f-ed3a53d2eeb7_SetDate">
    <vt:lpwstr>2021-10-27T18:09:06Z</vt:lpwstr>
  </property>
  <property fmtid="{D5CDD505-2E9C-101B-9397-08002B2CF9AE}" pid="11" name="MSIP_Label_8caabacf-b917-4a45-9a5f-ed3a53d2eeb7_Method">
    <vt:lpwstr>Standard</vt:lpwstr>
  </property>
  <property fmtid="{D5CDD505-2E9C-101B-9397-08002B2CF9AE}" pid="12" name="MSIP_Label_8caabacf-b917-4a45-9a5f-ed3a53d2eeb7_Name">
    <vt:lpwstr>Anyone - No Protection</vt:lpwstr>
  </property>
  <property fmtid="{D5CDD505-2E9C-101B-9397-08002B2CF9AE}" pid="13" name="MSIP_Label_8caabacf-b917-4a45-9a5f-ed3a53d2eeb7_SiteId">
    <vt:lpwstr>0804c951-93a0-405d-80e4-fa87c7551d6a</vt:lpwstr>
  </property>
  <property fmtid="{D5CDD505-2E9C-101B-9397-08002B2CF9AE}" pid="14" name="MSIP_Label_8caabacf-b917-4a45-9a5f-ed3a53d2eeb7_ActionId">
    <vt:lpwstr>3faf5020-45f1-4763-8695-30e80c497b15</vt:lpwstr>
  </property>
  <property fmtid="{D5CDD505-2E9C-101B-9397-08002B2CF9AE}" pid="15" name="MSIP_Label_8caabacf-b917-4a45-9a5f-ed3a53d2eeb7_ContentBits">
    <vt:lpwstr>0</vt:lpwstr>
  </property>
  <property fmtid="{D5CDD505-2E9C-101B-9397-08002B2CF9AE}" pid="16" name="ContentTypeId">
    <vt:lpwstr>0x01010069E487C1B5A6A7469ECF295E300FC521</vt:lpwstr>
  </property>
  <property fmtid="{D5CDD505-2E9C-101B-9397-08002B2CF9AE}" pid="17" name="MediaServiceImageTags">
    <vt:lpwstr/>
  </property>
</Properties>
</file>